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5" yWindow="105" windowWidth="10005" windowHeight="7005" firstSheet="7" activeTab="27"/>
  </bookViews>
  <sheets>
    <sheet name="Popis" sheetId="1" state="hidden" r:id="rId1"/>
    <sheet name="Suvaha_BO" sheetId="2" state="hidden" r:id="rId2"/>
    <sheet name="Suvaha_PO" sheetId="3" state="hidden" r:id="rId3"/>
    <sheet name="HK_BO" sheetId="4" state="hidden" r:id="rId4"/>
    <sheet name="HK_PO" sheetId="5" state="hidden" r:id="rId5"/>
    <sheet name="OPO_BO" sheetId="6" state="hidden" r:id="rId6"/>
    <sheet name="OPO_PO" sheetId="7" state="hidden" r:id="rId7"/>
    <sheet name="Uvod" sheetId="8" r:id="rId8"/>
    <sheet name="A." sheetId="9" r:id="rId9"/>
    <sheet name="B." sheetId="10" r:id="rId10"/>
    <sheet name="C. D." sheetId="11" r:id="rId11"/>
    <sheet name="E." sheetId="12" r:id="rId12"/>
    <sheet name="F. a) 1)" sheetId="13" state="hidden" r:id="rId13"/>
    <sheet name="F. a) 2)" sheetId="14" state="hidden" r:id="rId14"/>
    <sheet name="F. b) - h)" sheetId="15" r:id="rId15"/>
    <sheet name="F. i)" sheetId="16" r:id="rId16"/>
    <sheet name="F. j)" sheetId="17" r:id="rId17"/>
    <sheet name="F. j) - m)" sheetId="18" r:id="rId18"/>
    <sheet name="F.n) - p)" sheetId="19" state="hidden" r:id="rId19"/>
    <sheet name="F.q)" sheetId="20" r:id="rId20"/>
    <sheet name="F.r)" sheetId="21" r:id="rId21"/>
    <sheet name="F.w)-z)" sheetId="22" r:id="rId22"/>
    <sheet name="G.a)-b)" sheetId="23" r:id="rId23"/>
    <sheet name="G.c)-i)" sheetId="24" r:id="rId24"/>
    <sheet name="G.j)-m)" sheetId="25" r:id="rId25"/>
    <sheet name="H." sheetId="26" r:id="rId26"/>
    <sheet name="I." sheetId="27" r:id="rId27"/>
    <sheet name="J." sheetId="28" r:id="rId28"/>
    <sheet name="K." sheetId="29" r:id="rId29"/>
    <sheet name="L." sheetId="30" r:id="rId30"/>
    <sheet name="M." sheetId="31" r:id="rId31"/>
    <sheet name="N." sheetId="32" r:id="rId32"/>
    <sheet name="O." sheetId="33" r:id="rId33"/>
    <sheet name="P." sheetId="34" r:id="rId34"/>
    <sheet name="Hárok1" sheetId="35" r:id="rId35"/>
  </sheets>
  <calcPr calcId="124519"/>
</workbook>
</file>

<file path=xl/calcChain.xml><?xml version="1.0" encoding="utf-8"?>
<calcChain xmlns="http://schemas.openxmlformats.org/spreadsheetml/2006/main">
  <c r="I31" i="23"/>
  <c r="E25" i="10"/>
  <c r="F25"/>
  <c r="G25"/>
  <c r="I25"/>
  <c r="E39"/>
  <c r="F39"/>
  <c r="G39"/>
  <c r="I39"/>
  <c r="B9" i="13"/>
  <c r="C9"/>
  <c r="D9"/>
  <c r="E9"/>
  <c r="F9"/>
  <c r="G9"/>
  <c r="H9"/>
  <c r="I9" s="1"/>
  <c r="B10"/>
  <c r="C10"/>
  <c r="D10"/>
  <c r="E10"/>
  <c r="F10"/>
  <c r="G10"/>
  <c r="H10"/>
  <c r="I10"/>
  <c r="B11"/>
  <c r="C11"/>
  <c r="D11"/>
  <c r="E11"/>
  <c r="F11"/>
  <c r="G11"/>
  <c r="H11"/>
  <c r="I11"/>
  <c r="I12"/>
  <c r="B13"/>
  <c r="C13"/>
  <c r="D13"/>
  <c r="E13"/>
  <c r="F13"/>
  <c r="I13" s="1"/>
  <c r="G13"/>
  <c r="H13"/>
  <c r="B15"/>
  <c r="C15"/>
  <c r="D15"/>
  <c r="E15"/>
  <c r="F15"/>
  <c r="I15" s="1"/>
  <c r="B16"/>
  <c r="C16"/>
  <c r="D16"/>
  <c r="I16" s="1"/>
  <c r="E16"/>
  <c r="F16"/>
  <c r="B17"/>
  <c r="C17"/>
  <c r="C18"/>
  <c r="D17"/>
  <c r="E17"/>
  <c r="E18" s="1"/>
  <c r="F17"/>
  <c r="I17"/>
  <c r="B18"/>
  <c r="D18"/>
  <c r="F18"/>
  <c r="B20"/>
  <c r="C20"/>
  <c r="D20"/>
  <c r="I20" s="1"/>
  <c r="E20"/>
  <c r="F20"/>
  <c r="G20"/>
  <c r="H20"/>
  <c r="B21"/>
  <c r="I21" s="1"/>
  <c r="C21"/>
  <c r="D21"/>
  <c r="E21"/>
  <c r="F21"/>
  <c r="G21"/>
  <c r="H21"/>
  <c r="B22"/>
  <c r="I22" s="1"/>
  <c r="C22"/>
  <c r="D22"/>
  <c r="E22"/>
  <c r="F22"/>
  <c r="G22"/>
  <c r="H22"/>
  <c r="B23"/>
  <c r="I23" s="1"/>
  <c r="C23"/>
  <c r="D23"/>
  <c r="D26" s="1"/>
  <c r="E23"/>
  <c r="F23"/>
  <c r="G23"/>
  <c r="G26" s="1"/>
  <c r="H23"/>
  <c r="B25"/>
  <c r="I25" s="1"/>
  <c r="C25"/>
  <c r="D25"/>
  <c r="E25"/>
  <c r="F25"/>
  <c r="G25"/>
  <c r="H25"/>
  <c r="B26"/>
  <c r="F26"/>
  <c r="H26"/>
  <c r="B47"/>
  <c r="C47"/>
  <c r="D47"/>
  <c r="I47" s="1"/>
  <c r="E47"/>
  <c r="F47"/>
  <c r="G47"/>
  <c r="H47"/>
  <c r="B48"/>
  <c r="C48"/>
  <c r="D48"/>
  <c r="I48" s="1"/>
  <c r="E48"/>
  <c r="F48"/>
  <c r="F51" s="1"/>
  <c r="F64" s="1"/>
  <c r="G48"/>
  <c r="H48"/>
  <c r="H51" s="1"/>
  <c r="H64" s="1"/>
  <c r="B49"/>
  <c r="C49"/>
  <c r="D49"/>
  <c r="D51" s="1"/>
  <c r="E49"/>
  <c r="F49"/>
  <c r="G49"/>
  <c r="G51"/>
  <c r="G64" s="1"/>
  <c r="H49"/>
  <c r="I50"/>
  <c r="C51"/>
  <c r="E51"/>
  <c r="B53"/>
  <c r="I53" s="1"/>
  <c r="C53"/>
  <c r="D53"/>
  <c r="E53"/>
  <c r="F53"/>
  <c r="B54"/>
  <c r="I54" s="1"/>
  <c r="C54"/>
  <c r="D54"/>
  <c r="E54"/>
  <c r="F54"/>
  <c r="B55"/>
  <c r="I55" s="1"/>
  <c r="C55"/>
  <c r="D55"/>
  <c r="E55"/>
  <c r="F55"/>
  <c r="B56"/>
  <c r="I56" s="1"/>
  <c r="C56"/>
  <c r="D56"/>
  <c r="E56"/>
  <c r="F56"/>
  <c r="B58"/>
  <c r="I58" s="1"/>
  <c r="C58"/>
  <c r="D58"/>
  <c r="E58"/>
  <c r="F58"/>
  <c r="G58"/>
  <c r="H58"/>
  <c r="B59"/>
  <c r="I59" s="1"/>
  <c r="C59"/>
  <c r="D59"/>
  <c r="E59"/>
  <c r="F59"/>
  <c r="G59"/>
  <c r="H59"/>
  <c r="B60"/>
  <c r="I60" s="1"/>
  <c r="C60"/>
  <c r="D60"/>
  <c r="E60"/>
  <c r="F60"/>
  <c r="G60"/>
  <c r="H60"/>
  <c r="B61"/>
  <c r="C61"/>
  <c r="D61"/>
  <c r="I61" s="1"/>
  <c r="E61"/>
  <c r="F61"/>
  <c r="G61"/>
  <c r="H61"/>
  <c r="B63"/>
  <c r="C63"/>
  <c r="D63"/>
  <c r="I63" s="1"/>
  <c r="E63"/>
  <c r="F63"/>
  <c r="G63"/>
  <c r="H63"/>
  <c r="C64"/>
  <c r="E64"/>
  <c r="B8" i="14"/>
  <c r="C8"/>
  <c r="J8" s="1"/>
  <c r="D8"/>
  <c r="E8"/>
  <c r="F8"/>
  <c r="G8"/>
  <c r="H8"/>
  <c r="I8"/>
  <c r="B9"/>
  <c r="C9"/>
  <c r="D9"/>
  <c r="E9"/>
  <c r="F9"/>
  <c r="G9"/>
  <c r="J9" s="1"/>
  <c r="H9"/>
  <c r="I9"/>
  <c r="B10"/>
  <c r="C10"/>
  <c r="D10"/>
  <c r="E10"/>
  <c r="E12" s="1"/>
  <c r="F10"/>
  <c r="G10"/>
  <c r="G12"/>
  <c r="H10"/>
  <c r="I10"/>
  <c r="I12"/>
  <c r="I25" s="1"/>
  <c r="J11"/>
  <c r="B12"/>
  <c r="C12"/>
  <c r="J12" s="1"/>
  <c r="D12"/>
  <c r="F12"/>
  <c r="H12"/>
  <c r="C14"/>
  <c r="D14"/>
  <c r="J14" s="1"/>
  <c r="E14"/>
  <c r="E17" s="1"/>
  <c r="F14"/>
  <c r="G14"/>
  <c r="C15"/>
  <c r="J15" s="1"/>
  <c r="D15"/>
  <c r="E15"/>
  <c r="F15"/>
  <c r="G15"/>
  <c r="C16"/>
  <c r="J16" s="1"/>
  <c r="D16"/>
  <c r="D17" s="1"/>
  <c r="E16"/>
  <c r="F16"/>
  <c r="G16"/>
  <c r="C17"/>
  <c r="F17"/>
  <c r="G17"/>
  <c r="B19"/>
  <c r="C19"/>
  <c r="D19"/>
  <c r="E19"/>
  <c r="F19"/>
  <c r="G19"/>
  <c r="H19"/>
  <c r="I19"/>
  <c r="J19"/>
  <c r="B20"/>
  <c r="C20"/>
  <c r="J20" s="1"/>
  <c r="D20"/>
  <c r="E20"/>
  <c r="F20"/>
  <c r="F22" s="1"/>
  <c r="F25" s="1"/>
  <c r="G20"/>
  <c r="H20"/>
  <c r="H22" s="1"/>
  <c r="H25" s="1"/>
  <c r="I20"/>
  <c r="B21"/>
  <c r="B22" s="1"/>
  <c r="C21"/>
  <c r="J21" s="1"/>
  <c r="D21"/>
  <c r="D22"/>
  <c r="E21"/>
  <c r="F21"/>
  <c r="G21"/>
  <c r="G22" s="1"/>
  <c r="H21"/>
  <c r="I21"/>
  <c r="C22"/>
  <c r="C25" s="1"/>
  <c r="E22"/>
  <c r="I22"/>
  <c r="B24"/>
  <c r="C24"/>
  <c r="J24" s="1"/>
  <c r="D24"/>
  <c r="E24"/>
  <c r="F24"/>
  <c r="G24"/>
  <c r="H24"/>
  <c r="I24"/>
  <c r="B45"/>
  <c r="C45"/>
  <c r="D45"/>
  <c r="E45"/>
  <c r="F45"/>
  <c r="G45"/>
  <c r="H45"/>
  <c r="I45"/>
  <c r="J45"/>
  <c r="B46"/>
  <c r="C46"/>
  <c r="J46" s="1"/>
  <c r="D46"/>
  <c r="E46"/>
  <c r="F46"/>
  <c r="G46"/>
  <c r="H46"/>
  <c r="I46"/>
  <c r="B47"/>
  <c r="C47"/>
  <c r="D47"/>
  <c r="E47"/>
  <c r="F47"/>
  <c r="G47"/>
  <c r="H47"/>
  <c r="I47"/>
  <c r="J47"/>
  <c r="J48"/>
  <c r="B49"/>
  <c r="C49"/>
  <c r="D49"/>
  <c r="E49"/>
  <c r="F49"/>
  <c r="G49"/>
  <c r="H49"/>
  <c r="I49"/>
  <c r="J49"/>
  <c r="C51"/>
  <c r="D51"/>
  <c r="E51"/>
  <c r="F51"/>
  <c r="G51"/>
  <c r="J51"/>
  <c r="C52"/>
  <c r="D52"/>
  <c r="E52"/>
  <c r="F52"/>
  <c r="G52"/>
  <c r="J52"/>
  <c r="C53"/>
  <c r="D53"/>
  <c r="E53"/>
  <c r="F53"/>
  <c r="G53"/>
  <c r="J53"/>
  <c r="C54"/>
  <c r="D54"/>
  <c r="E54"/>
  <c r="F54"/>
  <c r="G54"/>
  <c r="J54"/>
  <c r="B56"/>
  <c r="C56"/>
  <c r="D56"/>
  <c r="E56"/>
  <c r="F56"/>
  <c r="G56"/>
  <c r="J56" s="1"/>
  <c r="H56"/>
  <c r="I56"/>
  <c r="B57"/>
  <c r="C57"/>
  <c r="D57"/>
  <c r="E57"/>
  <c r="F57"/>
  <c r="G57"/>
  <c r="H57"/>
  <c r="I57"/>
  <c r="J57"/>
  <c r="B58"/>
  <c r="C58"/>
  <c r="J58" s="1"/>
  <c r="D58"/>
  <c r="E58"/>
  <c r="F58"/>
  <c r="G58"/>
  <c r="H58"/>
  <c r="H59" s="1"/>
  <c r="I58"/>
  <c r="I59" s="1"/>
  <c r="I62" s="1"/>
  <c r="B59"/>
  <c r="B62" s="1"/>
  <c r="C59"/>
  <c r="D59"/>
  <c r="D62" s="1"/>
  <c r="E59"/>
  <c r="F59"/>
  <c r="F62" s="1"/>
  <c r="G59"/>
  <c r="B61"/>
  <c r="C61"/>
  <c r="D61"/>
  <c r="E61"/>
  <c r="F61"/>
  <c r="G61"/>
  <c r="J61" s="1"/>
  <c r="H61"/>
  <c r="I61"/>
  <c r="C62"/>
  <c r="E62"/>
  <c r="G62"/>
  <c r="L22" i="16"/>
  <c r="B8" i="17"/>
  <c r="C8"/>
  <c r="D8"/>
  <c r="E8"/>
  <c r="F8"/>
  <c r="G8"/>
  <c r="H8"/>
  <c r="I8"/>
  <c r="J8"/>
  <c r="J19" s="1"/>
  <c r="B9"/>
  <c r="C9"/>
  <c r="D9"/>
  <c r="E9"/>
  <c r="F9"/>
  <c r="G9"/>
  <c r="H9"/>
  <c r="I9"/>
  <c r="J9"/>
  <c r="B10"/>
  <c r="C10"/>
  <c r="D10"/>
  <c r="E10"/>
  <c r="J10" s="1"/>
  <c r="F10"/>
  <c r="G10"/>
  <c r="G12" s="1"/>
  <c r="G20" s="1"/>
  <c r="H10"/>
  <c r="I10"/>
  <c r="I12" s="1"/>
  <c r="I20" s="1"/>
  <c r="J11"/>
  <c r="B12"/>
  <c r="C12"/>
  <c r="D12"/>
  <c r="E12"/>
  <c r="F12"/>
  <c r="H12"/>
  <c r="B14"/>
  <c r="C14"/>
  <c r="D14"/>
  <c r="E14"/>
  <c r="F14"/>
  <c r="G14"/>
  <c r="H14"/>
  <c r="I14"/>
  <c r="J14"/>
  <c r="B15"/>
  <c r="C15"/>
  <c r="D15"/>
  <c r="E15"/>
  <c r="J15" s="1"/>
  <c r="F15"/>
  <c r="G15"/>
  <c r="H15"/>
  <c r="I15"/>
  <c r="B16"/>
  <c r="B17" s="1"/>
  <c r="C16"/>
  <c r="D16"/>
  <c r="D17" s="1"/>
  <c r="D20" s="1"/>
  <c r="E16"/>
  <c r="F16"/>
  <c r="G16"/>
  <c r="H16"/>
  <c r="I16"/>
  <c r="J16"/>
  <c r="C17"/>
  <c r="C20" s="1"/>
  <c r="E17"/>
  <c r="E20" s="1"/>
  <c r="F17"/>
  <c r="G17"/>
  <c r="H17"/>
  <c r="I17"/>
  <c r="B19"/>
  <c r="C19"/>
  <c r="D19"/>
  <c r="E19"/>
  <c r="F19"/>
  <c r="G19"/>
  <c r="H19"/>
  <c r="I19"/>
  <c r="F20"/>
  <c r="H20"/>
  <c r="B47"/>
  <c r="C47"/>
  <c r="D47"/>
  <c r="E47"/>
  <c r="F47"/>
  <c r="G47"/>
  <c r="H47"/>
  <c r="I47"/>
  <c r="J47"/>
  <c r="B48"/>
  <c r="C48"/>
  <c r="J48" s="1"/>
  <c r="D48"/>
  <c r="E48"/>
  <c r="F48"/>
  <c r="G48"/>
  <c r="H48"/>
  <c r="I48"/>
  <c r="B49"/>
  <c r="C49"/>
  <c r="D49"/>
  <c r="E49"/>
  <c r="F49"/>
  <c r="G49"/>
  <c r="H49"/>
  <c r="H51" s="1"/>
  <c r="I49"/>
  <c r="J49"/>
  <c r="J50"/>
  <c r="B51"/>
  <c r="C51"/>
  <c r="D51"/>
  <c r="E51"/>
  <c r="F51"/>
  <c r="G51"/>
  <c r="I51"/>
  <c r="B53"/>
  <c r="C53"/>
  <c r="J53" s="1"/>
  <c r="J58" s="1"/>
  <c r="D53"/>
  <c r="E53"/>
  <c r="F53"/>
  <c r="G53"/>
  <c r="H53"/>
  <c r="I53"/>
  <c r="B54"/>
  <c r="C54"/>
  <c r="D54"/>
  <c r="E54"/>
  <c r="F54"/>
  <c r="G54"/>
  <c r="H54"/>
  <c r="H56" s="1"/>
  <c r="I54"/>
  <c r="J54"/>
  <c r="B55"/>
  <c r="C55"/>
  <c r="J55" s="1"/>
  <c r="D55"/>
  <c r="E55"/>
  <c r="F55"/>
  <c r="G55"/>
  <c r="G56" s="1"/>
  <c r="H55"/>
  <c r="I55"/>
  <c r="I56" s="1"/>
  <c r="I59" s="1"/>
  <c r="B56"/>
  <c r="C56"/>
  <c r="D56"/>
  <c r="E56"/>
  <c r="E59" s="1"/>
  <c r="F56"/>
  <c r="B58"/>
  <c r="C58"/>
  <c r="D58"/>
  <c r="E58"/>
  <c r="F58"/>
  <c r="G58"/>
  <c r="H58"/>
  <c r="I58"/>
  <c r="B59"/>
  <c r="C59"/>
  <c r="D59"/>
  <c r="F59"/>
  <c r="G6" i="18"/>
  <c r="G7"/>
  <c r="G8"/>
  <c r="G9"/>
  <c r="C10"/>
  <c r="D10"/>
  <c r="E10"/>
  <c r="F10"/>
  <c r="G10"/>
  <c r="G16"/>
  <c r="G17"/>
  <c r="G20"/>
  <c r="G18"/>
  <c r="G19"/>
  <c r="C20"/>
  <c r="D20"/>
  <c r="E20"/>
  <c r="F20"/>
  <c r="D13" i="19"/>
  <c r="E13"/>
  <c r="H13" s="1"/>
  <c r="F13"/>
  <c r="D14"/>
  <c r="E14"/>
  <c r="F14"/>
  <c r="H14" s="1"/>
  <c r="D15"/>
  <c r="E15"/>
  <c r="F15"/>
  <c r="H15" s="1"/>
  <c r="D16"/>
  <c r="E16"/>
  <c r="F16"/>
  <c r="H16" s="1"/>
  <c r="D17"/>
  <c r="E17"/>
  <c r="F17"/>
  <c r="F20"/>
  <c r="H18"/>
  <c r="D19"/>
  <c r="H19" s="1"/>
  <c r="E19"/>
  <c r="F19"/>
  <c r="E20"/>
  <c r="G20"/>
  <c r="D8" i="20"/>
  <c r="F8"/>
  <c r="H8"/>
  <c r="D25"/>
  <c r="F25"/>
  <c r="H25"/>
  <c r="G7" i="21"/>
  <c r="I7" s="1"/>
  <c r="E8"/>
  <c r="I8" s="1"/>
  <c r="F8"/>
  <c r="G8"/>
  <c r="E9"/>
  <c r="I9" s="1"/>
  <c r="F9"/>
  <c r="G9"/>
  <c r="E10"/>
  <c r="I10" s="1"/>
  <c r="F10"/>
  <c r="G10"/>
  <c r="F11"/>
  <c r="G11"/>
  <c r="I11"/>
  <c r="F12"/>
  <c r="H12"/>
  <c r="H19"/>
  <c r="H20"/>
  <c r="H21"/>
  <c r="H22"/>
  <c r="H23"/>
  <c r="D24"/>
  <c r="F24"/>
  <c r="H24"/>
  <c r="H26"/>
  <c r="H27"/>
  <c r="H28"/>
  <c r="H29"/>
  <c r="H30"/>
  <c r="F33"/>
  <c r="D44"/>
  <c r="G44"/>
  <c r="I9" i="22"/>
  <c r="Q9"/>
  <c r="I21"/>
  <c r="M21"/>
  <c r="Q21"/>
  <c r="U21"/>
  <c r="E29"/>
  <c r="I29"/>
  <c r="M29"/>
  <c r="Q29"/>
  <c r="U29"/>
  <c r="G51"/>
  <c r="M51"/>
  <c r="S51"/>
  <c r="G79"/>
  <c r="J79"/>
  <c r="M79"/>
  <c r="P79"/>
  <c r="S79"/>
  <c r="V79"/>
  <c r="I55" i="23"/>
  <c r="L55"/>
  <c r="M63"/>
  <c r="M64"/>
  <c r="M65"/>
  <c r="M66"/>
  <c r="M67"/>
  <c r="M69"/>
  <c r="M70"/>
  <c r="M71"/>
  <c r="M72"/>
  <c r="M73"/>
  <c r="M81"/>
  <c r="M82"/>
  <c r="M84"/>
  <c r="M85"/>
  <c r="M86"/>
  <c r="K9" i="24"/>
  <c r="G57" i="25"/>
  <c r="K57"/>
  <c r="C67"/>
  <c r="E67"/>
  <c r="G67"/>
  <c r="I67"/>
  <c r="K67"/>
  <c r="M67"/>
  <c r="C13" i="26"/>
  <c r="E13"/>
  <c r="G13"/>
  <c r="I13"/>
  <c r="K13"/>
  <c r="M13"/>
  <c r="E23"/>
  <c r="G23"/>
  <c r="I23"/>
  <c r="K23"/>
  <c r="M23"/>
  <c r="K28"/>
  <c r="M28"/>
  <c r="I75"/>
  <c r="L75"/>
  <c r="G86"/>
  <c r="K86"/>
  <c r="D20" i="19"/>
  <c r="B51" i="13"/>
  <c r="B64" s="1"/>
  <c r="C26"/>
  <c r="H17" i="19"/>
  <c r="J51" i="17" l="1"/>
  <c r="H59"/>
  <c r="J17"/>
  <c r="B20"/>
  <c r="H62" i="14"/>
  <c r="J59"/>
  <c r="D64" i="13"/>
  <c r="I51"/>
  <c r="I18"/>
  <c r="E26"/>
  <c r="I64"/>
  <c r="H20" i="19"/>
  <c r="J12" i="17"/>
  <c r="J20" s="1"/>
  <c r="J62" i="14"/>
  <c r="G25"/>
  <c r="J56" i="17"/>
  <c r="G59"/>
  <c r="B25" i="14"/>
  <c r="J22"/>
  <c r="D25"/>
  <c r="J17"/>
  <c r="I12" i="21"/>
  <c r="E25" i="14"/>
  <c r="I26" i="13"/>
  <c r="J10" i="14"/>
  <c r="I49" i="13"/>
  <c r="G12" i="21"/>
  <c r="E12"/>
  <c r="J25" i="14" l="1"/>
  <c r="J59" i="17"/>
</calcChain>
</file>

<file path=xl/sharedStrings.xml><?xml version="1.0" encoding="utf-8"?>
<sst xmlns="http://schemas.openxmlformats.org/spreadsheetml/2006/main" count="3008" uniqueCount="1375">
  <si>
    <t>j/ rozpracované v časti O.</t>
  </si>
  <si>
    <t>Ostatné významné položky výnosov z hospodárskej činnosti, z toho:</t>
  </si>
  <si>
    <t>Leasing 52040004 - VZV</t>
  </si>
  <si>
    <t>OBSTARANIE TOVARU-Malacky</t>
  </si>
  <si>
    <t>022013</t>
  </si>
  <si>
    <t>Hodnota vlastných akcií vlastnená účtovnou jednotkou alebo ňou ovládanými osobami, v ktorých má účtovná jednotka podstatný vplyv</t>
  </si>
  <si>
    <t>131000</t>
  </si>
  <si>
    <t>Poskyt- nuté preddav- ky na DFM</t>
  </si>
  <si>
    <t>Poistený majetok</t>
  </si>
  <si>
    <t>V prípade, ak nie, uviesť dôvod</t>
  </si>
  <si>
    <t>Platnosť zmluvy od - do</t>
  </si>
  <si>
    <t>Stav OP na začiatku účt. Obdobia</t>
  </si>
  <si>
    <t>474010</t>
  </si>
  <si>
    <t>383-383*</t>
  </si>
  <si>
    <t>G. h) Vydané dlhopisy</t>
  </si>
  <si>
    <t>421000</t>
  </si>
  <si>
    <t>211207</t>
  </si>
  <si>
    <t>DIČ</t>
  </si>
  <si>
    <t>082014</t>
  </si>
  <si>
    <t>326000</t>
  </si>
  <si>
    <t>OSTATNE FINANCNE VYNOSY</t>
  </si>
  <si>
    <t>091-091*</t>
  </si>
  <si>
    <t>Odložený daňová záväzok</t>
  </si>
  <si>
    <t>Výdavky budúcich období krátkodobé, z toho</t>
  </si>
  <si>
    <t>Stav zamestnancov ku dňu, ku ktorému sa zostavuje účtovná závierka, z toho:</t>
  </si>
  <si>
    <t>Obstarávanie krátkodobého finanč. majetku</t>
  </si>
  <si>
    <t>221004</t>
  </si>
  <si>
    <t>Prídel do zákonného rezervného fondu</t>
  </si>
  <si>
    <t>Výnosy budúcich období krátkodobé, z toho</t>
  </si>
  <si>
    <t>Vyradenie pôžičky z účtovníctva v účtovnom období</t>
  </si>
  <si>
    <t>TOVAR NA SKLADE CEN.ROZDIEL-IVANKA</t>
  </si>
  <si>
    <t>Vnútorné zúčtovanie zásoby MA</t>
  </si>
  <si>
    <t>541000</t>
  </si>
  <si>
    <t>351-351*</t>
  </si>
  <si>
    <t>5) Podiely na základnom imaní spoločnosti, cenné papiere a deriváty oceňoval:</t>
  </si>
  <si>
    <t>Práva z licenčných zmlúv</t>
  </si>
  <si>
    <t>OBSTARANIE TOVARU-Lucenec</t>
  </si>
  <si>
    <t>131004</t>
  </si>
  <si>
    <t>TRZBY Z PREDAJA SLUZIEB - BONUSY</t>
  </si>
  <si>
    <t>022017</t>
  </si>
  <si>
    <t>474014</t>
  </si>
  <si>
    <t>Dcérska účtovná jednotka / Materská účtovná jednotka</t>
  </si>
  <si>
    <t>Dát.zmeny</t>
  </si>
  <si>
    <t>Konečný zostatok ostatok</t>
  </si>
  <si>
    <t>Dlhodobý finančný majetok</t>
  </si>
  <si>
    <t>Účtovná strata</t>
  </si>
  <si>
    <t>412-412*</t>
  </si>
  <si>
    <t>395-395*</t>
  </si>
  <si>
    <t>H. b) Zmena stavy vnútroorganizačných zásob</t>
  </si>
  <si>
    <t>Suma odloženej dane z príjmov, ktorá sa vzťahuje na položky účtované priamo na účty vlastného imania bez účtovania na účty nákladov a výnosov</t>
  </si>
  <si>
    <t>082010</t>
  </si>
  <si>
    <t>343219</t>
  </si>
  <si>
    <t>341-341*; 342-342*; 343-343*; 345-345*; 347-347*</t>
  </si>
  <si>
    <t>N. a) Zoznam obchodov medzi účtovnou jednotkou a spriaznenými osobami</t>
  </si>
  <si>
    <t>UROKY</t>
  </si>
  <si>
    <t>211203</t>
  </si>
  <si>
    <t>Dlhodobý nehmotný majetok, na ktorý je zriadené záložné právo</t>
  </si>
  <si>
    <t>381000</t>
  </si>
  <si>
    <t>Z poskytnutých záruk</t>
  </si>
  <si>
    <t>PENIAZE NA CESTE - Čierna Voda</t>
  </si>
  <si>
    <t>VNUTORNE ZUCTOVANIE - presun zasob KN</t>
  </si>
  <si>
    <t>Náklady budúcich období krátkodobé, z toho:</t>
  </si>
  <si>
    <t>Obstará- vaný DFM</t>
  </si>
  <si>
    <t>individuálnej účtovnej závierky</t>
  </si>
  <si>
    <t>Dlhové CP držané do splatnosti</t>
  </si>
  <si>
    <t>Zvýšenie hodnoty</t>
  </si>
  <si>
    <t>TOVAR NA SKLADE - KOSICE</t>
  </si>
  <si>
    <t>Kurzové zisky, z toho:</t>
  </si>
  <si>
    <t>7) Zásoby vytvorené vlastnou výrobou podnik oceňoval vlastnými nákladmi</t>
  </si>
  <si>
    <t>Číslo telefónu</t>
  </si>
  <si>
    <t>Názov obce</t>
  </si>
  <si>
    <t>324001</t>
  </si>
  <si>
    <t>Obstar. hodnota</t>
  </si>
  <si>
    <t>Leasing 11053638-Peugeot 206</t>
  </si>
  <si>
    <t>dozorných</t>
  </si>
  <si>
    <t>021-021*</t>
  </si>
  <si>
    <t>261222</t>
  </si>
  <si>
    <t>N. Informácie k údajom o ekonomických vzťahoch so spriaznenými osobami</t>
  </si>
  <si>
    <t>KRATKODOBE REZERVY</t>
  </si>
  <si>
    <t>562001</t>
  </si>
  <si>
    <t>221000</t>
  </si>
  <si>
    <t>043-043*</t>
  </si>
  <si>
    <t>Poskytnuté preddavky na dlhodobý hmotný majetok (052) - 095A</t>
  </si>
  <si>
    <t>Pôžičky ÚJ v kons. Celku</t>
  </si>
  <si>
    <t>022019</t>
  </si>
  <si>
    <t>POZNÁMKY</t>
  </si>
  <si>
    <t>Krátkodobý finančný majetok (251, 253, 256, 257, 25X) - /291, 29X/</t>
  </si>
  <si>
    <t>h</t>
  </si>
  <si>
    <t>Krátkodobé finančné výpomoci</t>
  </si>
  <si>
    <t>F.i) Štruktúra dlhodobého finančného majetku podľa položiek súvahy</t>
  </si>
  <si>
    <t>097-097*; 098-098*</t>
  </si>
  <si>
    <t>Poskytnuté preddavky na dlhodobý nehm. majetok (051) - 095A</t>
  </si>
  <si>
    <t>NEUHRADENA STRATA MINUL. ROKOV</t>
  </si>
  <si>
    <t>Leasing 11071956 - Volkw.EOS</t>
  </si>
  <si>
    <t>419-419*</t>
  </si>
  <si>
    <t>Peňažné preddavky</t>
  </si>
  <si>
    <t>Dôvod na zostavenie mimoriadnej účtovnej závierky:</t>
  </si>
  <si>
    <t>PS</t>
  </si>
  <si>
    <t>DPH výstup EU 19%</t>
  </si>
  <si>
    <t>261207</t>
  </si>
  <si>
    <t>Leasing 22060499 - Mitsubishi</t>
  </si>
  <si>
    <t>124-124*</t>
  </si>
  <si>
    <t>Spoločník, akcionár do dňa zmeny v štruktúre spoločníkov, akcionárov</t>
  </si>
  <si>
    <t>Zmeny hodnoty majetku pri použití metódy vlastného imania</t>
  </si>
  <si>
    <t>Suma istiny v príslušnej mene za bežné účtovné obdobie</t>
  </si>
  <si>
    <t>Dátum založenia:</t>
  </si>
  <si>
    <t>Leasing 11070178 - citroen C5</t>
  </si>
  <si>
    <t>C. a)</t>
  </si>
  <si>
    <t>Obstará- vaný DNM</t>
  </si>
  <si>
    <t>Vplyv ocenenia na výsledok hospodárenia bežného účtovného obdobia</t>
  </si>
  <si>
    <t>Dátum vzniku:</t>
  </si>
  <si>
    <t>F.c) 2) Prehľad o dlhodobom hmotnom majetku, na ktorý je zriadené záložné právo, alebo pri ktorom má účtovná jednotka obmedzené právo s ním nakladať</t>
  </si>
  <si>
    <t>021000</t>
  </si>
  <si>
    <t>Prevod peňazí z RP PB</t>
  </si>
  <si>
    <t>051-051*</t>
  </si>
  <si>
    <t>Suma odloženej daňovej pohľadávky týkajúca sa umorenia daňovej straty, nevyužitých daňových dopočtov a iných nárokov, ako aj dočasných rozdielov predchádzajúcich účtovných období, ku ktorým sa v predchádzajúcich účtovných obdobiach odložená daňová pohľadávka neúčtovala</t>
  </si>
  <si>
    <t>Pohľadávky voči spoločníkom, členom a združeniu</t>
  </si>
  <si>
    <t>Pestova- teľské celky trvalých porastov</t>
  </si>
  <si>
    <t>Leasing LZF/06/01596-Skoda oct</t>
  </si>
  <si>
    <t>518500</t>
  </si>
  <si>
    <t>Oceňovacie rozdiely z precenenia majetku a záväzkov</t>
  </si>
  <si>
    <t>Krátkodobé finančné výpomoci (241, 249, 24X, 473A, /-/255A)</t>
  </si>
  <si>
    <t>D celkový</t>
  </si>
  <si>
    <t>POKLADNA - Ivanka</t>
  </si>
  <si>
    <t>G.b) 2.)Tvorba a čerpanie rezerv v bezprostredne predchádzajúcom roku</t>
  </si>
  <si>
    <t>531000</t>
  </si>
  <si>
    <t>f</t>
  </si>
  <si>
    <t>Nepeňažné príjmy</t>
  </si>
  <si>
    <t>Registračná pokladňa BA1</t>
  </si>
  <si>
    <t>095-095*</t>
  </si>
  <si>
    <t>Odložený daňový záväzok</t>
  </si>
  <si>
    <t>395500</t>
  </si>
  <si>
    <t>TOVAR NA SKLADE - MALACKY</t>
  </si>
  <si>
    <t>Pohľ. voči spoločníkom, členom a združeniu (354A, 355A, 358A, 35XA, 398A) - 391A</t>
  </si>
  <si>
    <t>Dlhodobý finančný majetok, na ktorý je zriadené záložné právo</t>
  </si>
  <si>
    <t>Výsledok hospodárenia pred zdanením, z toho</t>
  </si>
  <si>
    <t>Aktivované náklady na vývoj</t>
  </si>
  <si>
    <t>Podnik oceňoval peňažné prostriedky, ceniny, pohľadávky, záväzky</t>
  </si>
  <si>
    <t>Účtovné jednotky s podstatným vplyvom</t>
  </si>
  <si>
    <t>Adresa registrového súdu, ktorý vedie obchodný register, v ktorom sa uložia tieto kosolidované účtovné závierky:</t>
  </si>
  <si>
    <t>Prírastky</t>
  </si>
  <si>
    <t>082018</t>
  </si>
  <si>
    <t>Účtovný zisk</t>
  </si>
  <si>
    <t>Krátkodobý finančný majetok spolu</t>
  </si>
  <si>
    <t>Názov orgánu</t>
  </si>
  <si>
    <t>502000</t>
  </si>
  <si>
    <t>Názov vydaného dlhopisu</t>
  </si>
  <si>
    <t>Kurzové zisky ku dňu, ku ktorému sa zostavuje účtovná závierka</t>
  </si>
  <si>
    <t>481-481*</t>
  </si>
  <si>
    <t>Vplyv ocenenia na vlastné imanie</t>
  </si>
  <si>
    <t>J. Informácie k údajom o daniach z príjmov</t>
  </si>
  <si>
    <t>Zmena základného imania</t>
  </si>
  <si>
    <t>TOAVR NA SKLADE CEN.ROZDIEL - Komarno</t>
  </si>
  <si>
    <t>014-014*</t>
  </si>
  <si>
    <t>Prijatie rozhodnutia o predaji účtovnej jednotky alebo jej časti</t>
  </si>
  <si>
    <t>Zníženie hodnoty</t>
  </si>
  <si>
    <t>Samos- tatné hnuteľné veci a súbory hn. vecí</t>
  </si>
  <si>
    <t>OSTATNE POHLADAVKY</t>
  </si>
  <si>
    <t>Náklady na zákazkovú výrobu</t>
  </si>
  <si>
    <t>528000</t>
  </si>
  <si>
    <t>131002</t>
  </si>
  <si>
    <t>022011</t>
  </si>
  <si>
    <t>STROJE,PRISTROJE A ZARIADENIA</t>
  </si>
  <si>
    <t>Oceňovacie rozdiely z precenenia pri zlúčení, splynutí a rozdelení</t>
  </si>
  <si>
    <t>343319</t>
  </si>
  <si>
    <t>l/ rozpracované v časti R.</t>
  </si>
  <si>
    <t>Pohľadávky za upísané vlastné imanie</t>
  </si>
  <si>
    <t>Záväzky voči dcérskej účtovnej jednotke a materskej účtovnej jednotke (361A, 471A)</t>
  </si>
  <si>
    <t>G. m) Majetok prenajatý formou finančného prenájmu - u nájomcu</t>
  </si>
  <si>
    <t>Dlhodobý hmotný majetok</t>
  </si>
  <si>
    <t>211205</t>
  </si>
  <si>
    <t>Tvorba sociálneho fondu zo zisku</t>
  </si>
  <si>
    <t>Dlhodobé bankové úvery</t>
  </si>
  <si>
    <t>Ostatný DNM</t>
  </si>
  <si>
    <t>082016</t>
  </si>
  <si>
    <t>Leasing 22071010 - nakladny prives</t>
  </si>
  <si>
    <t>Dlhodobý hmotný majetok, na ktorý je zriadené záložné právo</t>
  </si>
  <si>
    <t>od</t>
  </si>
  <si>
    <t>Dočasné rozdiely medzi účtovnou hodnotou majetku a daňovou základňou, z toho</t>
  </si>
  <si>
    <t>Zmena odloženého daňového záväzku</t>
  </si>
  <si>
    <t>Registračná pokladňa MA</t>
  </si>
  <si>
    <t>PRIJATE ZALOHY</t>
  </si>
  <si>
    <t>518400</t>
  </si>
  <si>
    <t>551001</t>
  </si>
  <si>
    <t>ZAKLADNE IMANIE</t>
  </si>
  <si>
    <t>417-418*</t>
  </si>
  <si>
    <t>Zostavené dňa:</t>
  </si>
  <si>
    <t>/</t>
  </si>
  <si>
    <t>648000</t>
  </si>
  <si>
    <t>Konečný zostatok</t>
  </si>
  <si>
    <t>Súvisiace audítorské služby</t>
  </si>
  <si>
    <t>Oceniteľné práva</t>
  </si>
  <si>
    <t>Schválené dňa:</t>
  </si>
  <si>
    <t>Krátkodobé pohľadávky spolu</t>
  </si>
  <si>
    <t>Leasing PK-109680 - Mitsubishi</t>
  </si>
  <si>
    <t>TRZBY ZA TOVAR 19%</t>
  </si>
  <si>
    <t>Suma istiny v príslušnej mene za bezprostredne predchádzajúce účtovné obdobie</t>
  </si>
  <si>
    <t>Spriaznenými osobami sú právnické osoby, ktoré sú vo vzťahu k účtovnej jednotke ovládanou osobou alebo ovládajúcou osobou, ktoré vykonávajú podstatný vplyv v účtovnej jednotke alebo je v nich vykonávaný podstatný vplyv účtovnou jednotkou, fyzické osoby, prostredníctvom ktorých vykonáva iná osoba v účtovnej jednotke podstatný vplyv, zamestnanci, zodpovední za riadenie a kontrolu činnosti účtovnej jednotky a ich blízke osoby a osoby zodpovedné za riadenie a kontrolu činnosti účtovnej jednotky, ktoré nie sú zamestnancami a ich blízke osoby, právnické osoby, v ktorých fyzické osoby horeuvedené vykonávajú podstatný vplyv a to aj sprostredkovane, osoby, ktoré vykonávajú v účtovnej jednotke a súčasne v inej účtovnej jednotke prostredníctvom členov štatutárnych orgánov, dozorných orgánov a iných orgánov taký vplyv, že súschopné ovplyvniť ekonomické zámery oboch účtovných jednotiek, osoby, ktoré poskytli účtovnej jednotke úver, a z tohto dôvodu sú schopné ovplyvniť ekonomické vzťahy s účtovnou jednotkou, osoby, s ktorými účtovná jednotka realizuje taký objem obchodov, že je od týchto osôb hospodársky závislá, vplyvom sa rozumie priamy aj sprostredkovaný vplyv.</t>
  </si>
  <si>
    <t>Bezprostredne predchá- dzajúce účtovné obdobie</t>
  </si>
  <si>
    <t>Výnosy zo zákazkovej výroby</t>
  </si>
  <si>
    <t>F.j. 3) Štruktúra dlhových cenných papierov držaných do splatnosti</t>
  </si>
  <si>
    <t>Druh podmieneného záväzku</t>
  </si>
  <si>
    <t>364-368*</t>
  </si>
  <si>
    <t>121-122*</t>
  </si>
  <si>
    <t>Úhrada straty spoločníkmi</t>
  </si>
  <si>
    <t>Majetok</t>
  </si>
  <si>
    <t>TRZBY Z PREDAJA SLUZIEB</t>
  </si>
  <si>
    <t>Prevod penazi z RP KN</t>
  </si>
  <si>
    <t>261-261*</t>
  </si>
  <si>
    <t>Mena</t>
  </si>
  <si>
    <t>Ostatný DFM</t>
  </si>
  <si>
    <t>261201</t>
  </si>
  <si>
    <t>Vlastna spotreba-invent.rozdiely</t>
  </si>
  <si>
    <t>662000</t>
  </si>
  <si>
    <t>Splatnosť</t>
  </si>
  <si>
    <t>Podielové CP a podiely v spoloč- nosti s podstat- ným vplyvom</t>
  </si>
  <si>
    <t xml:space="preserve">zostavenej k </t>
  </si>
  <si>
    <t>A. d) Podniky, v ktorých je podnik neobmedzene ručiacim spoločníkom</t>
  </si>
  <si>
    <t>POKLADNA - Zah. Bystrica</t>
  </si>
  <si>
    <t>TOVAR NA SKLADE - Komarno</t>
  </si>
  <si>
    <t>Vlastné akcie a vlastné obchodné podiely</t>
  </si>
  <si>
    <t>Meno, Priezvisko, (obch. meno) člena</t>
  </si>
  <si>
    <t>Typ výrobkov, tovarov, služieb (napr. A)</t>
  </si>
  <si>
    <t>022030</t>
  </si>
  <si>
    <t>F.q.4) Prehľad o zákazkovej výstavbe nehnuteľnosti určenej na predaj</t>
  </si>
  <si>
    <t>Záväzky zo sociálneho poistenia (336, 479A)</t>
  </si>
  <si>
    <t>d</t>
  </si>
  <si>
    <t>M. Informácie k údajom o príjmoch členov orgánov spoločnosti</t>
  </si>
  <si>
    <t>Stavby</t>
  </si>
  <si>
    <t>j</t>
  </si>
  <si>
    <t>Oprávky</t>
  </si>
  <si>
    <t>Zo súdnych rozhodnutí</t>
  </si>
  <si>
    <t>d/ rozpracované v časti H.</t>
  </si>
  <si>
    <t>Bankovy ucet SLSP</t>
  </si>
  <si>
    <t>OSTATNE PRIAME DANE</t>
  </si>
  <si>
    <t>Dlhodobý hmotný majetok, pri ktorom má účtovná jednotka obmedzené právo s ním nakladať</t>
  </si>
  <si>
    <t>Dlhodobý nehmotný majetok</t>
  </si>
  <si>
    <t>315000</t>
  </si>
  <si>
    <t>Tržby z predaja služieb</t>
  </si>
  <si>
    <t>Mimoriadne výnosy, z toho:</t>
  </si>
  <si>
    <t>F.b) Spôsob a výška poistenia dlhodobého majetku</t>
  </si>
  <si>
    <t>261205</t>
  </si>
  <si>
    <t>072-072*</t>
  </si>
  <si>
    <t>Podiel ÚJ na hlasovacích právach v %</t>
  </si>
  <si>
    <t>G. i. 1) Bankové úvery</t>
  </si>
  <si>
    <t>Sadzba odpisov</t>
  </si>
  <si>
    <t>Leasing 22070855 - VZV Yale</t>
  </si>
  <si>
    <t>431-431*</t>
  </si>
  <si>
    <t>F.j. 1) Štruktúra dlhodobého finančného majetku a jeho zmena stavu</t>
  </si>
  <si>
    <t>Prevod peňazí z RP CV</t>
  </si>
  <si>
    <t>Hodnota zákazkovej výroby</t>
  </si>
  <si>
    <t>Počet akcií (a.s.)</t>
  </si>
  <si>
    <t>323000</t>
  </si>
  <si>
    <t>VNUTORNE ZUCTOVANIE - presun zásob BA</t>
  </si>
  <si>
    <t>428-428*</t>
  </si>
  <si>
    <t>Práva z investovania prostriedkov získaných oslobodením od dane z príjmov</t>
  </si>
  <si>
    <t>Zvieratá</t>
  </si>
  <si>
    <t>Leasig 11070456 - Skoda Fabia</t>
  </si>
  <si>
    <t>3) Dlhodobý hmotný majetok nakupovaný oceňoval podnik obstarávacou cenou v zložení:</t>
  </si>
  <si>
    <t>Nemeňte názov týchto hárkov, inak nebudú správne fungovať vzorce, zabezpečujúce prenos údajov do tabuliek v Poznámkach.</t>
  </si>
  <si>
    <t>221002</t>
  </si>
  <si>
    <t>474018</t>
  </si>
  <si>
    <t>Vlastné akcie a vlastné obchodné podiely (/-/252)</t>
  </si>
  <si>
    <t>mesiac</t>
  </si>
  <si>
    <t>022015</t>
  </si>
  <si>
    <t>131006</t>
  </si>
  <si>
    <t>NEVYFAKTUROVANE DODAVKY</t>
  </si>
  <si>
    <t>Bezprostredne predchádzajúce obdobie</t>
  </si>
  <si>
    <t>viac ako päť rokov</t>
  </si>
  <si>
    <t>Leasing 22060499 - Mitsubushi</t>
  </si>
  <si>
    <t>CENINY</t>
  </si>
  <si>
    <t>KURZOVE STRATY</t>
  </si>
  <si>
    <t>Konečný zostatok sociálneho fondu</t>
  </si>
  <si>
    <t>F. Informácie k údajom vykázaným na strane aktív súvahy</t>
  </si>
  <si>
    <t>Goodwill</t>
  </si>
  <si>
    <t>082012</t>
  </si>
  <si>
    <t>131100</t>
  </si>
  <si>
    <t>Prevod peňazí z RP BA1</t>
  </si>
  <si>
    <t>079-079*</t>
  </si>
  <si>
    <t>B. Informácie o členoch štatutárnych orgánov, dozorných orgánov a iných orgánov účtovnej jednotky</t>
  </si>
  <si>
    <t>A. Základné informácie o účtovnej jednotke</t>
  </si>
  <si>
    <t>Spôsob výpočtu hodnoty</t>
  </si>
  <si>
    <t>Zúčtovanie OP z dôvodu zániku opodstatne- nosti</t>
  </si>
  <si>
    <t>211201</t>
  </si>
  <si>
    <t>Nerozdelený zisk minulých rokov (428)</t>
  </si>
  <si>
    <t>381-382*</t>
  </si>
  <si>
    <t>G. Informácie k údajom vykázaným na strane pasív súvahy</t>
  </si>
  <si>
    <t>Leasing 22080635 - VZV Yale BA</t>
  </si>
  <si>
    <t>Názov položky</t>
  </si>
  <si>
    <t>K. Informácie k údajom na podsúvahových účtoch</t>
  </si>
  <si>
    <t>261001</t>
  </si>
  <si>
    <t>022028</t>
  </si>
  <si>
    <t>MARKETING. REKLAMA, TLACOVINY - BONUSY</t>
  </si>
  <si>
    <t>Nerozdelený zisk minulých rokov</t>
  </si>
  <si>
    <t>Výška dotácie</t>
  </si>
  <si>
    <t>*) Vyznačuje sa krížikom</t>
  </si>
  <si>
    <t>F.o.2) Nehnuteľnosti na predaj</t>
  </si>
  <si>
    <t>Leasing LZF/04/02603 - Octavia</t>
  </si>
  <si>
    <t>Obchodné meno a sídlo spoločnosti, v ktorej má ÚJ umiestnený DFM</t>
  </si>
  <si>
    <t>Podpisový záznam člena štatutárneho orgánu účtovnej jednotky alebo fyzickej osoby, ktorá je účt. jednotkou:</t>
  </si>
  <si>
    <t>Výsledok hospodárenia bežného účtovného obdobia</t>
  </si>
  <si>
    <t>Leasing 111981-L  ACTROS 2644/45 - LC</t>
  </si>
  <si>
    <t>503000</t>
  </si>
  <si>
    <t>132007</t>
  </si>
  <si>
    <t>385000</t>
  </si>
  <si>
    <t>022026</t>
  </si>
  <si>
    <t>Prevod peňazí z RP KE</t>
  </si>
  <si>
    <t>DPH vstup EU 19%</t>
  </si>
  <si>
    <t>474025</t>
  </si>
  <si>
    <t>331-331*; 333-333*</t>
  </si>
  <si>
    <t>063-063*; 065-065*</t>
  </si>
  <si>
    <t>predchádzajúce obdobie</t>
  </si>
  <si>
    <t>Leasing 111261-L Nissan X-Trail  - centr</t>
  </si>
  <si>
    <t>PENIAZE NA CESTE - Malacky</t>
  </si>
  <si>
    <t>063-063*; 065-065*</t>
  </si>
  <si>
    <t>132101</t>
  </si>
  <si>
    <t>Ostatné významné položky nákladov za poskytnuté služby, z toho:</t>
  </si>
  <si>
    <t>Čistý obrat celkom</t>
  </si>
  <si>
    <t>A. e) Právny dôvod na zostavenie účtovnej závierky</t>
  </si>
  <si>
    <t>Leasing LZF/04/02702-Ford tran</t>
  </si>
  <si>
    <t>518600</t>
  </si>
  <si>
    <t>Záväzky so zostatkovou dobou splatnosti do jedného roka vrátane</t>
  </si>
  <si>
    <t>082021</t>
  </si>
  <si>
    <t>Z hárku Suvaha_BO - F. a) 1), F. a) 2), F. j), F. o), F. r)</t>
  </si>
  <si>
    <t>Náklady budúcich období dlhodobé, z toho:</t>
  </si>
  <si>
    <t>Leasing 22060688 - VZV Ivanka</t>
  </si>
  <si>
    <t>Stav na začiatku účtovného obdobia</t>
  </si>
  <si>
    <t>013000</t>
  </si>
  <si>
    <t>Odpisy HIM - leasing</t>
  </si>
  <si>
    <t>022003</t>
  </si>
  <si>
    <t>-priame náklady</t>
  </si>
  <si>
    <t>ZOST.CENA PREDANEHO NEH.A H.MA</t>
  </si>
  <si>
    <t>Bežné účtovné obdobie</t>
  </si>
  <si>
    <t>378000</t>
  </si>
  <si>
    <t>Ocenenie</t>
  </si>
  <si>
    <t>075-075*</t>
  </si>
  <si>
    <t>Číslo</t>
  </si>
  <si>
    <t>Bezpr. predch .obdobie</t>
  </si>
  <si>
    <t>211005</t>
  </si>
  <si>
    <t>Náklady</t>
  </si>
  <si>
    <t>Vyradenie dlhového CP z účtovníctva v účtovnom období</t>
  </si>
  <si>
    <t>Kurzové straty ku dňu, ku ktorému sa zostavuje účtovná závierka</t>
  </si>
  <si>
    <t>Iné pohľadávky</t>
  </si>
  <si>
    <t>SPOTREBA PHM</t>
  </si>
  <si>
    <t>Iné položky</t>
  </si>
  <si>
    <t>Ostatné realizovateľné CP</t>
  </si>
  <si>
    <t>663000</t>
  </si>
  <si>
    <t>Záväzky po lehote splatnosti</t>
  </si>
  <si>
    <t>Zákonný rezervný fond (Nedeliteľný fond) z kapitálových vkladov (417, 418)</t>
  </si>
  <si>
    <t>mimoradna</t>
  </si>
  <si>
    <t>Dlhodobé prijaté preddavky (475A)</t>
  </si>
  <si>
    <t>Zákonný rezervný fond (Nedeliteľný fond) z kapitálových vkladov (417, 418)</t>
  </si>
  <si>
    <t>082004</t>
  </si>
  <si>
    <t>Materiál (112, 119, 11X) - /191, 19X/</t>
  </si>
  <si>
    <t>Stavby (021) - /081, 092A/</t>
  </si>
  <si>
    <t>Za obdobie</t>
  </si>
  <si>
    <t>F.zc) Majetok prenajatý formou finančného prenájmu</t>
  </si>
  <si>
    <t>Leasing 111410-L Actros 2644/45 - Povazi</t>
  </si>
  <si>
    <t>343119</t>
  </si>
  <si>
    <t>668000</t>
  </si>
  <si>
    <t>Bezprostredne predchádzajúce účtovné obdobie</t>
  </si>
  <si>
    <t>Ostatné dlhodobé CP a podiely</t>
  </si>
  <si>
    <t>213000</t>
  </si>
  <si>
    <t>395105</t>
  </si>
  <si>
    <t>Vnútorné zúčtovanie zásoby RK</t>
  </si>
  <si>
    <t>Účty v bankách (221A, 22X +/-261)</t>
  </si>
  <si>
    <t>MD kladný</t>
  </si>
  <si>
    <t>Leasing 111981-L ACTROS 2644/45 - LC</t>
  </si>
  <si>
    <t>DAM Z PRIDANEJ HODNOTY FIN.VYR</t>
  </si>
  <si>
    <t>Oceniteľné práva (014) - /074, 091A/</t>
  </si>
  <si>
    <t>Odložená daň z príjmov</t>
  </si>
  <si>
    <t>Prvotné ocenenie</t>
  </si>
  <si>
    <t>395003</t>
  </si>
  <si>
    <t>Druh majetku</t>
  </si>
  <si>
    <t>G.a. 5) Prehľad o zisku a strate, ktorá nebola účtovaná ako náklad alebo výnos, ale priamo na účty vlastného imania</t>
  </si>
  <si>
    <t>Ostatné dôležité skutočnosti</t>
  </si>
  <si>
    <t>Poskytnuté preddavky na DNM</t>
  </si>
  <si>
    <t>OPRAVKY K OSTAT.HMOT.INV.MAJET</t>
  </si>
  <si>
    <t>Tovar (132, 133, 13X, 139) - /196, 19X/</t>
  </si>
  <si>
    <t>Krátkodobé rezervy, z toho:</t>
  </si>
  <si>
    <t>Zmeny významných položiek dlhodobého finančného majetku</t>
  </si>
  <si>
    <t>Dôvod</t>
  </si>
  <si>
    <t>Peniaze na ceste</t>
  </si>
  <si>
    <t>314000</t>
  </si>
  <si>
    <t>VNUTORNE ZUCTOVANIE - presun zásob PB</t>
  </si>
  <si>
    <t>Zákonný rezervný fond (421)</t>
  </si>
  <si>
    <t>Hodnota splateného základného imania</t>
  </si>
  <si>
    <t>Peňažné príjmy</t>
  </si>
  <si>
    <t>Ostatné významné položky finančných nákladov, z toho:</t>
  </si>
  <si>
    <t>211001</t>
  </si>
  <si>
    <t>Bankovy ucet - VUB</t>
  </si>
  <si>
    <t>022007</t>
  </si>
  <si>
    <t>OSTATNE POHLADAVKY - CCS</t>
  </si>
  <si>
    <t>Opr. položka k nadobudnutému majetku (+/- 097) +/- 098</t>
  </si>
  <si>
    <t>Záväzok vykázaný v súvahe</t>
  </si>
  <si>
    <t>odpočítateľné</t>
  </si>
  <si>
    <t>Leasing 111410-L  Actros 2644/45 - Povaz</t>
  </si>
  <si>
    <t>Leasing PK-109680 -Mitsubishi</t>
  </si>
  <si>
    <t>042000</t>
  </si>
  <si>
    <t>Tvorba</t>
  </si>
  <si>
    <t>089000</t>
  </si>
  <si>
    <t>Nevyfakturované dodávky (326, 476A)</t>
  </si>
  <si>
    <t>Záložným právom</t>
  </si>
  <si>
    <t>Reprezentačné</t>
  </si>
  <si>
    <t>F.a) 1) Prehľad o pohybe dlhodobého nehmotného majetku</t>
  </si>
  <si>
    <t>Leasing 11061678-Skoda octavia</t>
  </si>
  <si>
    <t>OSTATNY HMOTNY INV. MAJETOK</t>
  </si>
  <si>
    <t>082000</t>
  </si>
  <si>
    <t>Pokladňa BA1</t>
  </si>
  <si>
    <t>Emisné kvóty (komodity)</t>
  </si>
  <si>
    <t>F.y) Krátkodobý finančný majetok, na ktorý bolo zriadené záložné právo, alebo pri ktorom má účtovná jednotka obmedzené právo s ním nakladať</t>
  </si>
  <si>
    <t>Náklady na zákazkovú výstavbu nehnuteľnosti určenej na predaj</t>
  </si>
  <si>
    <t>i/ rozpracované v časti M. a N.</t>
  </si>
  <si>
    <t>518101</t>
  </si>
  <si>
    <t>J. f),  g) Porovnanie splatnej a odloženej dane z príjmov s daňou z výsledku hospodárenia pred zdanením</t>
  </si>
  <si>
    <t>Krátkodobé bankové úvery</t>
  </si>
  <si>
    <t>Softvér</t>
  </si>
  <si>
    <t>F.q.1) Prehľad o zákazkovej výrobe</t>
  </si>
  <si>
    <t>ODBERATELIA</t>
  </si>
  <si>
    <t>395101</t>
  </si>
  <si>
    <t>Úbytky</t>
  </si>
  <si>
    <t>022009</t>
  </si>
  <si>
    <t>371-371*</t>
  </si>
  <si>
    <t>Iné</t>
  </si>
  <si>
    <t>Zúčtovanie OP z dôvodu zániku opodstatnenosti</t>
  </si>
  <si>
    <t>Mimoriadne udalosti - živelné pohromy</t>
  </si>
  <si>
    <t>2) Výsledné hárky (Uvod až P.)</t>
  </si>
  <si>
    <t>Bežné účt. obdobie</t>
  </si>
  <si>
    <t>395007</t>
  </si>
  <si>
    <t>Príjmy budúcich období dlhodobé, z toho:</t>
  </si>
  <si>
    <t>Hodnota upísaného vlastného imania</t>
  </si>
  <si>
    <t>Náklady súvisiace s obstaraním zásob:</t>
  </si>
  <si>
    <t>6) Nakupované zásoby oceňoval podnik obstarávacou cenou v zložení:</t>
  </si>
  <si>
    <t>261005</t>
  </si>
  <si>
    <t>545000</t>
  </si>
  <si>
    <t>Vnútorné zúčtovanie zásoby BA</t>
  </si>
  <si>
    <t>501001</t>
  </si>
  <si>
    <t>Krátkodobý finančný majetok</t>
  </si>
  <si>
    <t>013-013*</t>
  </si>
  <si>
    <t>O. Informácie o skutočnostiach, ktoré nastali po dni, ku ktorému sa zostavuje účtovná závierka do dňa zostavenia účtovnej závierky</t>
  </si>
  <si>
    <t>Záväzky so zostatkovou dobou splatnosti nad päť rokov</t>
  </si>
  <si>
    <t>v eurocentoch</t>
  </si>
  <si>
    <t>Poznámka</t>
  </si>
  <si>
    <t>Nerozdelená strata minulých rokov (/-/429)</t>
  </si>
  <si>
    <t>e/ rozpracované v časti I.</t>
  </si>
  <si>
    <t>Vysporiadanie účtovnej straty</t>
  </si>
  <si>
    <t>022022</t>
  </si>
  <si>
    <t>POKLADNA - Povazska Bystrica</t>
  </si>
  <si>
    <t>474021</t>
  </si>
  <si>
    <t>Začiatočný stav</t>
  </si>
  <si>
    <t>Zúčtovanie OP z dôvodu vyradenia majetku z účtovníctva</t>
  </si>
  <si>
    <t>Tieto hárky obsahujú sformátované údaje pre tlač poznámok.</t>
  </si>
  <si>
    <t>Z ručenia</t>
  </si>
  <si>
    <t>132003</t>
  </si>
  <si>
    <t>082025</t>
  </si>
  <si>
    <t>PENIAZE NA CESTE - Lucenec</t>
  </si>
  <si>
    <t>HOSPOD. VYSLEDOK V SCHVAL.KON.</t>
  </si>
  <si>
    <t>OSTATNE SLUZBY</t>
  </si>
  <si>
    <t>od jedného roka do patich rokov vrátane</t>
  </si>
  <si>
    <t>132105</t>
  </si>
  <si>
    <t>OSTATNE PREVADZK. NAKLADY</t>
  </si>
  <si>
    <t>Spolu</t>
  </si>
  <si>
    <t>Lesing 11070178 - citroen C5</t>
  </si>
  <si>
    <t>092-092*</t>
  </si>
  <si>
    <t>F.c) 1) Prehľad o dlhodobom nehmotnom majetku, na ktorý je zriadené záložné právo, alebo pri ktorom má účtovná jednotka obmedzené právo s ním nakladať</t>
  </si>
  <si>
    <t>OSTATNE PREVADZK. VYNOSY</t>
  </si>
  <si>
    <t>Z hárku Suvaha_PO - F. a) 1), F. a) 2), F. j), F. o), F. r)</t>
  </si>
  <si>
    <t>Práva z poistných zmlúv</t>
  </si>
  <si>
    <t>Pohľadávky voči dcérskej účtovnej jednotke a materskej účtovnej jednotke</t>
  </si>
  <si>
    <t>395107</t>
  </si>
  <si>
    <t>F.v) Odložená daňová pohľadávka</t>
  </si>
  <si>
    <t>Výnosy budúcich období dlhodobé (384A)</t>
  </si>
  <si>
    <t>Emisné kvóty</t>
  </si>
  <si>
    <t>Pôžičky s dobou splatnosti najviac jeden rok</t>
  </si>
  <si>
    <t>E. c) Spôsob oceňovania jednotlivých zložiek majetku a záväzkov:</t>
  </si>
  <si>
    <t>Pozemky</t>
  </si>
  <si>
    <t>082008</t>
  </si>
  <si>
    <t>Podnik tvoril vlastnou činnosťou dlhodobý nehmotný majetok</t>
  </si>
  <si>
    <t>Druh podmieneného majetku</t>
  </si>
  <si>
    <t>Suma MD</t>
  </si>
  <si>
    <t>D záporný</t>
  </si>
  <si>
    <t>311000</t>
  </si>
  <si>
    <t>395001</t>
  </si>
  <si>
    <t>Iné prípady</t>
  </si>
  <si>
    <t>Záväzky z leasingu</t>
  </si>
  <si>
    <t>iných</t>
  </si>
  <si>
    <t>Obstarávanie krátkodobého finančného majetku</t>
  </si>
  <si>
    <t>326-326*</t>
  </si>
  <si>
    <t>123-123*</t>
  </si>
  <si>
    <t>Goodwill (015) - /075, 091A/</t>
  </si>
  <si>
    <t>Istina</t>
  </si>
  <si>
    <t>Príjmy členov orgánov</t>
  </si>
  <si>
    <t>022001</t>
  </si>
  <si>
    <t>211007</t>
  </si>
  <si>
    <t>Po lehote</t>
  </si>
  <si>
    <t>Celková daň z príjmov</t>
  </si>
  <si>
    <t>Zabezpečovacia položka</t>
  </si>
  <si>
    <t>Leasing 111261-L  Nissan X-Trail - centr</t>
  </si>
  <si>
    <t>E.d) Spôsob zostavenia odpisového plánu dlhodobého majetku</t>
  </si>
  <si>
    <t>Emisný kurz</t>
  </si>
  <si>
    <t>Hodnota za bežné účtovné obdobie</t>
  </si>
  <si>
    <t>211101</t>
  </si>
  <si>
    <t>082006</t>
  </si>
  <si>
    <t>Dlhodobé pohľadávky spolu</t>
  </si>
  <si>
    <t>Spôsob nadobudnutia goodwillu</t>
  </si>
  <si>
    <t>Náklady voči audítorovi, audítorskej spoločnosti, z toho:</t>
  </si>
  <si>
    <t>POKLADNA - Kosice</t>
  </si>
  <si>
    <t>Vydané dlhopisy (473A /-/255A)</t>
  </si>
  <si>
    <t>b/ rozpracované v časti F.</t>
  </si>
  <si>
    <t>Finančný vklad</t>
  </si>
  <si>
    <t>Spôsob zostavenia účtovného odpisového plánu pre dlhodobý majetok a použité účtovné odpisové metódy pri stanovení účtovných odpisov:</t>
  </si>
  <si>
    <t>132005</t>
  </si>
  <si>
    <t>503002</t>
  </si>
  <si>
    <t>474027</t>
  </si>
  <si>
    <t>Iné:</t>
  </si>
  <si>
    <t>Základné imanie celkom</t>
  </si>
  <si>
    <t>Zvýšenie / zníženie hodnoty (+/-)</t>
  </si>
  <si>
    <t>SPOTREBA MATERIALU</t>
  </si>
  <si>
    <t>026-026*</t>
  </si>
  <si>
    <t>022024</t>
  </si>
  <si>
    <t>VNUTORNE ZUCTOVANIE - presun zásob KE</t>
  </si>
  <si>
    <t>Po lehote splatnosti</t>
  </si>
  <si>
    <t>Iné uisťovacie audítorské služby</t>
  </si>
  <si>
    <t>do</t>
  </si>
  <si>
    <t>Za bezprostredne</t>
  </si>
  <si>
    <t>132103</t>
  </si>
  <si>
    <t>Registračná pokladňa RK</t>
  </si>
  <si>
    <t>OSTATNE FINANCNE NAKLADY</t>
  </si>
  <si>
    <t>H. c), d), e) Významné položky výnosov pri aktivácii nákladov a o výnosoch z hospodárskej činnosti, finančnej činnosti a mimoriadnej činnosti</t>
  </si>
  <si>
    <t>rok</t>
  </si>
  <si>
    <t>082023</t>
  </si>
  <si>
    <t>TOVAR NA SKLADE CEN.ROZDIEL - ZAH.BYSTR.</t>
  </si>
  <si>
    <t>Ostatné kapitálové fondy</t>
  </si>
  <si>
    <t>Výdavky budúcich období dlhodobé, z toho</t>
  </si>
  <si>
    <t>415-415*</t>
  </si>
  <si>
    <t>Dcérske účtovné jednotky</t>
  </si>
  <si>
    <t>261003</t>
  </si>
  <si>
    <t>Výdavky budúcich období dlhodobé (383A)</t>
  </si>
  <si>
    <t>Ostatné dlhodobé rezervy (459A, 45XA)</t>
  </si>
  <si>
    <t>Tržby za tovar</t>
  </si>
  <si>
    <t>N. b) Zoznam obchodov podľa bodu N.a) ktoré sú rovnakého druhu kumulovane</t>
  </si>
  <si>
    <t>G. f) Informácie o odloženom daňovom záväzku</t>
  </si>
  <si>
    <t>Prevod do neuhradenej straty z minulých rokov</t>
  </si>
  <si>
    <t>Vnútorné zúčtovanie vzájomný zápočet</t>
  </si>
  <si>
    <t>474029</t>
  </si>
  <si>
    <t>Tvorba OP</t>
  </si>
  <si>
    <t>PENIAZE NA CESTE - Pov.Bystr.</t>
  </si>
  <si>
    <t>BEZ UCTU</t>
  </si>
  <si>
    <t>022020</t>
  </si>
  <si>
    <t>OPRAVKY K STROJOM,PRIS.A ZAR.</t>
  </si>
  <si>
    <t>Poskytnuté preddavky na zásoby</t>
  </si>
  <si>
    <t>Poskytnuté preddavky na dlhodobý finančný majetok (053) - 095A</t>
  </si>
  <si>
    <t>Prenajatý majetok</t>
  </si>
  <si>
    <t>518700</t>
  </si>
  <si>
    <t>Názov</t>
  </si>
  <si>
    <t>Prídel na zvýšenie základného imania</t>
  </si>
  <si>
    <t>Zásoby</t>
  </si>
  <si>
    <t>474023</t>
  </si>
  <si>
    <t>052-052*</t>
  </si>
  <si>
    <t>Vyfaktúrované nároky za vykonanú prácu na zákazkovej výrobe</t>
  </si>
  <si>
    <t>F.n) Ocenenie dlhodobého finančného majetku ku dňu zostavenia účtovnej závierky</t>
  </si>
  <si>
    <t>Iné podmienené záväzky</t>
  </si>
  <si>
    <t>132001</t>
  </si>
  <si>
    <t>096-096*</t>
  </si>
  <si>
    <t>Odpisová metóda</t>
  </si>
  <si>
    <t>Umorenie daňovej straty</t>
  </si>
  <si>
    <t>Dary</t>
  </si>
  <si>
    <t>C. c )</t>
  </si>
  <si>
    <t>082027</t>
  </si>
  <si>
    <t>029-029*</t>
  </si>
  <si>
    <t>Príjmy budúcich obdobíkrátkodobé, z toho:</t>
  </si>
  <si>
    <t>G. k. 2) Významné položky derivátov</t>
  </si>
  <si>
    <t>Záväzky so zostatkovou dobou splatnosti jeden rok až päť rokov</t>
  </si>
  <si>
    <t>132107</t>
  </si>
  <si>
    <t>OPRAVY A UDRZIAVANIE</t>
  </si>
  <si>
    <t>527000</t>
  </si>
  <si>
    <t>461-461*</t>
  </si>
  <si>
    <t>Nedeliteľný fond (422)</t>
  </si>
  <si>
    <t>Inou formou zabezpečenia</t>
  </si>
  <si>
    <t>261007</t>
  </si>
  <si>
    <t>G.b) 1.)Tvorba a čerpanie rezerv v bežnom roku</t>
  </si>
  <si>
    <t>082029</t>
  </si>
  <si>
    <t>Spotreba marketing</t>
  </si>
  <si>
    <t>478-478*</t>
  </si>
  <si>
    <t>Opis predmetu záložného práva</t>
  </si>
  <si>
    <t>261101</t>
  </si>
  <si>
    <t>VNUTORNE ZUCTOVANIE - presun zásob RK</t>
  </si>
  <si>
    <t>Prídel do štatutárnych a ostatných fondov</t>
  </si>
  <si>
    <t>Materiál</t>
  </si>
  <si>
    <t>Hodnota a percentuálna výška ich podielu na základnom imaní. Výška podielu na ostatných položkách vlastného imania sa uvádza v prípade, ak sa percentuálny podiel spoločníkov na základnom imaní odlišuje od podielu spoločníkov na ostatných položkách vlastného imania.</t>
  </si>
  <si>
    <t>Úprava nárokov podľa stupňa dokončenia alebo metódou nulového zisku</t>
  </si>
  <si>
    <t>TOVAR NA SKLADE CEN.ROZDIEL-KOSICE</t>
  </si>
  <si>
    <t>ZAMESTNANCI</t>
  </si>
  <si>
    <t>Najomne ostatne</t>
  </si>
  <si>
    <t>OSTATNE POKUTY A PENALE</t>
  </si>
  <si>
    <t>Ostatný dlhodobý nehmotný majetok (019, 01X) - /079, 07X, 091A/</t>
  </si>
  <si>
    <t>G. l) Majetok a záväzky zabezpečené derivátmi</t>
  </si>
  <si>
    <t>Hodnota zákazkovej výstavby nehnuteľnosti určenej na predaj</t>
  </si>
  <si>
    <t>G.a. 3. 1) Rozdelenie účtovného zisku alebo vysporiadanie účtovnej straty</t>
  </si>
  <si>
    <t>Nominálna hodnota 1 akcie (a.s.)</t>
  </si>
  <si>
    <t>Kurzové straty, z toho:</t>
  </si>
  <si>
    <t>Podnik nakupoval v danom roku dlhodobý nehmotný majetok</t>
  </si>
  <si>
    <t>DAN Z NEHNUTELNOSTI</t>
  </si>
  <si>
    <t>Sociálne poistenie (336) - 391A</t>
  </si>
  <si>
    <t>F.w. 2) Krátkodobý finančný majetok</t>
  </si>
  <si>
    <t>Dlhodobé CP so splatnosťou do jedného roka obdržané do splatnosti</t>
  </si>
  <si>
    <t>395103</t>
  </si>
  <si>
    <t>354-355*; 358-358*</t>
  </si>
  <si>
    <t>Výnosy budúcich období dlhodobé, z toho</t>
  </si>
  <si>
    <t>Daňové pohľadávky a dotácie</t>
  </si>
  <si>
    <t>Podnik nakupoval zásoby</t>
  </si>
  <si>
    <t>Prevod peňazí z RP LC</t>
  </si>
  <si>
    <t>ZAKONNE SOCIAL.POISTENIE</t>
  </si>
  <si>
    <t>530000</t>
  </si>
  <si>
    <t>474008</t>
  </si>
  <si>
    <t>022-022*</t>
  </si>
  <si>
    <t>V lehote splatnosti</t>
  </si>
  <si>
    <t>Počet</t>
  </si>
  <si>
    <t>Účtovanie obstarania a úbytku zásob.</t>
  </si>
  <si>
    <t>Leasing 22071051 - VZV Toyota RK</t>
  </si>
  <si>
    <t>395005</t>
  </si>
  <si>
    <t>Ostatné kapitálové fondy (413)</t>
  </si>
  <si>
    <t>Manká a škody</t>
  </si>
  <si>
    <t>x</t>
  </si>
  <si>
    <t>SOFTWARE</t>
  </si>
  <si>
    <t>343019</t>
  </si>
  <si>
    <t>G.a. 3. 2) Rozdelenie účtovného zisku alebo straty z predchádzajúceho roka</t>
  </si>
  <si>
    <t>Zrušenie</t>
  </si>
  <si>
    <t>211003</t>
  </si>
  <si>
    <t>NAKLADY BUDUCICH OBDOBI</t>
  </si>
  <si>
    <t>PSČ</t>
  </si>
  <si>
    <t>Kód SK NACE</t>
  </si>
  <si>
    <t>022005</t>
  </si>
  <si>
    <t>OBSTARANIE TOVARU - Pov.Bystr.</t>
  </si>
  <si>
    <t>Pohľadávky z leasingu</t>
  </si>
  <si>
    <t>Základné stádo a ťažné zvieratá (026) - /086, 092A/</t>
  </si>
  <si>
    <t>PENIAZE NA CESTE - pokladna BA1</t>
  </si>
  <si>
    <t>Daňové záväzky a dotácie (341, 342, 343, 345, 346, 347, 34X)</t>
  </si>
  <si>
    <t>473-473*</t>
  </si>
  <si>
    <t>Úrok p.a. v %</t>
  </si>
  <si>
    <t>Zisk na akciu alebo podiel na základnom imaní</t>
  </si>
  <si>
    <t>Hodnota celkom</t>
  </si>
  <si>
    <t>DPH odpočet tuzemsko 10%</t>
  </si>
  <si>
    <t>411-411*</t>
  </si>
  <si>
    <t>Ostatné pohľadávky v rámci konsolidovaného celku (351A) - 391A</t>
  </si>
  <si>
    <t>Zásoby, pri ktorých má účtovná jednotka obmedzené právo s nimi nakladať</t>
  </si>
  <si>
    <t>Iný podiel na ostatných položkách VI ako na ZI v %</t>
  </si>
  <si>
    <t>082002</t>
  </si>
  <si>
    <t>511000</t>
  </si>
  <si>
    <t>Pohľadávky za upísané vlastné imanie (/-/353)</t>
  </si>
  <si>
    <t>Pohľadávky so zostatkovou dobou splatnosti do jedného roka</t>
  </si>
  <si>
    <t>Pri vyskladnení zásob sa používal</t>
  </si>
  <si>
    <t>F.s.2) Pohľadávky podľa zostatkovej doby splatnosti</t>
  </si>
  <si>
    <t>Finančné výnosy, z toho:</t>
  </si>
  <si>
    <t>KS</t>
  </si>
  <si>
    <t>324000</t>
  </si>
  <si>
    <t>428000</t>
  </si>
  <si>
    <t>Bankové úvery dlhodobé (461A, 46XA)</t>
  </si>
  <si>
    <t>398-398*</t>
  </si>
  <si>
    <t>Ostatný dlhodobý hmotný majetok (029, 02X, 032) - /089, 08X, 092A/</t>
  </si>
  <si>
    <t>Sumár od začiatku zákazkovej výroby až do konca bežného účtovného obdobia</t>
  </si>
  <si>
    <t>221001</t>
  </si>
  <si>
    <t>562000</t>
  </si>
  <si>
    <t>022018</t>
  </si>
  <si>
    <t>Ostatné dlhodobé záväzky (474A, 479A, 47XA, 372A, 373A, 377A)</t>
  </si>
  <si>
    <t>Sídlo</t>
  </si>
  <si>
    <t>G. g) Záväzky zo sociálneho fondu</t>
  </si>
  <si>
    <t>341-341*; 342-342*; 343-343*; 345-345*; 346-346*; 347-347*</t>
  </si>
  <si>
    <t>F.f) Charakteristika Goodwillu</t>
  </si>
  <si>
    <t>Za bezprostredne predchádzajúce účtovné obdobie</t>
  </si>
  <si>
    <t>V lehote</t>
  </si>
  <si>
    <t>Obstarávaný dlhodobý hmotný majetok (042) - 094</t>
  </si>
  <si>
    <t>093-093*</t>
  </si>
  <si>
    <t>082011</t>
  </si>
  <si>
    <t>251-251*; 253-253*; 256-256*; 257-257*</t>
  </si>
  <si>
    <t>Doba odpisovania</t>
  </si>
  <si>
    <t>F.q.2) Prehľad o zákazkovej výrobe</t>
  </si>
  <si>
    <t>211202</t>
  </si>
  <si>
    <t>DODAVATELIA</t>
  </si>
  <si>
    <t>321100</t>
  </si>
  <si>
    <t>Poistne</t>
  </si>
  <si>
    <t>548000</t>
  </si>
  <si>
    <t>Podielové CP a podiely v DÚJ</t>
  </si>
  <si>
    <t>TOVAR NA SKLADE CEN.ROZDIEL-RUZOMBEROK</t>
  </si>
  <si>
    <t>474015</t>
  </si>
  <si>
    <t>252-252*</t>
  </si>
  <si>
    <t>Získanie alebo odobratie licencie alebo iného povolenia významného pre činnosť</t>
  </si>
  <si>
    <t>PREDANY TOVAR - BONUSY</t>
  </si>
  <si>
    <t>131005</t>
  </si>
  <si>
    <t>Finančné náklady, z toho:</t>
  </si>
  <si>
    <t>Reklamácie dodávatelia</t>
  </si>
  <si>
    <t>022016</t>
  </si>
  <si>
    <t>Krátkodobé pohľadávky</t>
  </si>
  <si>
    <t>Iné práva</t>
  </si>
  <si>
    <t>Menovitá hodnota</t>
  </si>
  <si>
    <t>Poskyt- nuté preddav- ky na DHM</t>
  </si>
  <si>
    <t>Záväzky z opcií derivátov</t>
  </si>
  <si>
    <t>Neuhradená strata minulých rokov</t>
  </si>
  <si>
    <t>Dlhové CP držané do splatnosti spolu</t>
  </si>
  <si>
    <t>Telefony</t>
  </si>
  <si>
    <t>476-476*</t>
  </si>
  <si>
    <t>Dátum vzniku účtovnej jednotky</t>
  </si>
  <si>
    <t>Nedeliteľný fond</t>
  </si>
  <si>
    <t>414-414*</t>
  </si>
  <si>
    <t>196-196*</t>
  </si>
  <si>
    <t>IČO:</t>
  </si>
  <si>
    <t>B. b. 1) Štruktúra spoločníkov a akcionárov ku dňu, ku ktorému sa zostavuje účtovná závierka</t>
  </si>
  <si>
    <t>g</t>
  </si>
  <si>
    <t>Ostatné neaudítorské služby</t>
  </si>
  <si>
    <t>Pohľadávky z obchodného styku</t>
  </si>
  <si>
    <t>Oceňovacie rozdiely z precenenia majetku a záväzkov (+/- 414)</t>
  </si>
  <si>
    <t>G. i. 2) Pôžičky, krátkodobé finančné výpomoci</t>
  </si>
  <si>
    <t>Náklady na výskum</t>
  </si>
  <si>
    <t>Rozdelenie účtovného zisku</t>
  </si>
  <si>
    <t>Výrobky</t>
  </si>
  <si>
    <t>Leasing 22071051 - VYV Toyota RK</t>
  </si>
  <si>
    <t>Hodnota</t>
  </si>
  <si>
    <t>K. Podsúvahové účty</t>
  </si>
  <si>
    <t>Registračná pokladňa CV</t>
  </si>
  <si>
    <t>261206</t>
  </si>
  <si>
    <t>Zásoby, na ktoré je zriadené záložné právo</t>
  </si>
  <si>
    <t>1) Dlhodobý nehmotný majetok nakupovaný, podnik oceňoval obstarávacou cenou v zložení:</t>
  </si>
  <si>
    <t>259-259*</t>
  </si>
  <si>
    <t>081-081*</t>
  </si>
  <si>
    <t>i</t>
  </si>
  <si>
    <t>Práva zo servisných zmlúv</t>
  </si>
  <si>
    <t>Vnútorné zúčtovanie zásoby PB</t>
  </si>
  <si>
    <t>Leasing 11053443-Octavia combi</t>
  </si>
  <si>
    <t>Spoločník, akcionár</t>
  </si>
  <si>
    <t>E-mailová adresa</t>
  </si>
  <si>
    <t>Tvorba sociálneho fondu na ťarchu nákladov</t>
  </si>
  <si>
    <t>Ostatné významné položky nákladov z hospodárskej činnosti, z toho:</t>
  </si>
  <si>
    <t>Súčasní členovia orgánov</t>
  </si>
  <si>
    <t>Leasing 22060688 - VZV IvankA</t>
  </si>
  <si>
    <t>OBSTARANIE TOVARU-Zah.Bystrica</t>
  </si>
  <si>
    <t>602000</t>
  </si>
  <si>
    <t>Kód druhu obchodu</t>
  </si>
  <si>
    <t>c</t>
  </si>
  <si>
    <t>J. a), až e) Odložená daň</t>
  </si>
  <si>
    <t>082030</t>
  </si>
  <si>
    <t>TOVAR NA SKLADE - Pov.Bystrica</t>
  </si>
  <si>
    <t>Pokladňa BA2</t>
  </si>
  <si>
    <t>385-385*</t>
  </si>
  <si>
    <t>Samostatné hnuteľné veci a súbory hnuteľných vecí (022) - /082, 092A/</t>
  </si>
  <si>
    <t>a/ rozpracované v časti E.</t>
  </si>
  <si>
    <t>F.j. 4) a l) Štruktúra poskytnutých dlhodobých pôžičiek</t>
  </si>
  <si>
    <t>Dlhodobé rezervy, z toho:</t>
  </si>
  <si>
    <t>512000</t>
  </si>
  <si>
    <t>OSTATNE SOCIALNE NAKLADY</t>
  </si>
  <si>
    <t>Vnutorne zuctovanie zasoby KN</t>
  </si>
  <si>
    <t>479-479*</t>
  </si>
  <si>
    <t>323-323*</t>
  </si>
  <si>
    <t>TOVAR NA SKLADE - Ruzomberok</t>
  </si>
  <si>
    <t>Oceňovacie rozdiely z kapitálových účastín (+/- 415)</t>
  </si>
  <si>
    <t>F.za) Ocenenie dlhodobého finančného  majetku ku dňu zostavenia účtovnej závierky reálnou hodnotou</t>
  </si>
  <si>
    <t>I. Informácie k údajom vykázaným v nákladoch</t>
  </si>
  <si>
    <t>F.s.1) Veková štruktúra pohľadávok</t>
  </si>
  <si>
    <t>E. b) Zmeny účtovných zásad a metód</t>
  </si>
  <si>
    <t>POSKYTNUTE PREVADZKOVE ZALOHY</t>
  </si>
  <si>
    <t>053-053*</t>
  </si>
  <si>
    <t>Účtovná hodnota DFM</t>
  </si>
  <si>
    <t>472000</t>
  </si>
  <si>
    <t>031-031*</t>
  </si>
  <si>
    <t>261202</t>
  </si>
  <si>
    <t>Zaúčtovaná ako zníženie nákladov</t>
  </si>
  <si>
    <t>Uplatnená daňová pohľadávka</t>
  </si>
  <si>
    <t>Dlhodobé záväzky spolu</t>
  </si>
  <si>
    <t>Pohľadávky po lehote splatnosti</t>
  </si>
  <si>
    <t>Úrok</t>
  </si>
  <si>
    <t>Účtovná závierka:*)</t>
  </si>
  <si>
    <t>Sociálne poistenie</t>
  </si>
  <si>
    <t>PENIAZE NA CESTE - Zah.Bystric</t>
  </si>
  <si>
    <t>POCIATOCNY UCET SUVAHOVY</t>
  </si>
  <si>
    <t>353-353*</t>
  </si>
  <si>
    <t>Formát súboru musí byť xls (Excel 97 - 2003), kvôli exportu z Magicu.</t>
  </si>
  <si>
    <t>Pohľadávky so zostatkovou dobou splatnosti jeden rok až 5 rokov</t>
  </si>
  <si>
    <t>Základné stádo a ťažné zvieratá</t>
  </si>
  <si>
    <t>472-472*</t>
  </si>
  <si>
    <t>Obstarávaný DFM na účely vykonania vplyvu v inej ÚJ</t>
  </si>
  <si>
    <t>záväzku</t>
  </si>
  <si>
    <t>F.r) Opravné položky k pohľadávkam</t>
  </si>
  <si>
    <t>Obstará- vaný DHM</t>
  </si>
  <si>
    <t>Leasing 22060499 - Mitsubitshi</t>
  </si>
  <si>
    <t>P. Informácie k údajom o zmenách vlastného imania</t>
  </si>
  <si>
    <t>Z nerozdeleného zisku minulých rokov</t>
  </si>
  <si>
    <t>VNUTORNE ZUCTOVANIE - presun zásob LC</t>
  </si>
  <si>
    <t>SPOTREBA ENERGIE</t>
  </si>
  <si>
    <t>518200</t>
  </si>
  <si>
    <t>Podielové cenné papiere a podiely v dcérskej účtovnej jednotke (061) - 096A</t>
  </si>
  <si>
    <t>085-085*</t>
  </si>
  <si>
    <t>Softvér (013) - /073, 091A/</t>
  </si>
  <si>
    <t>211206</t>
  </si>
  <si>
    <t>Prevod peňazí z RP MA</t>
  </si>
  <si>
    <t>Daňové poradenstvo</t>
  </si>
  <si>
    <t>Splatná daň z príjmov</t>
  </si>
  <si>
    <t>Náklady budúcich období dlhodobé (381A, 382A)</t>
  </si>
  <si>
    <t>524000</t>
  </si>
  <si>
    <t>082015</t>
  </si>
  <si>
    <t>Poskytnuté úvery</t>
  </si>
  <si>
    <t>NEROZDELENY ZISK MINUL. ROKOV</t>
  </si>
  <si>
    <t>OBSTARANIE TOVARU - Čierna Voda</t>
  </si>
  <si>
    <t>041-041*</t>
  </si>
  <si>
    <t>schválená</t>
  </si>
  <si>
    <t>Tržby za vlastné výrobky</t>
  </si>
  <si>
    <t>022012</t>
  </si>
  <si>
    <t>131001</t>
  </si>
  <si>
    <t>231-232*</t>
  </si>
  <si>
    <t>316-316*</t>
  </si>
  <si>
    <t>Druh CP</t>
  </si>
  <si>
    <t>Ostatné položky vlastného imania</t>
  </si>
  <si>
    <t>261204</t>
  </si>
  <si>
    <t>Zákonný rezervný fond (nedeliteľný fond) z kapitálových vkladov</t>
  </si>
  <si>
    <t>Podielové cenné papiere a podiely v spol. s podstatným vplyvom (062) - 096A</t>
  </si>
  <si>
    <t>do jedného roka vrátane</t>
  </si>
  <si>
    <t>Dlhodobý finančný majetok, pri ktorom má účtovná jednotka obmedzené právo s ním nakladať</t>
  </si>
  <si>
    <t>Ostatný DHM</t>
  </si>
  <si>
    <t>Sídlo:</t>
  </si>
  <si>
    <t>Hodnota pohľadávky</t>
  </si>
  <si>
    <t>641000</t>
  </si>
  <si>
    <t>Bývalí členovia orgánov</t>
  </si>
  <si>
    <t>Peniaze (211, 213, 21X)</t>
  </si>
  <si>
    <t>F.d) Prehľad o dlhodobom nehmotnom a hmotnom majetku, pri ktorom vlastnícke práva nadobudol veriteľ zmluvou o zabezpečovacom prevode práva, alebo ktorý užíva účtovná jednotka na základe zmluvy o výpožičke</t>
  </si>
  <si>
    <t>Podiel ÚJ na ZI v %</t>
  </si>
  <si>
    <t>Pohľ. z obchodného styku  (311A, 312A, 313A, 314A, 315A, 31XA) - 391A</t>
  </si>
  <si>
    <t>Teoretická daň</t>
  </si>
  <si>
    <t>Dodavatelia zahranicny</t>
  </si>
  <si>
    <t>Štatutárne fondy a ostatné fondy (423, 427, 42X)</t>
  </si>
  <si>
    <t>Oblasť odbytu</t>
  </si>
  <si>
    <t>Hodnota podielov podľa spoločníkov (obchodná spoločnosť)</t>
  </si>
  <si>
    <t>TRZBY Z PREDAJA NEHMOT.A H.MAJ</t>
  </si>
  <si>
    <t>e</t>
  </si>
  <si>
    <t>Zo zmluvy o podriadenom záväzku</t>
  </si>
  <si>
    <t>f/ rozpracované v časti J.</t>
  </si>
  <si>
    <t>B. b. 2) Štruktúra spoločníkov a akcionárov do dňa jej zmeny vzniknutej v priebehu účtovného obdobia</t>
  </si>
  <si>
    <t>Významné položky pri aktivácii nákladov, z toho:</t>
  </si>
  <si>
    <t>Napĺňajú sa automaticky prevodom zo zdrojových hárkov podľa nadefinovaného vzorca alebo manuálne.</t>
  </si>
  <si>
    <t>TOVAR NA SKLADE CEN.ROZDIEL-MALACKY</t>
  </si>
  <si>
    <t>211-213*</t>
  </si>
  <si>
    <t>131-131*; 132-132*; 133-133*; 139-139*</t>
  </si>
  <si>
    <t>066-066*</t>
  </si>
  <si>
    <t>OBSTARANIE HMOTNYCH INVESTICII</t>
  </si>
  <si>
    <t>ZAKONNY REZERVNY FOND</t>
  </si>
  <si>
    <t>Oceňovacie rozdiely z kapitálových účastín</t>
  </si>
  <si>
    <t>Suma odloženého daňového záväzku, ktorý vznikol z dôvodu neúčtovania tej časti odloženej daňovej pohľadávky v bežnom účtovnom období, o ktorej sa účtovalo v predchádzajúcich účtovných obdobiach</t>
  </si>
  <si>
    <t>Tovar</t>
  </si>
  <si>
    <t>Hrubý zisk / hrubá strata</t>
  </si>
  <si>
    <t>082013</t>
  </si>
  <si>
    <t>Registračná pokladňa PB</t>
  </si>
  <si>
    <t>BANKOVY UCET - INKASO</t>
  </si>
  <si>
    <t>Leasing 11070456 - Skoda fabia</t>
  </si>
  <si>
    <t>Iné pohľadávky (335A, 33XA, 371A, 373A, 374A, 375A, 376A, 378A) - 391A</t>
  </si>
  <si>
    <t>Do splatnosti od jedného roka do troch rokov vrátane</t>
  </si>
  <si>
    <t>Práva z koncesionálnych zmlúv</t>
  </si>
  <si>
    <t>Nedokončená výroba a polotovary vlastnej výroby</t>
  </si>
  <si>
    <t>F.w. 1) Krátkodobý finančný majetok</t>
  </si>
  <si>
    <t>Sídlo účtovnej jednotky</t>
  </si>
  <si>
    <t>Výnosy zo zákazkovej výstavby nehnuteľnosti určenej na predaj</t>
  </si>
  <si>
    <t>Účet 491 - Vlastné imanie fyzickej osoby - podnikateľa</t>
  </si>
  <si>
    <t>Druh formy zabezpečenia záväzku</t>
  </si>
  <si>
    <t>Zo štatutárnych a ostatných fondov</t>
  </si>
  <si>
    <t>MD záporný</t>
  </si>
  <si>
    <t>022014</t>
  </si>
  <si>
    <t>Vnútorné zúčtovanie zásoby CV</t>
  </si>
  <si>
    <t>Uroky - leasing</t>
  </si>
  <si>
    <t>131007</t>
  </si>
  <si>
    <t>474017</t>
  </si>
  <si>
    <t>Zaúčtovaná ako náklad</t>
  </si>
  <si>
    <t>kontokorent</t>
  </si>
  <si>
    <t>eur</t>
  </si>
  <si>
    <t>tovar</t>
  </si>
  <si>
    <t>sluzby</t>
  </si>
  <si>
    <t>31.12.</t>
  </si>
  <si>
    <t>S</t>
  </si>
  <si>
    <t>T</t>
  </si>
  <si>
    <t>A</t>
  </si>
  <si>
    <t>V</t>
  </si>
  <si>
    <t>U</t>
  </si>
  <si>
    <t>B</t>
  </si>
  <si>
    <t>I</t>
  </si>
  <si>
    <t>L</t>
  </si>
  <si>
    <t>D</t>
  </si>
  <si>
    <t>R</t>
  </si>
  <si>
    <t>O</t>
  </si>
  <si>
    <t>N</t>
  </si>
  <si>
    <t>K</t>
  </si>
  <si>
    <t>Možnosť umorovať daňovú stratu v budúcnosti</t>
  </si>
  <si>
    <t>F.q.3) Prehľad o zákazkovej výstavbe nehnuteľnosti určenej na predaj</t>
  </si>
  <si>
    <t>BANKOVE UVERY</t>
  </si>
  <si>
    <t>Výrobky (123) - 194</t>
  </si>
  <si>
    <t>074-074*</t>
  </si>
  <si>
    <t>Hodnotové vyjadrenie obchodu</t>
  </si>
  <si>
    <t>Do splatnosti od troch rokov do piatich rokov vrátane</t>
  </si>
  <si>
    <t>Hodnota a percentuálna výška ich podielu na základnom imaní v prípade ich zmeny v účtovnom období. Výška podielu na ostatných položkách vlastného imania sa uvádza v prípade, ak sa percentuálny podiel spoločníkov na základnom imaní odlišuje od podielu spoločníkov na ostatných položkách vlastného imania.</t>
  </si>
  <si>
    <t>031000</t>
  </si>
  <si>
    <t>518300</t>
  </si>
  <si>
    <t>Obstarávaný krátkodobý finančný majetok (259, 314A) - 291</t>
  </si>
  <si>
    <t>Do splatnosti do jedného roka vrátane</t>
  </si>
  <si>
    <t>221003</t>
  </si>
  <si>
    <t>261221</t>
  </si>
  <si>
    <t>474019</t>
  </si>
  <si>
    <t>Podnik tvoril v bežnom roku zásoby vlastnou výrobou</t>
  </si>
  <si>
    <t>OBSTARANIE TOVARU - Ruzomberok</t>
  </si>
  <si>
    <t>521000</t>
  </si>
  <si>
    <t>451-451*</t>
  </si>
  <si>
    <t>335-335*; 373-376*; 378-378*</t>
  </si>
  <si>
    <t>Náklady na obstarávanie nehnuteľností na predaj za účtovné obdobie</t>
  </si>
  <si>
    <t>Pohľadávky so zostatkovou dobou splatnosti dlhšou ako 5 rokov</t>
  </si>
  <si>
    <t>Finančný výnos</t>
  </si>
  <si>
    <t>211204</t>
  </si>
  <si>
    <t>Pozemky (031) - 092A</t>
  </si>
  <si>
    <t>Dlhodobé pôžičky</t>
  </si>
  <si>
    <t>Práva z privatizácie</t>
  </si>
  <si>
    <t>Podpisový záznam osoby zodpovednej za vedenie účtovníctva:</t>
  </si>
  <si>
    <t>Použitie</t>
  </si>
  <si>
    <t>TOVAR NA SKLADE - ZAH.BYSTRICA</t>
  </si>
  <si>
    <t>082017</t>
  </si>
  <si>
    <t>Hodnota pohľadávok, na ktoré sa zriadilo záložné právo</t>
  </si>
  <si>
    <t>Začiatočný stav sociálneho fondu</t>
  </si>
  <si>
    <t>Ostatná tvorba sociálneho fondu</t>
  </si>
  <si>
    <t>H. a) Tržby za vlastné výkony a tovar</t>
  </si>
  <si>
    <t>OPRAVKY K SOFTWARU</t>
  </si>
  <si>
    <t>321000</t>
  </si>
  <si>
    <t>-časť nepriamych nákladov, súvisiaca s ich vytváraním</t>
  </si>
  <si>
    <t>P. a) až n. 1) Zmeny zložiek vlastného imania</t>
  </si>
  <si>
    <t>Zmena stavu vnútroorganizačných zásob vo výkaze ziskov a strát</t>
  </si>
  <si>
    <t>022010</t>
  </si>
  <si>
    <t>131003</t>
  </si>
  <si>
    <t>474013</t>
  </si>
  <si>
    <t>062-062*</t>
  </si>
  <si>
    <t>Pohľadávky spolu</t>
  </si>
  <si>
    <t>absolútne</t>
  </si>
  <si>
    <t>Dlhové CP na obchodovanie</t>
  </si>
  <si>
    <t>Podnik má novozistený majetok pri inventarizácii</t>
  </si>
  <si>
    <t>Sadzba dane z príjmov (v %)</t>
  </si>
  <si>
    <t>Stav OP na začiatku účtovného obdobia</t>
  </si>
  <si>
    <t>Zost. hodnota</t>
  </si>
  <si>
    <t>Náklady vynaložené v bežnom období na vývoj - neaktivované</t>
  </si>
  <si>
    <t>Ostatné realizovateľné CP a podiely</t>
  </si>
  <si>
    <t>343002</t>
  </si>
  <si>
    <t>Suma odloženého daňového záväzku, účtovaného ako náklad alebo výnos, vyplývajúci zo zmeny sadzby dane z príjmov</t>
  </si>
  <si>
    <t>082019</t>
  </si>
  <si>
    <t>Ostat.dlhodobé cenné papiere a podiely (063, 065) - 096A</t>
  </si>
  <si>
    <t>Zlúčenie, splynutie, rozdelenie a zmena právnej formy</t>
  </si>
  <si>
    <t>Krátkodobý finančný majetok, pri ktorom bolo obmedzené právo s ním nakladať</t>
  </si>
  <si>
    <t>Hodnota vplyvu na príslušnú zložku bilancie</t>
  </si>
  <si>
    <t>314343</t>
  </si>
  <si>
    <t>Majetok vykázaný v súvahe</t>
  </si>
  <si>
    <t>Ostatné významné položky finančných výnosov, z toho:</t>
  </si>
  <si>
    <t>Presuny</t>
  </si>
  <si>
    <t>Nemeňte poradie týchto hárkov v dokumente, musia byť na pozícii 2 až 5, inak nebude export fungovať správne.</t>
  </si>
  <si>
    <t>Leasing 22060148 - VZV Toyota</t>
  </si>
  <si>
    <t>Typ výrobkov, tovarov, služieb (napr. C)</t>
  </si>
  <si>
    <t>Zmena stavu vnútroorganizačných zásob</t>
  </si>
  <si>
    <t>431000</t>
  </si>
  <si>
    <t>421-421*</t>
  </si>
  <si>
    <t>Vydanie dlhopisov a iných cenných papierov</t>
  </si>
  <si>
    <t>DPH zo zaplatených preddavkov</t>
  </si>
  <si>
    <t>336000</t>
  </si>
  <si>
    <t>a</t>
  </si>
  <si>
    <t>G. j) Významné položky časového rozlíšenia na strane pasív</t>
  </si>
  <si>
    <t>Časť 1 - Bežné účtovné obdobie</t>
  </si>
  <si>
    <t>G. e) Hodnota záväzkov zabezpečená záložným právom</t>
  </si>
  <si>
    <t>Dohodnutá cena podkladového nástroja</t>
  </si>
  <si>
    <t>OBSTARANIE TOVARU-Kosice</t>
  </si>
  <si>
    <t>504010</t>
  </si>
  <si>
    <t>Nedokončená výroba a polotovary vlastnej výroby (121, 122, 12X) - /192, 193, 19X/</t>
  </si>
  <si>
    <t>Podpisový záznam osoby zodpovednej za zostavenie účtovnej závierky:</t>
  </si>
  <si>
    <t>.</t>
  </si>
  <si>
    <t>IČO</t>
  </si>
  <si>
    <t>081000</t>
  </si>
  <si>
    <t>TOVAR NA SKLADE CEN.ROZDIEL-LUCENEC</t>
  </si>
  <si>
    <t>211221</t>
  </si>
  <si>
    <t>PENIAZE NA CESTE - Ruzomberok</t>
  </si>
  <si>
    <t>Výnosy zo zákazky</t>
  </si>
  <si>
    <t>Dátum:......................................</t>
  </si>
  <si>
    <t>Hodnota záväzku zabezpečená</t>
  </si>
  <si>
    <t>Číslo faxu</t>
  </si>
  <si>
    <t>Automaticky napĺňané tabuľky:</t>
  </si>
  <si>
    <t>F.m) Prehľad o dlhodobom finančnom majetku, na ktorý je zriadené záložné právo, alebo pri ktorom má účtovná jednotka obmedzené právo s ním nakladať</t>
  </si>
  <si>
    <t>OBSTARANIE TOVARU  - Komarno</t>
  </si>
  <si>
    <t>Rezervy zákonné krátkodobé (323A, 451A)</t>
  </si>
  <si>
    <t>111-111*; 112-112*; 119-119*</t>
  </si>
  <si>
    <t>012-012*</t>
  </si>
  <si>
    <t>Zostatková hodnota</t>
  </si>
  <si>
    <t>A. a) Obchodné meno účtovnej jednotky</t>
  </si>
  <si>
    <t>Poznámky Úč POD 3 - 04</t>
  </si>
  <si>
    <t>VNUTORNE ZUCTOVANIE - presun zásob CV</t>
  </si>
  <si>
    <t>551000</t>
  </si>
  <si>
    <t>015-015*</t>
  </si>
  <si>
    <t>Zmluvy, ktoré sa neúčtujú na súvahových účtoch</t>
  </si>
  <si>
    <t>NAKLADY NA REPREZENTACIU</t>
  </si>
  <si>
    <t>022008</t>
  </si>
  <si>
    <t>PRIJMY BUDUCICH OBDOBIN</t>
  </si>
  <si>
    <t>Majetkové CP na obchodovanie</t>
  </si>
  <si>
    <t>F.x) Opravné položky ku krátkodobému finančnému majetku</t>
  </si>
  <si>
    <t>zdaniteľné</t>
  </si>
  <si>
    <t>395006</t>
  </si>
  <si>
    <t>Podnik v bežnom roku tvoril DHM vlastnou činnosťou</t>
  </si>
  <si>
    <t>E. a) Účtovná jednotka bude nepretržite pokračovať vo svojej činnosti:</t>
  </si>
  <si>
    <t>G.a. 1), 2), 4), 6) Údaje o vlastnom imaní</t>
  </si>
  <si>
    <t>C. Informácie o konsolidovanom celku, ak je účtovná jednotka jeho súčasťou</t>
  </si>
  <si>
    <t>395100</t>
  </si>
  <si>
    <t>Suma neuplatneného umorenia daňovej straty, nevyužitých daňových odpočtov a iných nárokov a odpočítateľných dočasných rozdielov, ku ktorým nebola účtovaná odložená daňová pohľadávka</t>
  </si>
  <si>
    <t>Tvorba sociálneho fondu spolu</t>
  </si>
  <si>
    <t>Leasing 11043801-Renaul Kangoo</t>
  </si>
  <si>
    <t>Leasing 111614-L / Mitsubischi LC</t>
  </si>
  <si>
    <t>701000</t>
  </si>
  <si>
    <t>Príjmy budúcich období dlhodobé (385A)</t>
  </si>
  <si>
    <t>Účtovná hodnota</t>
  </si>
  <si>
    <t>Zmeny reálnej hodnoty majetku</t>
  </si>
  <si>
    <t>ID</t>
  </si>
  <si>
    <t>082001</t>
  </si>
  <si>
    <t>POKLADNA - Lucenec</t>
  </si>
  <si>
    <t>604001</t>
  </si>
  <si>
    <t>Daňové pohľadávky a dotácie (341, 342, 343, 345, 346, 347) - 391A</t>
  </si>
  <si>
    <t>Náklady na obstaranie nehnuteľností na predaj od začiatku obstarávania</t>
  </si>
  <si>
    <t>G. k. 1) Významné položky derivátov</t>
  </si>
  <si>
    <t>Za bežné účtovné obdobie</t>
  </si>
  <si>
    <t>Leas plan</t>
  </si>
  <si>
    <t>Emisné ážio (412)</t>
  </si>
  <si>
    <t>1) Zdrojové hárky (Suvaha_BO, Suvaha_PO, HK_BO, HK_PO, OPO_BO, OPO_PO)</t>
  </si>
  <si>
    <t>Štatutárne fondy a ostatné fondy</t>
  </si>
  <si>
    <t>211000</t>
  </si>
  <si>
    <t>PENIAZE NA CESTE - pokladna BA2</t>
  </si>
  <si>
    <t>022006</t>
  </si>
  <si>
    <t>082024</t>
  </si>
  <si>
    <t>ODPISY NEHM. A HMOT.INV.MAJETK</t>
  </si>
  <si>
    <t>Ostatné záväzky (372A, 373A, 377A, 379A, 474A, 479A, 47X)</t>
  </si>
  <si>
    <t>Záväzky voči zamestnancom (331,333, 33X, 479A)</t>
  </si>
  <si>
    <t>067-067*; 069-069*</t>
  </si>
  <si>
    <t>L. a), b), 1) Významné položky o podmienených záväzkoch</t>
  </si>
  <si>
    <t>Začatie alebo ukončenie činnosti časti účtovnej jednotky /napr. prevádzkárne/</t>
  </si>
  <si>
    <t>Tieto hárky sú exportované z účtovného modulu IS Magic a slúžia ako zdroj údajov pre tabuľky v Poznámkach.</t>
  </si>
  <si>
    <t>132104</t>
  </si>
  <si>
    <t>Pôžičky účtovnej jednotke v konsolidovanom celku (066A) - 096A</t>
  </si>
  <si>
    <t>Podnik v bežnom roku nakupoval dlhodobý hmotný majetok</t>
  </si>
  <si>
    <t>.............................................................</t>
  </si>
  <si>
    <t>022023</t>
  </si>
  <si>
    <t>TOVAR NA SKLADE CEN.ROZDIEL-POVAZIE</t>
  </si>
  <si>
    <t>461000</t>
  </si>
  <si>
    <t>474020</t>
  </si>
  <si>
    <t>Čistá hodnota zákazky (316A)</t>
  </si>
  <si>
    <t>v celých eurách *)</t>
  </si>
  <si>
    <t>F.o.1) Opravné položky k zásobám</t>
  </si>
  <si>
    <t>132002</t>
  </si>
  <si>
    <t>372-373*; 377-377*; 379-379*</t>
  </si>
  <si>
    <t>k/ rozpracované v časti P.</t>
  </si>
  <si>
    <t>4) Dlhodobý hmotný majetok vytvorený vlastnou činnosťou oceňoval podnik vlastnými nákladmi v zložení:</t>
  </si>
  <si>
    <t>Leasing PK-109680 - Mitsibishi</t>
  </si>
  <si>
    <t>321-322*; 324-325*</t>
  </si>
  <si>
    <t>Aktivované náklady na vývoj (012) - /072, 091A/</t>
  </si>
  <si>
    <t>Rok, ktorého sa účtovanie týkalo</t>
  </si>
  <si>
    <t>g/ rozpracované v časti K.</t>
  </si>
  <si>
    <t>Základné imanie (411 alebo +/- 491)</t>
  </si>
  <si>
    <t>Hodnota vlastného imania ÚJ, v ktorej má  ÚJ umiestnený DFM</t>
  </si>
  <si>
    <t>Výnosy nepodliehajúce dani</t>
  </si>
  <si>
    <t>Čerpanie sociálneho fondu</t>
  </si>
  <si>
    <t>Registračná pokladňa LC</t>
  </si>
  <si>
    <t>261004</t>
  </si>
  <si>
    <t>602010</t>
  </si>
  <si>
    <t>Práva zo súdnych sporov</t>
  </si>
  <si>
    <t>Podnik v bežnom roku vlastnil cenné papiere</t>
  </si>
  <si>
    <t>ZUCTOV.S INSTIT.SOC.ZABEZPEC.</t>
  </si>
  <si>
    <t>501000</t>
  </si>
  <si>
    <t>Krátkodobé pôžičky</t>
  </si>
  <si>
    <t>132100</t>
  </si>
  <si>
    <t>PREPRAVNE</t>
  </si>
  <si>
    <t>082020</t>
  </si>
  <si>
    <t>výsledok hospodárenia</t>
  </si>
  <si>
    <t>Vyplatené dividendy</t>
  </si>
  <si>
    <t>132006</t>
  </si>
  <si>
    <t>DANE A POPLATKY</t>
  </si>
  <si>
    <t>474024</t>
  </si>
  <si>
    <t>A. b) Opis hospodárskej činnosti účtovnej jednotky</t>
  </si>
  <si>
    <t>Pri účtovaní zásob postupoval podnik podľa Postupov účtovania, ÚT I, čl.2.</t>
  </si>
  <si>
    <t>022027</t>
  </si>
  <si>
    <t>DIČ:</t>
  </si>
  <si>
    <t>073-073*</t>
  </si>
  <si>
    <t>L. Informácie k údajom o iných aktívach a pasívach</t>
  </si>
  <si>
    <t>Pohľadávky kryté záložným právom alebo inou formou zabezpečenia</t>
  </si>
  <si>
    <t>361-361*</t>
  </si>
  <si>
    <t>Poistná suma</t>
  </si>
  <si>
    <t>022029</t>
  </si>
  <si>
    <t>DOPRAVA, CESTOVNE</t>
  </si>
  <si>
    <t>459-459*</t>
  </si>
  <si>
    <t>011-011*; 019-019*</t>
  </si>
  <si>
    <t>Bežné bankové účty</t>
  </si>
  <si>
    <t>Základ dane</t>
  </si>
  <si>
    <t>422-422*</t>
  </si>
  <si>
    <t>DPH výstup tuzemsko 19%</t>
  </si>
  <si>
    <t>501004</t>
  </si>
  <si>
    <t>Nehnuteľnosť na predaj</t>
  </si>
  <si>
    <t>Druh ocenenia (reálnou hodnotou alebo metódou vlastného imania)</t>
  </si>
  <si>
    <t>riadna</t>
  </si>
  <si>
    <t>MD celkový</t>
  </si>
  <si>
    <t>261000</t>
  </si>
  <si>
    <t>Vnútorné zúčtovanie zásoby KE</t>
  </si>
  <si>
    <t>Krátkodobý finančný majetok, na ktorý bolo zriadené záložné právo</t>
  </si>
  <si>
    <t>Náklady za poskytnuté služby, z toho:</t>
  </si>
  <si>
    <t>Sumár od začiatku zákazkovej výstavby nehnuteľnosti určenej na predaj až do konca bežného účt. obdobia</t>
  </si>
  <si>
    <t>Náklady vynaložené v bežnom období na vývoj - aktivované</t>
  </si>
  <si>
    <t>Prídel do sociálneho fondu</t>
  </si>
  <si>
    <t>395002</t>
  </si>
  <si>
    <t>KURZOVE ZISKY</t>
  </si>
  <si>
    <t>061-061*</t>
  </si>
  <si>
    <t>Suma odloženej daňovej pohľadávky účtovanej ako náklad alebo výnos, vyplývajúca zo zmeny sadzby dane z príjmov</t>
  </si>
  <si>
    <t>Suma prijatých preddavkov</t>
  </si>
  <si>
    <t>POKLADNA Komarno</t>
  </si>
  <si>
    <t>Zmena výšky rezerv a opravných položiek o ktorých sa účtovná jednotka dozvedela v horeuvedenom období</t>
  </si>
  <si>
    <t>192-193*</t>
  </si>
  <si>
    <t>Dôvod účtovania</t>
  </si>
  <si>
    <t>Leasing 11060095 - Fabia Clas</t>
  </si>
  <si>
    <t>Lesing 11043801-Renault Kangoo</t>
  </si>
  <si>
    <t>D kladný</t>
  </si>
  <si>
    <t>395104</t>
  </si>
  <si>
    <t>Marketing, reklama, tlacoviny</t>
  </si>
  <si>
    <t>411000</t>
  </si>
  <si>
    <t>311-315*</t>
  </si>
  <si>
    <t>Daň</t>
  </si>
  <si>
    <t>ZAKONNE SOCIALNE NAKLADY</t>
  </si>
  <si>
    <t>G. c), d) Výška záväzkov do lehoty a po lehote splatnosti</t>
  </si>
  <si>
    <t>F.g) Prehľad o položkách účtovaných na účte 097 - opravná položka k nadobudnutému majetku</t>
  </si>
  <si>
    <t>F.p) Prehľad o zásobách, na ktoré je zriadené záložné právo, alebo pri ktorých má účtovná jednotka obmedzené právo s nimi nakladať</t>
  </si>
  <si>
    <t>Leasing 22080667 vozik CAT - KN</t>
  </si>
  <si>
    <t>082005</t>
  </si>
  <si>
    <t>Registračná pokladňa BA2</t>
  </si>
  <si>
    <t>Dátum splatnosti</t>
  </si>
  <si>
    <t>Podiel na hlasovacích 
právach 
v %</t>
  </si>
  <si>
    <t>zostavená</t>
  </si>
  <si>
    <t>Rozdelenie podielu spoločníkom, členom</t>
  </si>
  <si>
    <t>Položky výnosov</t>
  </si>
  <si>
    <t>TOVAR NA SKLADE - Ivanka</t>
  </si>
  <si>
    <t>POKLADNA - Malacky</t>
  </si>
  <si>
    <t>PENIAZE NA CESTE Komarno</t>
  </si>
  <si>
    <t>241-241*; 249-249*</t>
  </si>
  <si>
    <t>429-429*</t>
  </si>
  <si>
    <t>Odpísané pohľadávky</t>
  </si>
  <si>
    <t>Reálna hodnota</t>
  </si>
  <si>
    <t>022002</t>
  </si>
  <si>
    <t>211004</t>
  </si>
  <si>
    <t>Prevod peňazí z RP RK</t>
  </si>
  <si>
    <t>378001</t>
  </si>
  <si>
    <t>Odložený daňový záväzok (481A)</t>
  </si>
  <si>
    <t>Typ výrobkov, tovarov, služieb (napr. B)</t>
  </si>
  <si>
    <t>C. b)</t>
  </si>
  <si>
    <t>2) Dlhodobý nehmotný majetok vytvorený vlastnou činnosťou oceňoval podnik vlastnými nákladmi v zložení:</t>
  </si>
  <si>
    <t>Dôvod zmeny</t>
  </si>
  <si>
    <t>Dlhodobý nehmotný majetok vytvorený vlastnou činnosťou oceňoval podnik reprodukčnou obstarávacou cenou v prípade, ak vlastné náklady sú vyššie ako reprodukčná obstarávacia cena tohto majetku.</t>
  </si>
  <si>
    <t>PENIAZE NA CESTE - Kosice</t>
  </si>
  <si>
    <t>PREDANY TOVAR</t>
  </si>
  <si>
    <t>221-221*</t>
  </si>
  <si>
    <t>Priemerný prepočítaný počet zamestnancov</t>
  </si>
  <si>
    <t>Pokles alebo zvýšenie trhovej ceny finančného majetku ako dôsledku oklností, ktoré nastali po dni, ku ktorému sa zostavuje účtovná závierka do dňa zostavenia účtovnej závierky</t>
  </si>
  <si>
    <t>M. a), b), c) Príjmy a výhody členov štatutárnych, dozorných a iných orgánov</t>
  </si>
  <si>
    <t>Úhrada straty z minulých období</t>
  </si>
  <si>
    <t>261100</t>
  </si>
  <si>
    <t>549000</t>
  </si>
  <si>
    <t>Obstarávaný dlhodobý finančný majetok (043) - 096A</t>
  </si>
  <si>
    <t>Majetok v nájme (operatívny prenájom)</t>
  </si>
  <si>
    <t>D. Ďalšie informácie</t>
  </si>
  <si>
    <t>Emisné ážio</t>
  </si>
  <si>
    <t>L. a), b), 2) Významné položky o podmienených záväzkoch</t>
  </si>
  <si>
    <t>vlastné imanie</t>
  </si>
  <si>
    <t>Súbor Poznamky.xls obsahuje dva druhy hárkov:</t>
  </si>
  <si>
    <t>261006</t>
  </si>
  <si>
    <t>082-082*</t>
  </si>
  <si>
    <t>Obstarávaný dlhodobý nehm. majetok (041)  - 093</t>
  </si>
  <si>
    <t>Nepeňažné preddavky</t>
  </si>
  <si>
    <t>Odložená daňová pohľadávka</t>
  </si>
  <si>
    <t>082028</t>
  </si>
  <si>
    <t>501002</t>
  </si>
  <si>
    <t>Registracna pokladna - Komarno</t>
  </si>
  <si>
    <t>195-195*</t>
  </si>
  <si>
    <t>Výnosy z nehnuteľnosti na predaj</t>
  </si>
  <si>
    <t>H. g) Čistý obrat</t>
  </si>
  <si>
    <t>082026</t>
  </si>
  <si>
    <t>MZDOVE NAKLADY</t>
  </si>
  <si>
    <t>563000</t>
  </si>
  <si>
    <t>475-475*</t>
  </si>
  <si>
    <t>Zo všeobecne záväzných predpisov</t>
  </si>
  <si>
    <t>Obchodné meno a sídlo konsolidujúcej účtovnej jednotky, ktorá zostavuje konsolidovanú účtovnú závierku za všetky skupiny účtovných jednotiek konsolidovaného celku, pre ktorú je účtovná jednotka konsolidovanou účtovnou jednotkou:</t>
  </si>
  <si>
    <t>L. c) Opis a hodnota podmieneného majetku</t>
  </si>
  <si>
    <t>Krátkodobé záväzky spolu</t>
  </si>
  <si>
    <t>132106</t>
  </si>
  <si>
    <t>429000</t>
  </si>
  <si>
    <t>568000</t>
  </si>
  <si>
    <t>Zaúčtovaná do vlastného imania</t>
  </si>
  <si>
    <t>Vplyv ocenenia na výsledok hospodárenia a na výšku vlastného imania</t>
  </si>
  <si>
    <t>Zabezpečovacie deriváty, z toho</t>
  </si>
  <si>
    <t>Pokladnica, ceniny</t>
  </si>
  <si>
    <t>474022</t>
  </si>
  <si>
    <t>022021</t>
  </si>
  <si>
    <t>Leasing 11071956 - Volksw.EOS</t>
  </si>
  <si>
    <t>F.t) u) Pohľadávky zabezpečené záložným právom alebo inou formou zabezpečenia</t>
  </si>
  <si>
    <t>Zoznam udalostí, ktoré nastali, alebo sú dôsledkom okolností po dni, ku ktorému sa zostavuje účtovná závierka do dňa zostavenia účt. závierky</t>
  </si>
  <si>
    <t>Ulica</t>
  </si>
  <si>
    <t>Leasing 22060535 - Merced.Avor</t>
  </si>
  <si>
    <t>F.e) Prehľad o dlhodobom nehnuteľnom majetku, pri ktorom nebolo vlastnícke právo zapísané vkladom do katastra nehnuteľností ku dňu zostavenia účtovnej závierky a táto ho užíva</t>
  </si>
  <si>
    <t>POZEMKY</t>
  </si>
  <si>
    <t>073000</t>
  </si>
  <si>
    <t>336-336*</t>
  </si>
  <si>
    <t>132000</t>
  </si>
  <si>
    <t>Bežné bankové úvery (221A, 231, 232, 23X, 461A, 46XA)</t>
  </si>
  <si>
    <t>Odložená daňová pohľadávka (481A)</t>
  </si>
  <si>
    <t>Vnútorné zúčtovanie zásoby LC</t>
  </si>
  <si>
    <t>423-423*; 427-427*</t>
  </si>
  <si>
    <t>Možnosť previesť nevyužité daňové odpočty</t>
  </si>
  <si>
    <t>Pohľadávky podľa zostatkovej doby splatnosti</t>
  </si>
  <si>
    <t>F.a) 2) Prehľad o pohybe dlhodobého hmotného majetku</t>
  </si>
  <si>
    <t>Leasing 111614-L - Mitsubishi LC</t>
  </si>
  <si>
    <t>082003</t>
  </si>
  <si>
    <t>Spotreba PHM - plyn</t>
  </si>
  <si>
    <t>Daňovo neuznané náklady</t>
  </si>
  <si>
    <t>v %</t>
  </si>
  <si>
    <t>INE POHLADAVKY</t>
  </si>
  <si>
    <t>089-089*</t>
  </si>
  <si>
    <t>H. Informácie k údajom vykázaným vo výnosoch</t>
  </si>
  <si>
    <t>Deriváty určené na obchodovanie, z toho</t>
  </si>
  <si>
    <t>Pred exportom vymažte ich obsah. Pozor, použite funkciu Vymazať obsah (Clear contents), nie Odstrániť (Delete), inak sa stratia odkazy na zdrojové údaje !!!</t>
  </si>
  <si>
    <t>022004</t>
  </si>
  <si>
    <t>211002</t>
  </si>
  <si>
    <t>MANKA A SKODY</t>
  </si>
  <si>
    <t>Zmena reálnej hodnoty (+/-) s vplyvom na</t>
  </si>
  <si>
    <t>Druh zmeny zásady alebo metódy</t>
  </si>
  <si>
    <t>Dlhodobý nehmotný majetok, pri ktorom má účtovná jednotka obmedzené právo s ním nakladať</t>
  </si>
  <si>
    <t>474009</t>
  </si>
  <si>
    <t>B. a) Štatutárne, dozorné a iné orgány</t>
  </si>
  <si>
    <t>Hodnota pohľadávok, pri ktorých je obmedzené právo s numi nakladať</t>
  </si>
  <si>
    <t>395004</t>
  </si>
  <si>
    <t>518310</t>
  </si>
  <si>
    <t>Záväzky z obchodného styku (321, 322, 324, 325, 32X, 475A, 478A, 479A, 47XA)</t>
  </si>
  <si>
    <t>Podnik prijal darovaný majetok</t>
  </si>
  <si>
    <t>F.zb) Významné položky časového rozlíšenia nákladov budúcich období a príjmov budúcich období</t>
  </si>
  <si>
    <t>Iné výnosy súvisiace s bežnou činnosťou</t>
  </si>
  <si>
    <t>Lesing 11070456 - Skoda Fabia</t>
  </si>
  <si>
    <t>Výška podielu 
na základnom imaní</t>
  </si>
  <si>
    <t>Dlhodobé pôžičky spolu</t>
  </si>
  <si>
    <t>Účet</t>
  </si>
  <si>
    <t>BUDOVY, HALY A STAVBY</t>
  </si>
  <si>
    <t>POKLADNA Ruzomberok</t>
  </si>
  <si>
    <t>343110</t>
  </si>
  <si>
    <t>395102</t>
  </si>
  <si>
    <t>384-384*; 387-387*</t>
  </si>
  <si>
    <t>Dlhodobé pohľadávky</t>
  </si>
  <si>
    <t>Opravné položky</t>
  </si>
  <si>
    <t>211100</t>
  </si>
  <si>
    <t>DPH z prijatých platieb</t>
  </si>
  <si>
    <t>082007</t>
  </si>
  <si>
    <t>086-086*</t>
  </si>
  <si>
    <t>Daň v %</t>
  </si>
  <si>
    <t>Suma Dal</t>
  </si>
  <si>
    <t>Registračná pokladňa KE</t>
  </si>
  <si>
    <t>532000</t>
  </si>
  <si>
    <t>Rezervy zákonné dlhodobé (451A)</t>
  </si>
  <si>
    <t>od jedného roka do piatich rokov vrátane</t>
  </si>
  <si>
    <t>Spriaznená osoba</t>
  </si>
  <si>
    <t>Právna forma</t>
  </si>
  <si>
    <t>022000</t>
  </si>
  <si>
    <t>211006</t>
  </si>
  <si>
    <t>042-042*</t>
  </si>
  <si>
    <t>I. a), b), c), d), e) Významné položky nákladov za poskytnuté služby</t>
  </si>
  <si>
    <t>Pohľadávky</t>
  </si>
  <si>
    <t>Výsledok hospodárenia ÚJ, v ktorej má ÚJ umiestnený DFM</t>
  </si>
  <si>
    <t>029000</t>
  </si>
  <si>
    <t>Zo zákonného rezervného fondu</t>
  </si>
  <si>
    <t>Obchodné meno a sídlo bezprostredne konsolidujúcej účtovnej jednotky, ktorá zostavuje konsolidovanú účtovnú závierku za tú skupinu účtovných jednotiek konsolidovaného celku, ktorého súčasťou je aj účtovná jednotka</t>
  </si>
  <si>
    <t>Leasing LZF/06/01715 Renault M</t>
  </si>
  <si>
    <t>DPH odpočet tuzemsko 19%</t>
  </si>
  <si>
    <t>395000</t>
  </si>
  <si>
    <t>513000</t>
  </si>
  <si>
    <t>Leasing 111261-L - Nissan X-Trail - cent</t>
  </si>
  <si>
    <t>Zvieratá (124) - 195</t>
  </si>
  <si>
    <t>518000</t>
  </si>
  <si>
    <t>413-413*</t>
  </si>
  <si>
    <t>191-191*</t>
  </si>
  <si>
    <t>Obchodné meno (názov) účtovnej jednotky</t>
  </si>
  <si>
    <t>Do splatnosti viac ako päť rokov</t>
  </si>
  <si>
    <t>VNUTORNE ZUCTOVANIE - presun zásob MA</t>
  </si>
  <si>
    <t>395106</t>
  </si>
  <si>
    <t>471-471*</t>
  </si>
  <si>
    <t>Stav na konci účtovného obdobia</t>
  </si>
  <si>
    <t>Opis položky časového rozlíšenia</t>
  </si>
  <si>
    <t>Podpis štatutárneho orgánu</t>
  </si>
  <si>
    <t>Majetok prijatý do úschovy</t>
  </si>
  <si>
    <t>082009</t>
  </si>
  <si>
    <t>Vlastna spotreba tovaru</t>
  </si>
  <si>
    <t>032-032*</t>
  </si>
  <si>
    <t>pohľadávky</t>
  </si>
  <si>
    <t>Bankovy ucet Tatra - mzdy</t>
  </si>
  <si>
    <t>474028</t>
  </si>
  <si>
    <t>255-255*</t>
  </si>
  <si>
    <t>počet vedúcich zamestnancov</t>
  </si>
  <si>
    <t>E.e) Dotácie poskytnuté na obstaranie majetku:</t>
  </si>
  <si>
    <t>Obchodné meno a sídlo konsolidujúcej účtovnej jednotky, v ktorej  je možné tieto konsolidované účtovné závierky získať:</t>
  </si>
  <si>
    <t>Leasing 2208063 - VZV Yale BA</t>
  </si>
  <si>
    <t>Hodnota voči spriazneným osobám</t>
  </si>
  <si>
    <t>Hodnota predmetu</t>
  </si>
  <si>
    <t>Ostatné pohľadávky v rámci konsolidovaného celku</t>
  </si>
  <si>
    <t>Zásoby spolu</t>
  </si>
  <si>
    <t>Leasing 22050434 - VZV Toyota</t>
  </si>
  <si>
    <t>291-291*</t>
  </si>
  <si>
    <t>094-094*</t>
  </si>
  <si>
    <t>F.j. 2) Štruktúra dlhodobého finančného majetku a jeho zmena stavu</t>
  </si>
  <si>
    <t>Leasing 22060783 - VZV</t>
  </si>
  <si>
    <t>OPRAVKY K BUDOVAM,HALAM A ST.</t>
  </si>
  <si>
    <t>261002</t>
  </si>
  <si>
    <t>Suma zadržanej platby</t>
  </si>
  <si>
    <t>h/ rozpracované v časti L.</t>
  </si>
  <si>
    <t>Základné imanie</t>
  </si>
  <si>
    <t>132102</t>
  </si>
  <si>
    <t>342000</t>
  </si>
  <si>
    <t>N. c) Zoznam obchodov účtovnej jednotky s dcérskou účtovnou jednotkou a materskou účtovnou jednotkou bez ohľadu na to, či sa obchody medzi nimi v bežnom účtovnom období uskutočnili, alebo neuskutočnili</t>
  </si>
  <si>
    <t>Účtovné metódy a zásady boli aplikované v rámci platného zákona o účtovníctve, s osobitosťami:</t>
  </si>
  <si>
    <t>082022</t>
  </si>
  <si>
    <t>504000</t>
  </si>
  <si>
    <t>Prevod peňazí z RP BA2</t>
  </si>
  <si>
    <t>Ostatný dlhodobý finančný majetok (067A, 069, 06XA) - 096A</t>
  </si>
  <si>
    <t>Vyfaktúrované nároky za vykonanú prácu na zákazkovej výstavbe nehnuteľnosti určenej na predaj</t>
  </si>
  <si>
    <t>Náklady na overenie individuálnej účtovnej závierky</t>
  </si>
  <si>
    <t>Obchodné meno</t>
  </si>
  <si>
    <t>132004</t>
  </si>
  <si>
    <t>priebežná</t>
  </si>
  <si>
    <t>022025</t>
  </si>
  <si>
    <t>474026</t>
  </si>
  <si>
    <t/>
  </si>
  <si>
    <t>416-416*</t>
  </si>
  <si>
    <t>391-391*</t>
  </si>
  <si>
    <t>194-194*</t>
  </si>
  <si>
    <t>Stav OP na konci účtovného obdobia</t>
  </si>
  <si>
    <t>E. Informácie o účtovných zásadách a účtovných metódach</t>
  </si>
  <si>
    <t>F.h) Prehľad o výskumnej a vývojovej činnosti v bežnom období</t>
  </si>
  <si>
    <t>c/ rozpracované v časti G.</t>
  </si>
  <si>
    <t>Subdodavatelia</t>
  </si>
  <si>
    <t>474-474*</t>
  </si>
  <si>
    <t>Záväzky sociálneho fondu (472)</t>
  </si>
  <si>
    <t>štatutárnych</t>
  </si>
  <si>
    <t>Leasing 22070394 - Benz AXOR</t>
  </si>
  <si>
    <t>331000</t>
  </si>
  <si>
    <t>DAN CESTNA</t>
  </si>
  <si>
    <t>Pestovateľské celky trval. porastov (025) - /085, 092A/</t>
  </si>
  <si>
    <t>Časť 2 - Bezprostredne predchádzajúce účtovné obdobie</t>
  </si>
  <si>
    <t>H. f) Mimoriadne výnosy, týkajúce sa bežného obdobia a týkajúce sa minulých období</t>
  </si>
  <si>
    <t>261203</t>
  </si>
  <si>
    <t>ZAVAZKY ZO SOCIAL.FONDU</t>
  </si>
  <si>
    <t>025-025*</t>
  </si>
  <si>
    <t>Bankové účty termínované</t>
  </si>
  <si>
    <t>A. c) Priemerný počet zamestnancov počas účtovného obdobia</t>
  </si>
  <si>
    <t>Dočasné rozdiely medzi účtovnou hodnotou záväzkov a daňovou základňou, z toho</t>
  </si>
  <si>
    <t>Pohľadávky z derivátov</t>
  </si>
  <si>
    <t>Zmena základného imania (+/- 419)</t>
  </si>
  <si>
    <t>b</t>
  </si>
  <si>
    <t>Očakávané budúce obchody dosiaľ zmluvne nezabezpečené</t>
  </si>
  <si>
    <t>A. f) Dátum schválenia účtovnej závierky za predchádzajúce obdobie:</t>
  </si>
  <si>
    <t>Prevod do nerozdeleného zisku minulých rokov</t>
  </si>
  <si>
    <t>Rozsah účtov</t>
  </si>
  <si>
    <t>Záväzky voči spoločníkom a združeniu (364, 365, 366, 367, 368, 398A, 478A, 479A)</t>
  </si>
  <si>
    <t>Oceňovacie rozdiely z precenenia pri zlúčení, splynutí a rozdelení (+/- 416)</t>
  </si>
  <si>
    <t>Položka vlastného imania</t>
  </si>
  <si>
    <t>Zmena spoločníkov účtovnej jednotky</t>
  </si>
  <si>
    <t>-</t>
  </si>
  <si>
    <t>TOVAR NA SKLADE - LUCENEC</t>
  </si>
  <si>
    <t>211222</t>
  </si>
  <si>
    <t>BANKOVE UCTY</t>
  </si>
  <si>
    <t xml:space="preserve"> </t>
  </si>
  <si>
    <t>E</t>
  </si>
  <si>
    <t>M</t>
  </si>
  <si>
    <t xml:space="preserve"> S</t>
  </si>
  <si>
    <t>P</t>
  </si>
  <si>
    <t>REDIMER s.r.o.</t>
  </si>
  <si>
    <t>SPUTNIKOVA 16, BRATISLAVA</t>
  </si>
  <si>
    <t>Veľkoobchod s mäsom</t>
  </si>
  <si>
    <t>Ing. JURAJ MASKAĽ</t>
  </si>
  <si>
    <t>KONATEĽ</t>
  </si>
  <si>
    <t xml:space="preserve">Ing.JURAJ MASKAĽ </t>
  </si>
  <si>
    <t>TOVAR</t>
  </si>
</sst>
</file>

<file path=xl/styles.xml><?xml version="1.0" encoding="utf-8"?>
<styleSheet xmlns="http://schemas.openxmlformats.org/spreadsheetml/2006/main">
  <fonts count="19">
    <font>
      <sz val="11"/>
      <color indexed="8"/>
      <name val="Calibri"/>
      <family val="2"/>
      <charset val="238"/>
    </font>
    <font>
      <sz val="8"/>
      <name val="Tahoma"/>
      <family val="2"/>
    </font>
    <font>
      <b/>
      <sz val="11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3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b/>
      <sz val="7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5">
    <xf numFmtId="0" fontId="0" fillId="0" borderId="0" xfId="0"/>
    <xf numFmtId="0" fontId="3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1" xfId="0" applyFont="1" applyBorder="1"/>
    <xf numFmtId="0" fontId="4" fillId="0" borderId="1" xfId="0" applyFont="1" applyBorder="1" applyAlignment="1">
      <alignment wrapText="1"/>
    </xf>
    <xf numFmtId="14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center"/>
    </xf>
    <xf numFmtId="49" fontId="3" fillId="0" borderId="0" xfId="0" applyNumberFormat="1" applyFont="1" applyAlignment="1">
      <alignment vertical="top" wrapText="1"/>
    </xf>
    <xf numFmtId="0" fontId="5" fillId="0" borderId="0" xfId="0" applyFont="1"/>
    <xf numFmtId="0" fontId="6" fillId="0" borderId="0" xfId="0" applyFont="1"/>
    <xf numFmtId="0" fontId="7" fillId="0" borderId="1" xfId="0" applyNumberFormat="1" applyFont="1" applyBorder="1"/>
    <xf numFmtId="0" fontId="5" fillId="0" borderId="0" xfId="0" applyFont="1" applyAlignment="1"/>
    <xf numFmtId="0" fontId="0" fillId="0" borderId="0" xfId="0" applyAlignment="1"/>
    <xf numFmtId="0" fontId="8" fillId="0" borderId="0" xfId="0" applyFont="1" applyAlignment="1">
      <alignment wrapText="1"/>
    </xf>
    <xf numFmtId="0" fontId="8" fillId="0" borderId="0" xfId="0" applyFont="1" applyAlignment="1"/>
    <xf numFmtId="0" fontId="0" fillId="0" borderId="0" xfId="0" applyBorder="1" applyAlignment="1">
      <alignment wrapText="1"/>
    </xf>
    <xf numFmtId="49" fontId="8" fillId="0" borderId="0" xfId="0" applyNumberFormat="1" applyFont="1"/>
    <xf numFmtId="0" fontId="8" fillId="0" borderId="0" xfId="0" applyFont="1"/>
    <xf numFmtId="0" fontId="4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3" fillId="0" borderId="0" xfId="0" applyFont="1"/>
    <xf numFmtId="0" fontId="0" fillId="0" borderId="0" xfId="0" applyFont="1" applyAlignment="1"/>
    <xf numFmtId="0" fontId="4" fillId="0" borderId="2" xfId="0" applyFont="1" applyBorder="1" applyAlignment="1">
      <alignment horizontal="center"/>
    </xf>
    <xf numFmtId="0" fontId="3" fillId="0" borderId="1" xfId="0" applyFont="1" applyBorder="1" applyAlignment="1"/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Font="1"/>
    <xf numFmtId="0" fontId="9" fillId="0" borderId="0" xfId="0" applyFont="1"/>
    <xf numFmtId="0" fontId="9" fillId="0" borderId="3" xfId="0" applyFont="1" applyBorder="1" applyAlignment="1"/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14" fillId="0" borderId="1" xfId="0" applyFont="1" applyBorder="1" applyAlignment="1">
      <alignment vertical="center"/>
    </xf>
    <xf numFmtId="0" fontId="5" fillId="0" borderId="0" xfId="0" applyFont="1" applyAlignment="1">
      <alignment wrapText="1"/>
    </xf>
    <xf numFmtId="0" fontId="3" fillId="0" borderId="0" xfId="0" applyFont="1" applyBorder="1" applyAlignment="1"/>
    <xf numFmtId="0" fontId="15" fillId="0" borderId="4" xfId="0" applyFont="1" applyBorder="1" applyAlignment="1">
      <alignment vertic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vertical="center" wrapText="1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/>
    <xf numFmtId="0" fontId="4" fillId="0" borderId="5" xfId="0" applyFont="1" applyBorder="1" applyAlignment="1">
      <alignment horizontal="center" wrapText="1"/>
    </xf>
    <xf numFmtId="0" fontId="15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15" fillId="0" borderId="0" xfId="0" applyFont="1" applyBorder="1" applyAlignment="1">
      <alignment horizontal="right" vertical="center"/>
    </xf>
    <xf numFmtId="0" fontId="15" fillId="0" borderId="0" xfId="0" applyFont="1" applyBorder="1" applyAlignment="1">
      <alignment vertical="center" wrapText="1"/>
    </xf>
    <xf numFmtId="0" fontId="15" fillId="0" borderId="1" xfId="0" applyFont="1" applyBorder="1"/>
    <xf numFmtId="0" fontId="14" fillId="0" borderId="6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5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right"/>
    </xf>
    <xf numFmtId="0" fontId="15" fillId="0" borderId="7" xfId="0" applyFont="1" applyBorder="1" applyAlignment="1">
      <alignment horizontal="center" vertical="center"/>
    </xf>
    <xf numFmtId="0" fontId="15" fillId="0" borderId="0" xfId="0" applyFont="1" applyBorder="1" applyAlignment="1">
      <alignment wrapText="1"/>
    </xf>
    <xf numFmtId="0" fontId="14" fillId="0" borderId="0" xfId="0" applyFont="1" applyBorder="1" applyAlignment="1">
      <alignment wrapText="1"/>
    </xf>
    <xf numFmtId="0" fontId="12" fillId="0" borderId="0" xfId="0" applyFont="1"/>
    <xf numFmtId="0" fontId="13" fillId="0" borderId="0" xfId="0" applyFont="1"/>
    <xf numFmtId="0" fontId="18" fillId="0" borderId="0" xfId="0" applyFont="1"/>
    <xf numFmtId="14" fontId="3" fillId="0" borderId="1" xfId="0" applyNumberFormat="1" applyFont="1" applyBorder="1" applyAlignment="1"/>
    <xf numFmtId="0" fontId="0" fillId="0" borderId="10" xfId="0" applyBorder="1" applyAlignment="1"/>
    <xf numFmtId="0" fontId="0" fillId="0" borderId="0" xfId="0" applyBorder="1" applyAlignment="1"/>
    <xf numFmtId="0" fontId="0" fillId="0" borderId="11" xfId="0" applyBorder="1" applyAlignment="1"/>
    <xf numFmtId="0" fontId="0" fillId="0" borderId="0" xfId="0" applyAlignment="1"/>
    <xf numFmtId="0" fontId="0" fillId="0" borderId="12" xfId="0" applyBorder="1" applyAlignment="1"/>
    <xf numFmtId="0" fontId="0" fillId="0" borderId="3" xfId="0" applyBorder="1" applyAlignment="1"/>
    <xf numFmtId="0" fontId="0" fillId="0" borderId="13" xfId="0" applyBorder="1" applyAlignment="1"/>
    <xf numFmtId="0" fontId="11" fillId="0" borderId="14" xfId="0" applyFont="1" applyBorder="1" applyAlignment="1">
      <alignment vertical="top" wrapText="1"/>
    </xf>
    <xf numFmtId="0" fontId="11" fillId="0" borderId="15" xfId="0" applyFont="1" applyBorder="1" applyAlignment="1">
      <alignment vertical="top" wrapText="1"/>
    </xf>
    <xf numFmtId="0" fontId="11" fillId="0" borderId="16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11" fillId="0" borderId="11" xfId="0" applyFont="1" applyBorder="1" applyAlignment="1">
      <alignment vertical="top" wrapText="1"/>
    </xf>
    <xf numFmtId="14" fontId="7" fillId="0" borderId="10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7" fillId="0" borderId="14" xfId="0" applyFont="1" applyBorder="1" applyAlignment="1"/>
    <xf numFmtId="0" fontId="0" fillId="0" borderId="15" xfId="0" applyBorder="1" applyAlignment="1"/>
    <xf numFmtId="0" fontId="0" fillId="0" borderId="16" xfId="0" applyBorder="1" applyAlignment="1"/>
    <xf numFmtId="0" fontId="7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9" fillId="0" borderId="0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3" xfId="0" applyFont="1" applyBorder="1" applyAlignment="1"/>
    <xf numFmtId="0" fontId="3" fillId="0" borderId="1" xfId="0" applyFont="1" applyBorder="1" applyAlignment="1"/>
    <xf numFmtId="0" fontId="0" fillId="0" borderId="1" xfId="0" applyBorder="1" applyAlignment="1"/>
    <xf numFmtId="0" fontId="3" fillId="0" borderId="14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4" fillId="0" borderId="17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3" fillId="0" borderId="12" xfId="0" applyFont="1" applyBorder="1" applyAlignment="1"/>
    <xf numFmtId="0" fontId="3" fillId="0" borderId="3" xfId="0" applyFont="1" applyBorder="1" applyAlignment="1"/>
    <xf numFmtId="0" fontId="3" fillId="0" borderId="13" xfId="0" applyFont="1" applyBorder="1" applyAlignment="1"/>
    <xf numFmtId="0" fontId="3" fillId="0" borderId="4" xfId="0" applyFont="1" applyBorder="1" applyAlignment="1">
      <alignment wrapText="1"/>
    </xf>
    <xf numFmtId="0" fontId="3" fillId="0" borderId="8" xfId="0" applyFont="1" applyBorder="1" applyAlignment="1"/>
    <xf numFmtId="0" fontId="0" fillId="0" borderId="2" xfId="0" applyBorder="1" applyAlignment="1"/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9" xfId="0" applyFont="1" applyBorder="1" applyAlignment="1"/>
    <xf numFmtId="0" fontId="3" fillId="0" borderId="2" xfId="0" applyFont="1" applyBorder="1" applyAlignment="1"/>
    <xf numFmtId="0" fontId="0" fillId="0" borderId="5" xfId="0" applyBorder="1" applyAlignment="1">
      <alignment horizontal="center" wrapText="1"/>
    </xf>
    <xf numFmtId="0" fontId="3" fillId="0" borderId="4" xfId="0" applyFont="1" applyBorder="1" applyAlignment="1"/>
    <xf numFmtId="0" fontId="0" fillId="0" borderId="4" xfId="0" applyBorder="1" applyAlignment="1"/>
    <xf numFmtId="0" fontId="4" fillId="0" borderId="17" xfId="0" applyFont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9" xfId="0" applyBorder="1" applyAlignment="1"/>
    <xf numFmtId="0" fontId="0" fillId="0" borderId="8" xfId="0" applyBorder="1" applyAlignment="1"/>
    <xf numFmtId="14" fontId="3" fillId="0" borderId="8" xfId="0" applyNumberFormat="1" applyFont="1" applyBorder="1" applyAlignment="1"/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3" fillId="0" borderId="5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4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2" xfId="0" applyBorder="1" applyAlignment="1">
      <alignment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Font="1" applyAlignment="1">
      <alignment wrapText="1"/>
    </xf>
    <xf numFmtId="0" fontId="0" fillId="0" borderId="3" xfId="0" applyBorder="1" applyAlignment="1">
      <alignment wrapText="1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3" fillId="0" borderId="1" xfId="0" applyFont="1" applyBorder="1" applyAlignment="1">
      <alignment vertical="top" wrapText="1"/>
    </xf>
    <xf numFmtId="0" fontId="8" fillId="0" borderId="15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/>
    <xf numFmtId="0" fontId="0" fillId="0" borderId="4" xfId="0" applyBorder="1" applyAlignment="1">
      <alignment wrapText="1"/>
    </xf>
    <xf numFmtId="0" fontId="4" fillId="0" borderId="19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15" fillId="0" borderId="1" xfId="0" applyFont="1" applyBorder="1" applyAlignment="1"/>
    <xf numFmtId="0" fontId="14" fillId="0" borderId="1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/>
    <xf numFmtId="0" fontId="15" fillId="0" borderId="1" xfId="0" applyFont="1" applyBorder="1" applyAlignment="1">
      <alignment horizontal="center"/>
    </xf>
    <xf numFmtId="0" fontId="14" fillId="0" borderId="1" xfId="0" applyFont="1" applyBorder="1" applyAlignment="1"/>
    <xf numFmtId="0" fontId="15" fillId="0" borderId="8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4" fillId="0" borderId="8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5" fillId="0" borderId="17" xfId="0" applyFont="1" applyBorder="1" applyAlignment="1">
      <alignment horizontal="center"/>
    </xf>
    <xf numFmtId="0" fontId="15" fillId="0" borderId="12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4" xfId="0" applyFont="1" applyBorder="1" applyAlignment="1">
      <alignment vertical="center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vertical="center"/>
    </xf>
    <xf numFmtId="0" fontId="14" fillId="0" borderId="8" xfId="0" applyFont="1" applyBorder="1" applyAlignment="1">
      <alignment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wrapText="1"/>
    </xf>
    <xf numFmtId="0" fontId="15" fillId="0" borderId="1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5" fillId="0" borderId="5" xfId="0" applyFont="1" applyBorder="1" applyAlignment="1">
      <alignment horizontal="center" wrapText="1"/>
    </xf>
    <xf numFmtId="0" fontId="1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4" fillId="0" borderId="4" xfId="0" applyFon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14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14" fillId="0" borderId="1" xfId="0" applyFont="1" applyBorder="1" applyAlignment="1">
      <alignment horizont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15" fillId="0" borderId="1" xfId="0" applyFont="1" applyBorder="1" applyAlignment="1">
      <alignment horizontal="right" vertical="center"/>
    </xf>
    <xf numFmtId="0" fontId="15" fillId="0" borderId="4" xfId="0" applyFont="1" applyBorder="1" applyAlignment="1">
      <alignment horizontal="right" vertical="center"/>
    </xf>
    <xf numFmtId="0" fontId="15" fillId="0" borderId="4" xfId="0" applyFont="1" applyBorder="1" applyAlignment="1">
      <alignment horizontal="left"/>
    </xf>
    <xf numFmtId="0" fontId="15" fillId="0" borderId="4" xfId="0" applyFont="1" applyBorder="1" applyAlignment="1">
      <alignment horizontal="right"/>
    </xf>
    <xf numFmtId="0" fontId="15" fillId="0" borderId="1" xfId="0" applyFont="1" applyBorder="1" applyAlignment="1">
      <alignment horizontal="left"/>
    </xf>
    <xf numFmtId="0" fontId="15" fillId="0" borderId="1" xfId="0" applyFont="1" applyBorder="1" applyAlignment="1">
      <alignment horizontal="right"/>
    </xf>
    <xf numFmtId="0" fontId="15" fillId="0" borderId="20" xfId="0" applyFont="1" applyBorder="1" applyAlignment="1">
      <alignment horizontal="left" vertical="center" wrapText="1"/>
    </xf>
    <xf numFmtId="0" fontId="15" fillId="0" borderId="21" xfId="0" applyFont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20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0" fillId="0" borderId="22" xfId="0" applyBorder="1" applyAlignment="1">
      <alignment wrapText="1"/>
    </xf>
    <xf numFmtId="0" fontId="15" fillId="0" borderId="9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5" fillId="0" borderId="7" xfId="0" applyFont="1" applyBorder="1" applyAlignment="1">
      <alignment horizontal="right" vertical="center"/>
    </xf>
    <xf numFmtId="0" fontId="14" fillId="0" borderId="20" xfId="0" applyFont="1" applyBorder="1" applyAlignment="1">
      <alignment horizontal="left" vertical="center" wrapText="1"/>
    </xf>
    <xf numFmtId="0" fontId="14" fillId="0" borderId="21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right" vertical="center"/>
    </xf>
    <xf numFmtId="0" fontId="1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14" fillId="0" borderId="8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8" xfId="0" applyFont="1" applyBorder="1" applyAlignment="1">
      <alignment horizontal="right" vertical="center"/>
    </xf>
    <xf numFmtId="0" fontId="14" fillId="0" borderId="2" xfId="0" applyFont="1" applyBorder="1" applyAlignment="1">
      <alignment horizontal="right" vertical="center"/>
    </xf>
    <xf numFmtId="0" fontId="14" fillId="0" borderId="8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4" fillId="0" borderId="20" xfId="0" applyFont="1" applyBorder="1" applyAlignment="1">
      <alignment horizontal="left"/>
    </xf>
    <xf numFmtId="0" fontId="12" fillId="0" borderId="21" xfId="0" applyFont="1" applyBorder="1" applyAlignment="1">
      <alignment horizontal="left"/>
    </xf>
    <xf numFmtId="0" fontId="12" fillId="0" borderId="22" xfId="0" applyFont="1" applyBorder="1" applyAlignment="1">
      <alignment horizontal="left"/>
    </xf>
    <xf numFmtId="0" fontId="14" fillId="0" borderId="14" xfId="0" applyFont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4" fillId="0" borderId="14" xfId="0" applyFont="1" applyBorder="1" applyAlignment="1">
      <alignment horizontal="right" vertical="center"/>
    </xf>
    <xf numFmtId="0" fontId="14" fillId="0" borderId="16" xfId="0" applyFont="1" applyBorder="1" applyAlignment="1">
      <alignment horizontal="right" vertical="center"/>
    </xf>
    <xf numFmtId="0" fontId="15" fillId="0" borderId="7" xfId="0" applyFon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Border="1"/>
    <xf numFmtId="0" fontId="0" fillId="0" borderId="7" xfId="0" applyBorder="1"/>
    <xf numFmtId="0" fontId="15" fillId="0" borderId="7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right" vertical="center" wrapText="1"/>
    </xf>
    <xf numFmtId="0" fontId="14" fillId="0" borderId="1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center" wrapText="1"/>
    </xf>
    <xf numFmtId="0" fontId="14" fillId="0" borderId="5" xfId="0" applyFont="1" applyBorder="1" applyAlignment="1">
      <alignment horizontal="center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/>
    </xf>
    <xf numFmtId="0" fontId="15" fillId="0" borderId="5" xfId="0" applyFont="1" applyBorder="1" applyAlignment="1">
      <alignment horizontal="center" vertical="center" wrapText="1"/>
    </xf>
    <xf numFmtId="0" fontId="15" fillId="0" borderId="7" xfId="0" applyFont="1" applyBorder="1"/>
    <xf numFmtId="0" fontId="15" fillId="0" borderId="1" xfId="0" applyFont="1" applyBorder="1"/>
    <xf numFmtId="0" fontId="14" fillId="0" borderId="1" xfId="0" applyFont="1" applyBorder="1"/>
    <xf numFmtId="0" fontId="15" fillId="0" borderId="7" xfId="0" applyFont="1" applyBorder="1" applyAlignment="1">
      <alignment horizontal="left"/>
    </xf>
    <xf numFmtId="0" fontId="15" fillId="0" borderId="5" xfId="0" applyFont="1" applyFill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0" fillId="0" borderId="0" xfId="0"/>
    <xf numFmtId="0" fontId="15" fillId="0" borderId="1" xfId="0" applyFont="1" applyBorder="1" applyAlignment="1">
      <alignment horizontal="right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7" xfId="0" applyBorder="1" applyAlignment="1"/>
    <xf numFmtId="0" fontId="15" fillId="0" borderId="8" xfId="0" applyFont="1" applyBorder="1"/>
    <xf numFmtId="0" fontId="15" fillId="0" borderId="2" xfId="0" applyFont="1" applyBorder="1"/>
    <xf numFmtId="0" fontId="3" fillId="0" borderId="1" xfId="0" applyFont="1" applyBorder="1"/>
    <xf numFmtId="0" fontId="5" fillId="0" borderId="0" xfId="0" applyFont="1" applyAlignment="1">
      <alignment horizontal="left" wrapText="1"/>
    </xf>
    <xf numFmtId="0" fontId="14" fillId="0" borderId="1" xfId="0" applyFont="1" applyBorder="1" applyAlignment="1">
      <alignment horizontal="right"/>
    </xf>
    <xf numFmtId="0" fontId="14" fillId="0" borderId="7" xfId="0" applyFont="1" applyBorder="1"/>
    <xf numFmtId="0" fontId="14" fillId="0" borderId="5" xfId="0" applyFont="1" applyBorder="1" applyAlignment="1">
      <alignment horizontal="left" wrapText="1"/>
    </xf>
    <xf numFmtId="0" fontId="14" fillId="0" borderId="1" xfId="0" applyFont="1" applyBorder="1" applyAlignment="1">
      <alignment horizontal="left" wrapText="1"/>
    </xf>
    <xf numFmtId="0" fontId="14" fillId="0" borderId="17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5" fillId="0" borderId="1" xfId="0" applyFont="1" applyBorder="1" applyAlignment="1">
      <alignment horizontal="left" wrapText="1"/>
    </xf>
    <xf numFmtId="0" fontId="15" fillId="0" borderId="8" xfId="0" applyFont="1" applyBorder="1" applyAlignment="1"/>
    <xf numFmtId="0" fontId="15" fillId="0" borderId="9" xfId="0" applyFont="1" applyBorder="1" applyAlignment="1"/>
    <xf numFmtId="0" fontId="15" fillId="0" borderId="2" xfId="0" applyFont="1" applyBorder="1" applyAlignment="1"/>
    <xf numFmtId="0" fontId="14" fillId="0" borderId="8" xfId="0" applyFont="1" applyBorder="1" applyAlignment="1"/>
    <xf numFmtId="0" fontId="14" fillId="0" borderId="9" xfId="0" applyFont="1" applyBorder="1" applyAlignment="1"/>
    <xf numFmtId="0" fontId="14" fillId="0" borderId="2" xfId="0" applyFont="1" applyBorder="1" applyAlignment="1"/>
    <xf numFmtId="0" fontId="14" fillId="0" borderId="17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5" fillId="0" borderId="20" xfId="0" applyFont="1" applyBorder="1" applyAlignment="1"/>
    <xf numFmtId="0" fontId="15" fillId="0" borderId="21" xfId="0" applyFont="1" applyBorder="1" applyAlignment="1"/>
    <xf numFmtId="0" fontId="15" fillId="0" borderId="22" xfId="0" applyFont="1" applyBorder="1" applyAlignment="1"/>
    <xf numFmtId="0" fontId="15" fillId="0" borderId="12" xfId="0" applyFont="1" applyBorder="1" applyAlignment="1"/>
    <xf numFmtId="0" fontId="15" fillId="0" borderId="3" xfId="0" applyFont="1" applyBorder="1" applyAlignment="1"/>
    <xf numFmtId="0" fontId="15" fillId="0" borderId="13" xfId="0" applyFont="1" applyBorder="1" applyAlignment="1"/>
    <xf numFmtId="0" fontId="3" fillId="0" borderId="20" xfId="0" applyFont="1" applyBorder="1" applyAlignment="1"/>
    <xf numFmtId="0" fontId="14" fillId="0" borderId="7" xfId="0" applyFont="1" applyBorder="1" applyAlignment="1">
      <alignment horizontal="left" wrapText="1"/>
    </xf>
    <xf numFmtId="0" fontId="15" fillId="0" borderId="4" xfId="0" applyFont="1" applyBorder="1" applyAlignment="1">
      <alignment horizontal="left" wrapText="1"/>
    </xf>
    <xf numFmtId="0" fontId="15" fillId="0" borderId="7" xfId="0" applyFont="1" applyBorder="1" applyAlignment="1">
      <alignment horizontal="left" wrapText="1"/>
    </xf>
    <xf numFmtId="0" fontId="15" fillId="0" borderId="7" xfId="0" applyFont="1" applyBorder="1" applyAlignment="1">
      <alignment horizontal="right"/>
    </xf>
    <xf numFmtId="0" fontId="4" fillId="0" borderId="8" xfId="0" applyFont="1" applyBorder="1" applyAlignment="1"/>
    <xf numFmtId="0" fontId="15" fillId="0" borderId="7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5" fillId="0" borderId="4" xfId="0" applyFont="1" applyBorder="1" applyAlignment="1">
      <alignment wrapText="1"/>
    </xf>
    <xf numFmtId="0" fontId="15" fillId="0" borderId="4" xfId="0" applyFont="1" applyBorder="1" applyAlignment="1"/>
    <xf numFmtId="0" fontId="14" fillId="0" borderId="5" xfId="0" applyFont="1" applyBorder="1" applyAlignment="1">
      <alignment vertical="center" wrapText="1"/>
    </xf>
    <xf numFmtId="0" fontId="15" fillId="0" borderId="1" xfId="0" applyFont="1" applyBorder="1" applyAlignment="1">
      <alignment wrapText="1"/>
    </xf>
    <xf numFmtId="0" fontId="14" fillId="0" borderId="1" xfId="0" applyFont="1" applyBorder="1" applyAlignment="1">
      <alignment wrapText="1"/>
    </xf>
    <xf numFmtId="0" fontId="4" fillId="0" borderId="1" xfId="0" applyFont="1" applyBorder="1" applyAlignment="1"/>
    <xf numFmtId="0" fontId="14" fillId="0" borderId="4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4" xfId="0" applyFont="1" applyBorder="1" applyAlignment="1"/>
    <xf numFmtId="0" fontId="15" fillId="0" borderId="20" xfId="0" applyFont="1" applyBorder="1" applyAlignment="1">
      <alignment horizontal="left" vertical="center"/>
    </xf>
    <xf numFmtId="0" fontId="15" fillId="0" borderId="21" xfId="0" applyFont="1" applyBorder="1" applyAlignment="1">
      <alignment horizontal="left" vertical="center"/>
    </xf>
    <xf numFmtId="0" fontId="15" fillId="0" borderId="20" xfId="0" applyFont="1" applyBorder="1" applyAlignment="1">
      <alignment horizontal="right" vertical="center"/>
    </xf>
    <xf numFmtId="0" fontId="15" fillId="0" borderId="21" xfId="0" applyFont="1" applyBorder="1" applyAlignment="1">
      <alignment horizontal="right" vertical="center"/>
    </xf>
    <xf numFmtId="0" fontId="15" fillId="0" borderId="22" xfId="0" applyFont="1" applyBorder="1" applyAlignment="1">
      <alignment horizontal="right" vertical="center"/>
    </xf>
    <xf numFmtId="0" fontId="15" fillId="0" borderId="8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15" fillId="0" borderId="8" xfId="0" applyFont="1" applyBorder="1" applyAlignment="1">
      <alignment horizontal="right" vertical="center"/>
    </xf>
    <xf numFmtId="0" fontId="15" fillId="0" borderId="9" xfId="0" applyFont="1" applyBorder="1" applyAlignment="1">
      <alignment horizontal="right" vertical="center"/>
    </xf>
    <xf numFmtId="0" fontId="15" fillId="0" borderId="2" xfId="0" applyFont="1" applyBorder="1" applyAlignment="1">
      <alignment horizontal="right" vertical="center"/>
    </xf>
    <xf numFmtId="0" fontId="14" fillId="0" borderId="20" xfId="0" applyFont="1" applyBorder="1" applyAlignment="1">
      <alignment horizontal="left" vertical="center"/>
    </xf>
    <xf numFmtId="0" fontId="14" fillId="0" borderId="21" xfId="0" applyFont="1" applyBorder="1" applyAlignment="1">
      <alignment horizontal="left" vertical="center"/>
    </xf>
    <xf numFmtId="0" fontId="14" fillId="0" borderId="22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14" fillId="0" borderId="9" xfId="0" applyFont="1" applyBorder="1" applyAlignment="1">
      <alignment horizontal="left"/>
    </xf>
    <xf numFmtId="0" fontId="14" fillId="0" borderId="2" xfId="0" applyFont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15" fillId="0" borderId="7" xfId="0" applyFont="1" applyBorder="1" applyAlignment="1">
      <alignment wrapText="1"/>
    </xf>
    <xf numFmtId="0" fontId="15" fillId="0" borderId="5" xfId="0" applyFont="1" applyBorder="1" applyAlignment="1">
      <alignment horizontal="center" vertical="center"/>
    </xf>
    <xf numFmtId="0" fontId="15" fillId="0" borderId="8" xfId="0" applyFont="1" applyBorder="1" applyAlignment="1">
      <alignment horizontal="right"/>
    </xf>
    <xf numFmtId="0" fontId="15" fillId="0" borderId="9" xfId="0" applyFont="1" applyBorder="1" applyAlignment="1">
      <alignment horizontal="right"/>
    </xf>
    <xf numFmtId="0" fontId="15" fillId="0" borderId="2" xfId="0" applyFont="1" applyBorder="1" applyAlignment="1">
      <alignment horizontal="right"/>
    </xf>
    <xf numFmtId="0" fontId="15" fillId="0" borderId="1" xfId="0" applyFont="1" applyBorder="1" applyAlignment="1">
      <alignment horizontal="right" wrapText="1"/>
    </xf>
    <xf numFmtId="0" fontId="15" fillId="0" borderId="8" xfId="0" applyFont="1" applyBorder="1" applyAlignment="1">
      <alignment horizontal="right" wrapText="1"/>
    </xf>
    <xf numFmtId="0" fontId="15" fillId="0" borderId="9" xfId="0" applyFont="1" applyBorder="1" applyAlignment="1">
      <alignment horizontal="right" wrapText="1"/>
    </xf>
    <xf numFmtId="0" fontId="15" fillId="0" borderId="2" xfId="0" applyFont="1" applyBorder="1" applyAlignment="1">
      <alignment horizontal="right" wrapText="1"/>
    </xf>
    <xf numFmtId="0" fontId="15" fillId="0" borderId="20" xfId="0" applyFont="1" applyBorder="1" applyAlignment="1">
      <alignment horizontal="right" wrapText="1"/>
    </xf>
    <xf numFmtId="0" fontId="15" fillId="0" borderId="21" xfId="0" applyFont="1" applyBorder="1" applyAlignment="1">
      <alignment horizontal="right" wrapText="1"/>
    </xf>
    <xf numFmtId="0" fontId="15" fillId="0" borderId="22" xfId="0" applyFont="1" applyBorder="1" applyAlignment="1">
      <alignment horizontal="right" wrapText="1"/>
    </xf>
    <xf numFmtId="0" fontId="15" fillId="0" borderId="7" xfId="0" applyFont="1" applyBorder="1" applyAlignment="1">
      <alignment horizontal="right" wrapText="1"/>
    </xf>
    <xf numFmtId="0" fontId="15" fillId="0" borderId="18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15" fillId="0" borderId="8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4" fillId="0" borderId="8" xfId="0" applyFont="1" applyBorder="1" applyAlignment="1">
      <alignment horizontal="right"/>
    </xf>
    <xf numFmtId="0" fontId="14" fillId="0" borderId="2" xfId="0" applyFont="1" applyBorder="1" applyAlignment="1">
      <alignment horizontal="right"/>
    </xf>
    <xf numFmtId="0" fontId="15" fillId="0" borderId="20" xfId="0" applyFont="1" applyBorder="1" applyAlignment="1">
      <alignment horizontal="right"/>
    </xf>
    <xf numFmtId="0" fontId="15" fillId="0" borderId="22" xfId="0" applyFont="1" applyBorder="1" applyAlignment="1">
      <alignment horizontal="right"/>
    </xf>
    <xf numFmtId="0" fontId="15" fillId="0" borderId="8" xfId="0" applyFont="1" applyBorder="1" applyAlignment="1">
      <alignment horizontal="left"/>
    </xf>
    <xf numFmtId="0" fontId="15" fillId="0" borderId="9" xfId="0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20" xfId="0" applyFont="1" applyBorder="1" applyAlignment="1">
      <alignment horizontal="left" wrapText="1"/>
    </xf>
    <xf numFmtId="0" fontId="15" fillId="0" borderId="21" xfId="0" applyFont="1" applyBorder="1" applyAlignment="1">
      <alignment horizontal="left" wrapText="1"/>
    </xf>
    <xf numFmtId="0" fontId="15" fillId="0" borderId="22" xfId="0" applyFont="1" applyBorder="1" applyAlignment="1">
      <alignment horizontal="left" wrapText="1"/>
    </xf>
    <xf numFmtId="0" fontId="14" fillId="0" borderId="8" xfId="0" applyFont="1" applyBorder="1" applyAlignment="1">
      <alignment horizontal="left" wrapText="1"/>
    </xf>
    <xf numFmtId="0" fontId="14" fillId="0" borderId="9" xfId="0" applyFont="1" applyBorder="1" applyAlignment="1">
      <alignment horizontal="left" wrapText="1"/>
    </xf>
    <xf numFmtId="0" fontId="14" fillId="0" borderId="2" xfId="0" applyFont="1" applyBorder="1" applyAlignment="1">
      <alignment horizontal="left" wrapText="1"/>
    </xf>
    <xf numFmtId="0" fontId="4" fillId="0" borderId="7" xfId="0" applyFont="1" applyBorder="1" applyAlignment="1">
      <alignment horizontal="right" wrapText="1"/>
    </xf>
    <xf numFmtId="0" fontId="4" fillId="0" borderId="7" xfId="0" applyFont="1" applyBorder="1" applyAlignment="1">
      <alignment horizontal="center" wrapText="1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15" fillId="0" borderId="7" xfId="0" applyFont="1" applyBorder="1" applyAlignment="1">
      <alignment horizontal="center" vertical="center"/>
    </xf>
    <xf numFmtId="0" fontId="14" fillId="0" borderId="1" xfId="0" applyFont="1" applyBorder="1" applyAlignment="1">
      <alignment horizontal="right" wrapText="1"/>
    </xf>
    <xf numFmtId="0" fontId="15" fillId="0" borderId="8" xfId="0" applyFont="1" applyBorder="1" applyAlignment="1">
      <alignment wrapText="1"/>
    </xf>
    <xf numFmtId="0" fontId="15" fillId="0" borderId="9" xfId="0" applyFont="1" applyBorder="1" applyAlignment="1">
      <alignment wrapText="1"/>
    </xf>
    <xf numFmtId="0" fontId="15" fillId="0" borderId="2" xfId="0" applyFont="1" applyBorder="1" applyAlignment="1">
      <alignment wrapText="1"/>
    </xf>
    <xf numFmtId="0" fontId="14" fillId="0" borderId="8" xfId="0" applyFont="1" applyBorder="1" applyAlignment="1">
      <alignment horizontal="right" wrapText="1"/>
    </xf>
    <xf numFmtId="0" fontId="14" fillId="0" borderId="9" xfId="0" applyFont="1" applyBorder="1" applyAlignment="1">
      <alignment horizontal="right" wrapText="1"/>
    </xf>
    <xf numFmtId="0" fontId="14" fillId="0" borderId="2" xfId="0" applyFont="1" applyBorder="1" applyAlignment="1">
      <alignment horizontal="right" wrapText="1"/>
    </xf>
    <xf numFmtId="0" fontId="14" fillId="0" borderId="4" xfId="0" applyFont="1" applyBorder="1" applyAlignment="1">
      <alignment horizontal="right" wrapText="1"/>
    </xf>
    <xf numFmtId="0" fontId="14" fillId="0" borderId="4" xfId="0" applyFont="1" applyBorder="1" applyAlignment="1">
      <alignment horizontal="right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left" vertical="center" wrapText="1"/>
    </xf>
    <xf numFmtId="0" fontId="15" fillId="0" borderId="15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23" xfId="0" applyFont="1" applyBorder="1" applyAlignment="1">
      <alignment horizontal="left" vertical="center" wrapText="1"/>
    </xf>
    <xf numFmtId="0" fontId="15" fillId="0" borderId="24" xfId="0" applyFont="1" applyBorder="1" applyAlignment="1">
      <alignment horizontal="left" vertical="center" wrapText="1"/>
    </xf>
    <xf numFmtId="0" fontId="15" fillId="0" borderId="25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righ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6" fillId="0" borderId="0" xfId="0" applyFont="1" applyAlignment="1">
      <alignment horizont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14"/>
  <sheetViews>
    <sheetView workbookViewId="0"/>
  </sheetViews>
  <sheetFormatPr defaultRowHeight="15"/>
  <sheetData>
    <row r="2" spans="1:1">
      <c r="A2" s="62" t="s">
        <v>1163</v>
      </c>
    </row>
    <row r="3" spans="1:1">
      <c r="A3" s="64" t="s">
        <v>1020</v>
      </c>
    </row>
    <row r="4" spans="1:1">
      <c r="A4" t="s">
        <v>1032</v>
      </c>
    </row>
    <row r="5" spans="1:1">
      <c r="A5" s="63" t="s">
        <v>1218</v>
      </c>
    </row>
    <row r="6" spans="1:1">
      <c r="A6" t="s">
        <v>774</v>
      </c>
    </row>
    <row r="7" spans="1:1">
      <c r="A7" t="s">
        <v>949</v>
      </c>
    </row>
    <row r="8" spans="1:1">
      <c r="A8" t="s">
        <v>259</v>
      </c>
    </row>
    <row r="9" spans="1:1">
      <c r="A9" s="64" t="s">
        <v>426</v>
      </c>
    </row>
    <row r="10" spans="1:1">
      <c r="A10" t="s">
        <v>451</v>
      </c>
    </row>
    <row r="11" spans="1:1">
      <c r="A11" t="s">
        <v>835</v>
      </c>
    </row>
    <row r="12" spans="1:1">
      <c r="A12" t="s">
        <v>977</v>
      </c>
    </row>
    <row r="13" spans="1:1">
      <c r="A13" t="s">
        <v>323</v>
      </c>
    </row>
    <row r="14" spans="1:1">
      <c r="A14" t="s">
        <v>466</v>
      </c>
    </row>
  </sheetData>
  <sheetProtection sheet="1"/>
  <phoneticPr fontId="0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39"/>
  <sheetViews>
    <sheetView topLeftCell="A20" workbookViewId="0">
      <selection activeCell="F23" sqref="F23"/>
    </sheetView>
  </sheetViews>
  <sheetFormatPr defaultRowHeight="15"/>
  <cols>
    <col min="1" max="1" width="4.85546875" customWidth="1"/>
  </cols>
  <sheetData>
    <row r="1" spans="1:10" ht="15" customHeight="1">
      <c r="A1" s="142" t="s">
        <v>279</v>
      </c>
      <c r="B1" s="134"/>
      <c r="C1" s="134"/>
      <c r="D1" s="134"/>
      <c r="E1" s="134"/>
      <c r="F1" s="134"/>
      <c r="G1" s="134"/>
      <c r="H1" s="134"/>
      <c r="I1" s="134"/>
      <c r="J1" s="134"/>
    </row>
    <row r="2" spans="1:10">
      <c r="A2" s="134"/>
      <c r="B2" s="134"/>
      <c r="C2" s="134"/>
      <c r="D2" s="134"/>
      <c r="E2" s="134"/>
      <c r="F2" s="134"/>
      <c r="G2" s="134"/>
      <c r="H2" s="134"/>
      <c r="I2" s="134"/>
      <c r="J2" s="134"/>
    </row>
    <row r="3" spans="1:10">
      <c r="A3" s="134"/>
      <c r="B3" s="134"/>
      <c r="C3" s="134"/>
      <c r="D3" s="134"/>
      <c r="E3" s="134"/>
      <c r="F3" s="134"/>
      <c r="G3" s="134"/>
      <c r="H3" s="134"/>
      <c r="I3" s="134"/>
      <c r="J3" s="134"/>
    </row>
    <row r="4" spans="1:10">
      <c r="B4" s="22"/>
      <c r="C4" s="22"/>
      <c r="D4" s="22"/>
      <c r="E4" s="22"/>
      <c r="F4" s="22"/>
      <c r="G4" s="22"/>
      <c r="H4" s="22"/>
    </row>
    <row r="5" spans="1:10" ht="15.75">
      <c r="A5" s="11" t="s">
        <v>1226</v>
      </c>
      <c r="B5" s="24"/>
      <c r="C5" s="15"/>
      <c r="D5" s="15"/>
      <c r="E5" s="15"/>
      <c r="F5" s="15"/>
      <c r="G5" s="15"/>
      <c r="H5" s="15"/>
      <c r="I5" s="15"/>
      <c r="J5" s="15"/>
    </row>
    <row r="6" spans="1:10">
      <c r="B6" s="15"/>
      <c r="C6" s="15"/>
      <c r="D6" s="15"/>
      <c r="E6" s="15"/>
      <c r="F6" s="15"/>
      <c r="G6" s="15"/>
      <c r="H6" s="15"/>
      <c r="I6" s="15"/>
      <c r="J6" s="15"/>
    </row>
    <row r="7" spans="1:10" ht="15" customHeight="1">
      <c r="A7" s="108" t="s">
        <v>221</v>
      </c>
      <c r="B7" s="109"/>
      <c r="C7" s="109"/>
      <c r="D7" s="109"/>
      <c r="E7" s="110"/>
      <c r="F7" s="111" t="s">
        <v>144</v>
      </c>
      <c r="G7" s="111"/>
      <c r="H7" s="111" t="s">
        <v>442</v>
      </c>
      <c r="I7" s="111"/>
      <c r="J7" s="111"/>
    </row>
    <row r="8" spans="1:10" ht="15" customHeight="1">
      <c r="A8" s="112" t="s">
        <v>1371</v>
      </c>
      <c r="B8" s="113"/>
      <c r="C8" s="113"/>
      <c r="D8" s="113"/>
      <c r="E8" s="114"/>
      <c r="F8" s="115" t="s">
        <v>1372</v>
      </c>
      <c r="G8" s="115"/>
      <c r="H8" s="115"/>
      <c r="I8" s="115"/>
      <c r="J8" s="115"/>
    </row>
    <row r="9" spans="1:10" ht="15" customHeight="1">
      <c r="A9" s="116"/>
      <c r="B9" s="122"/>
      <c r="C9" s="122"/>
      <c r="D9" s="122"/>
      <c r="E9" s="123"/>
      <c r="F9" s="121"/>
      <c r="G9" s="121"/>
      <c r="H9" s="121"/>
      <c r="I9" s="121"/>
      <c r="J9" s="121"/>
    </row>
    <row r="10" spans="1:10" ht="15" customHeight="1">
      <c r="A10" s="116"/>
      <c r="B10" s="122"/>
      <c r="C10" s="122"/>
      <c r="D10" s="122"/>
      <c r="E10" s="123"/>
      <c r="F10" s="121"/>
      <c r="G10" s="121"/>
      <c r="H10" s="121"/>
      <c r="I10" s="121"/>
      <c r="J10" s="121"/>
    </row>
    <row r="11" spans="1:10" ht="15" customHeight="1">
      <c r="A11" s="116"/>
      <c r="B11" s="122"/>
      <c r="C11" s="122"/>
      <c r="D11" s="122"/>
      <c r="E11" s="123"/>
      <c r="F11" s="121"/>
      <c r="G11" s="121"/>
      <c r="H11" s="121"/>
      <c r="I11" s="121"/>
      <c r="J11" s="121"/>
    </row>
    <row r="12" spans="1:10">
      <c r="B12" s="15"/>
      <c r="C12" s="15"/>
      <c r="D12" s="15"/>
      <c r="E12" s="15"/>
      <c r="F12" s="15"/>
      <c r="G12" s="15"/>
      <c r="H12" s="15"/>
      <c r="I12" s="15"/>
      <c r="J12" s="15"/>
    </row>
    <row r="13" spans="1:10">
      <c r="B13" s="15"/>
      <c r="C13" s="15"/>
      <c r="D13" s="15"/>
      <c r="E13" s="15"/>
      <c r="F13" s="15"/>
      <c r="G13" s="15"/>
      <c r="H13" s="15"/>
      <c r="I13" s="15"/>
      <c r="J13" s="15"/>
    </row>
    <row r="14" spans="1:10" ht="30" customHeight="1">
      <c r="A14" s="133" t="s">
        <v>706</v>
      </c>
      <c r="B14" s="134"/>
      <c r="C14" s="134"/>
      <c r="D14" s="134"/>
      <c r="E14" s="134"/>
      <c r="F14" s="134"/>
      <c r="G14" s="134"/>
      <c r="H14" s="134"/>
      <c r="I14" s="134"/>
      <c r="J14" s="134"/>
    </row>
    <row r="15" spans="1:10" ht="36" customHeight="1">
      <c r="A15" s="139" t="s">
        <v>589</v>
      </c>
      <c r="B15" s="140"/>
      <c r="C15" s="140"/>
      <c r="D15" s="140"/>
      <c r="E15" s="140"/>
      <c r="F15" s="140"/>
      <c r="G15" s="140"/>
      <c r="H15" s="140"/>
      <c r="I15" s="140"/>
      <c r="J15" s="140"/>
    </row>
    <row r="17" spans="1:10" ht="27.75" customHeight="1">
      <c r="A17" s="137" t="s">
        <v>728</v>
      </c>
      <c r="B17" s="138"/>
      <c r="C17" s="138"/>
      <c r="D17" s="136"/>
      <c r="E17" s="137" t="s">
        <v>1235</v>
      </c>
      <c r="F17" s="137"/>
      <c r="G17" s="135" t="s">
        <v>1127</v>
      </c>
      <c r="H17" s="135"/>
      <c r="I17" s="135" t="s">
        <v>646</v>
      </c>
      <c r="J17" s="135"/>
    </row>
    <row r="18" spans="1:10">
      <c r="A18" s="138"/>
      <c r="B18" s="138"/>
      <c r="C18" s="138"/>
      <c r="D18" s="136"/>
      <c r="E18" s="21" t="s">
        <v>930</v>
      </c>
      <c r="F18" s="21" t="s">
        <v>1213</v>
      </c>
      <c r="G18" s="136"/>
      <c r="H18" s="136"/>
      <c r="I18" s="136"/>
      <c r="J18" s="136"/>
    </row>
    <row r="19" spans="1:10">
      <c r="A19" s="141" t="s">
        <v>958</v>
      </c>
      <c r="B19" s="141"/>
      <c r="C19" s="141"/>
      <c r="D19" s="141"/>
      <c r="E19" s="47" t="s">
        <v>1350</v>
      </c>
      <c r="F19" s="47" t="s">
        <v>737</v>
      </c>
      <c r="G19" s="141" t="s">
        <v>226</v>
      </c>
      <c r="H19" s="141"/>
      <c r="I19" s="141" t="s">
        <v>830</v>
      </c>
      <c r="J19" s="141"/>
    </row>
    <row r="20" spans="1:10">
      <c r="A20" s="125" t="s">
        <v>1373</v>
      </c>
      <c r="B20" s="125"/>
      <c r="C20" s="125"/>
      <c r="D20" s="125"/>
      <c r="E20" s="46">
        <v>6639</v>
      </c>
      <c r="F20" s="46">
        <v>100</v>
      </c>
      <c r="G20" s="125">
        <v>100</v>
      </c>
      <c r="H20" s="125"/>
      <c r="I20" s="125"/>
      <c r="J20" s="125"/>
    </row>
    <row r="21" spans="1:10">
      <c r="A21" s="97"/>
      <c r="B21" s="97"/>
      <c r="C21" s="97"/>
      <c r="D21" s="97"/>
      <c r="E21" s="4"/>
      <c r="F21" s="4"/>
      <c r="G21" s="97"/>
      <c r="H21" s="97"/>
      <c r="I21" s="97"/>
      <c r="J21" s="97"/>
    </row>
    <row r="22" spans="1:10">
      <c r="A22" s="97"/>
      <c r="B22" s="97"/>
      <c r="C22" s="97"/>
      <c r="D22" s="97"/>
      <c r="E22" s="4"/>
      <c r="F22" s="4"/>
      <c r="G22" s="97"/>
      <c r="H22" s="97"/>
      <c r="I22" s="97"/>
      <c r="J22" s="97"/>
    </row>
    <row r="23" spans="1:10">
      <c r="A23" s="97"/>
      <c r="B23" s="97"/>
      <c r="C23" s="97"/>
      <c r="D23" s="97"/>
      <c r="E23" s="4"/>
      <c r="F23" s="4"/>
      <c r="G23" s="97"/>
      <c r="H23" s="97"/>
      <c r="I23" s="97"/>
      <c r="J23" s="97"/>
    </row>
    <row r="24" spans="1:10">
      <c r="A24" s="97"/>
      <c r="B24" s="97"/>
      <c r="C24" s="97"/>
      <c r="D24" s="97"/>
      <c r="E24" s="4"/>
      <c r="F24" s="4"/>
      <c r="G24" s="97"/>
      <c r="H24" s="97"/>
      <c r="I24" s="97"/>
      <c r="J24" s="97"/>
    </row>
    <row r="25" spans="1:10">
      <c r="A25" s="143" t="s">
        <v>461</v>
      </c>
      <c r="B25" s="152"/>
      <c r="C25" s="152"/>
      <c r="D25" s="153"/>
      <c r="E25" s="4">
        <f>SUM(E20:E24)</f>
        <v>6639</v>
      </c>
      <c r="F25" s="4">
        <f>SUM(F20:F24)</f>
        <v>100</v>
      </c>
      <c r="G25" s="97">
        <f>SUM(G20:G24)</f>
        <v>100</v>
      </c>
      <c r="H25" s="97"/>
      <c r="I25" s="97">
        <f>SUM(I20:I24)</f>
        <v>0</v>
      </c>
      <c r="J25" s="97"/>
    </row>
    <row r="28" spans="1:10" ht="30" customHeight="1">
      <c r="A28" s="133" t="s">
        <v>833</v>
      </c>
      <c r="B28" s="134"/>
      <c r="C28" s="134"/>
      <c r="D28" s="134"/>
      <c r="E28" s="134"/>
      <c r="F28" s="134"/>
      <c r="G28" s="134"/>
      <c r="H28" s="134"/>
      <c r="I28" s="134"/>
      <c r="J28" s="134"/>
    </row>
    <row r="29" spans="1:10" ht="36" customHeight="1">
      <c r="A29" s="139" t="s">
        <v>892</v>
      </c>
      <c r="B29" s="140"/>
      <c r="C29" s="140"/>
      <c r="D29" s="140"/>
      <c r="E29" s="140"/>
      <c r="F29" s="140"/>
      <c r="G29" s="140"/>
      <c r="H29" s="140"/>
      <c r="I29" s="140"/>
      <c r="J29" s="140"/>
    </row>
    <row r="31" spans="1:10" ht="27.75" customHeight="1">
      <c r="A31" s="147" t="s">
        <v>102</v>
      </c>
      <c r="B31" s="148"/>
      <c r="C31" s="148"/>
      <c r="D31" s="149"/>
      <c r="E31" s="137" t="s">
        <v>1235</v>
      </c>
      <c r="F31" s="137"/>
      <c r="G31" s="135" t="s">
        <v>1127</v>
      </c>
      <c r="H31" s="135"/>
      <c r="I31" s="135" t="s">
        <v>646</v>
      </c>
      <c r="J31" s="135"/>
    </row>
    <row r="32" spans="1:10">
      <c r="A32" s="147" t="s">
        <v>728</v>
      </c>
      <c r="B32" s="150"/>
      <c r="C32" s="151"/>
      <c r="D32" s="21" t="s">
        <v>42</v>
      </c>
      <c r="E32" s="21" t="s">
        <v>930</v>
      </c>
      <c r="F32" s="21" t="s">
        <v>1213</v>
      </c>
      <c r="G32" s="136"/>
      <c r="H32" s="136"/>
      <c r="I32" s="136"/>
      <c r="J32" s="136"/>
    </row>
    <row r="33" spans="1:10">
      <c r="A33" s="146" t="s">
        <v>958</v>
      </c>
      <c r="B33" s="109"/>
      <c r="C33" s="110"/>
      <c r="D33" s="47" t="s">
        <v>1350</v>
      </c>
      <c r="E33" s="47" t="s">
        <v>737</v>
      </c>
      <c r="F33" s="47" t="s">
        <v>226</v>
      </c>
      <c r="G33" s="141" t="s">
        <v>830</v>
      </c>
      <c r="H33" s="141"/>
      <c r="I33" s="141" t="s">
        <v>126</v>
      </c>
      <c r="J33" s="141"/>
    </row>
    <row r="34" spans="1:10">
      <c r="A34" s="112"/>
      <c r="B34" s="71"/>
      <c r="C34" s="72"/>
      <c r="D34" s="48"/>
      <c r="E34" s="46"/>
      <c r="F34" s="46"/>
      <c r="G34" s="125"/>
      <c r="H34" s="125"/>
      <c r="I34" s="125"/>
      <c r="J34" s="125"/>
    </row>
    <row r="35" spans="1:10">
      <c r="A35" s="116"/>
      <c r="B35" s="130"/>
      <c r="C35" s="117"/>
      <c r="D35" s="26"/>
      <c r="E35" s="4"/>
      <c r="F35" s="4"/>
      <c r="G35" s="97"/>
      <c r="H35" s="97"/>
      <c r="I35" s="97"/>
      <c r="J35" s="97"/>
    </row>
    <row r="36" spans="1:10">
      <c r="A36" s="116"/>
      <c r="B36" s="130"/>
      <c r="C36" s="117"/>
      <c r="D36" s="26"/>
      <c r="E36" s="4"/>
      <c r="F36" s="4"/>
      <c r="G36" s="97"/>
      <c r="H36" s="97"/>
      <c r="I36" s="97"/>
      <c r="J36" s="97"/>
    </row>
    <row r="37" spans="1:10">
      <c r="A37" s="116"/>
      <c r="B37" s="130"/>
      <c r="C37" s="117"/>
      <c r="D37" s="26"/>
      <c r="E37" s="4"/>
      <c r="F37" s="4"/>
      <c r="G37" s="97"/>
      <c r="H37" s="97"/>
      <c r="I37" s="97"/>
      <c r="J37" s="97"/>
    </row>
    <row r="38" spans="1:10">
      <c r="A38" s="116"/>
      <c r="B38" s="130"/>
      <c r="C38" s="117"/>
      <c r="D38" s="26"/>
      <c r="E38" s="4"/>
      <c r="F38" s="4"/>
      <c r="G38" s="97"/>
      <c r="H38" s="97"/>
      <c r="I38" s="97"/>
      <c r="J38" s="97"/>
    </row>
    <row r="39" spans="1:10">
      <c r="A39" s="143" t="s">
        <v>461</v>
      </c>
      <c r="B39" s="144"/>
      <c r="C39" s="145"/>
      <c r="D39" s="25" t="s">
        <v>623</v>
      </c>
      <c r="E39" s="4">
        <f>SUM(E34:E38)</f>
        <v>0</v>
      </c>
      <c r="F39" s="4">
        <f>SUM(F34:F38)</f>
        <v>0</v>
      </c>
      <c r="G39" s="97">
        <f>SUM(G34:G38)</f>
        <v>0</v>
      </c>
      <c r="H39" s="97"/>
      <c r="I39" s="97">
        <f>SUM(I34:I38)</f>
        <v>0</v>
      </c>
      <c r="J39" s="97"/>
    </row>
  </sheetData>
  <mergeCells count="71">
    <mergeCell ref="I20:J20"/>
    <mergeCell ref="A20:D20"/>
    <mergeCell ref="A25:D25"/>
    <mergeCell ref="G25:H25"/>
    <mergeCell ref="I21:J21"/>
    <mergeCell ref="A24:D24"/>
    <mergeCell ref="G24:H24"/>
    <mergeCell ref="I24:J24"/>
    <mergeCell ref="A23:D23"/>
    <mergeCell ref="G23:H23"/>
    <mergeCell ref="A28:J28"/>
    <mergeCell ref="A33:C33"/>
    <mergeCell ref="A31:D31"/>
    <mergeCell ref="A32:C32"/>
    <mergeCell ref="I33:J33"/>
    <mergeCell ref="G33:H33"/>
    <mergeCell ref="A34:C34"/>
    <mergeCell ref="G34:H34"/>
    <mergeCell ref="A29:J29"/>
    <mergeCell ref="I34:J34"/>
    <mergeCell ref="A37:C37"/>
    <mergeCell ref="G37:H37"/>
    <mergeCell ref="I37:J37"/>
    <mergeCell ref="G35:H35"/>
    <mergeCell ref="I35:J35"/>
    <mergeCell ref="A36:C36"/>
    <mergeCell ref="G36:H36"/>
    <mergeCell ref="I36:J36"/>
    <mergeCell ref="A35:C35"/>
    <mergeCell ref="G38:H38"/>
    <mergeCell ref="I38:J38"/>
    <mergeCell ref="G39:H39"/>
    <mergeCell ref="I39:J39"/>
    <mergeCell ref="A38:C38"/>
    <mergeCell ref="A39:C39"/>
    <mergeCell ref="A1:J3"/>
    <mergeCell ref="E31:F31"/>
    <mergeCell ref="G31:H32"/>
    <mergeCell ref="I31:J32"/>
    <mergeCell ref="F11:G11"/>
    <mergeCell ref="H11:J11"/>
    <mergeCell ref="I19:J19"/>
    <mergeCell ref="I25:J25"/>
    <mergeCell ref="F10:G10"/>
    <mergeCell ref="H10:J10"/>
    <mergeCell ref="I23:J23"/>
    <mergeCell ref="A22:D22"/>
    <mergeCell ref="G22:H22"/>
    <mergeCell ref="I22:J22"/>
    <mergeCell ref="A15:J15"/>
    <mergeCell ref="A19:D19"/>
    <mergeCell ref="G19:H19"/>
    <mergeCell ref="G20:H20"/>
    <mergeCell ref="A21:D21"/>
    <mergeCell ref="G21:H21"/>
    <mergeCell ref="A14:J14"/>
    <mergeCell ref="A11:E11"/>
    <mergeCell ref="G17:H18"/>
    <mergeCell ref="I17:J18"/>
    <mergeCell ref="E17:F17"/>
    <mergeCell ref="A17:D18"/>
    <mergeCell ref="A7:E7"/>
    <mergeCell ref="A8:E8"/>
    <mergeCell ref="A9:E9"/>
    <mergeCell ref="A10:E10"/>
    <mergeCell ref="F7:G7"/>
    <mergeCell ref="H7:J7"/>
    <mergeCell ref="F8:G8"/>
    <mergeCell ref="F9:G9"/>
    <mergeCell ref="H9:J9"/>
    <mergeCell ref="H8:J8"/>
  </mergeCells>
  <phoneticPr fontId="0" type="noConversion"/>
  <pageMargins left="0.7" right="0.7" top="0.75" bottom="0.75" header="0.3" footer="0.3"/>
  <pageSetup paperSize="9" scale="9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0"/>
  <sheetViews>
    <sheetView workbookViewId="0"/>
  </sheetViews>
  <sheetFormatPr defaultRowHeight="15"/>
  <cols>
    <col min="1" max="1" width="4.85546875" customWidth="1"/>
  </cols>
  <sheetData>
    <row r="1" spans="1:10">
      <c r="B1" s="142" t="s">
        <v>1000</v>
      </c>
      <c r="C1" s="154"/>
      <c r="D1" s="154"/>
      <c r="E1" s="154"/>
      <c r="F1" s="154"/>
      <c r="G1" s="154"/>
      <c r="H1" s="154"/>
      <c r="I1" s="154"/>
    </row>
    <row r="2" spans="1:10">
      <c r="B2" s="154"/>
      <c r="C2" s="154"/>
      <c r="D2" s="154"/>
      <c r="E2" s="154"/>
      <c r="F2" s="154"/>
      <c r="G2" s="154"/>
      <c r="H2" s="154"/>
      <c r="I2" s="154"/>
    </row>
    <row r="3" spans="1:10">
      <c r="B3" s="154"/>
      <c r="C3" s="154"/>
      <c r="D3" s="154"/>
      <c r="E3" s="154"/>
      <c r="F3" s="154"/>
      <c r="G3" s="154"/>
      <c r="H3" s="154"/>
      <c r="I3" s="154"/>
    </row>
    <row r="4" spans="1:10">
      <c r="B4" s="22"/>
      <c r="C4" s="22"/>
      <c r="D4" s="22"/>
      <c r="E4" s="22"/>
      <c r="F4" s="22"/>
      <c r="G4" s="22"/>
      <c r="H4" s="22"/>
    </row>
    <row r="5" spans="1:10" ht="15.75">
      <c r="A5" s="11" t="s">
        <v>107</v>
      </c>
      <c r="B5" s="155" t="s">
        <v>1180</v>
      </c>
      <c r="C5" s="134"/>
      <c r="D5" s="134"/>
      <c r="E5" s="134"/>
      <c r="F5" s="134"/>
      <c r="G5" s="134"/>
      <c r="H5" s="134"/>
      <c r="I5" s="134"/>
      <c r="J5" s="134"/>
    </row>
    <row r="6" spans="1:10">
      <c r="B6" s="134"/>
      <c r="C6" s="134"/>
      <c r="D6" s="134"/>
      <c r="E6" s="134"/>
      <c r="F6" s="134"/>
      <c r="G6" s="134"/>
      <c r="H6" s="134"/>
      <c r="I6" s="134"/>
      <c r="J6" s="134"/>
    </row>
    <row r="7" spans="1:10">
      <c r="B7" s="134"/>
      <c r="C7" s="134"/>
      <c r="D7" s="134"/>
      <c r="E7" s="134"/>
      <c r="F7" s="134"/>
      <c r="G7" s="134"/>
      <c r="H7" s="134"/>
      <c r="I7" s="134"/>
      <c r="J7" s="134"/>
    </row>
    <row r="8" spans="1:10">
      <c r="B8" s="118"/>
      <c r="C8" s="119"/>
      <c r="D8" s="119"/>
      <c r="E8" s="119"/>
      <c r="F8" s="119"/>
      <c r="G8" s="119"/>
      <c r="H8" s="119"/>
      <c r="I8" s="119"/>
      <c r="J8" s="120"/>
    </row>
    <row r="10" spans="1:10" ht="15.75">
      <c r="A10" s="11" t="s">
        <v>1144</v>
      </c>
      <c r="B10" s="155" t="s">
        <v>1265</v>
      </c>
      <c r="C10" s="134"/>
      <c r="D10" s="134"/>
      <c r="E10" s="134"/>
      <c r="F10" s="134"/>
      <c r="G10" s="134"/>
      <c r="H10" s="134"/>
      <c r="I10" s="134"/>
      <c r="J10" s="134"/>
    </row>
    <row r="11" spans="1:10">
      <c r="B11" s="134"/>
      <c r="C11" s="134"/>
      <c r="D11" s="134"/>
      <c r="E11" s="134"/>
      <c r="F11" s="134"/>
      <c r="G11" s="134"/>
      <c r="H11" s="134"/>
      <c r="I11" s="134"/>
      <c r="J11" s="134"/>
    </row>
    <row r="12" spans="1:10">
      <c r="B12" s="156"/>
      <c r="C12" s="156"/>
      <c r="D12" s="156"/>
      <c r="E12" s="156"/>
      <c r="F12" s="156"/>
      <c r="G12" s="156"/>
      <c r="H12" s="156"/>
      <c r="I12" s="156"/>
      <c r="J12" s="156"/>
    </row>
    <row r="13" spans="1:10">
      <c r="B13" s="118"/>
      <c r="C13" s="119"/>
      <c r="D13" s="119"/>
      <c r="E13" s="119"/>
      <c r="F13" s="119"/>
      <c r="G13" s="119"/>
      <c r="H13" s="119"/>
      <c r="I13" s="119"/>
      <c r="J13" s="120"/>
    </row>
    <row r="15" spans="1:10" ht="15.75">
      <c r="A15" s="11" t="s">
        <v>567</v>
      </c>
      <c r="B15" s="155" t="s">
        <v>1293</v>
      </c>
      <c r="C15" s="134"/>
      <c r="D15" s="134"/>
      <c r="E15" s="134"/>
      <c r="F15" s="134"/>
      <c r="G15" s="134"/>
      <c r="H15" s="134"/>
      <c r="I15" s="134"/>
      <c r="J15" s="134"/>
    </row>
    <row r="16" spans="1:10">
      <c r="B16" s="134"/>
      <c r="C16" s="134"/>
      <c r="D16" s="134"/>
      <c r="E16" s="134"/>
      <c r="F16" s="134"/>
      <c r="G16" s="134"/>
      <c r="H16" s="134"/>
      <c r="I16" s="134"/>
      <c r="J16" s="134"/>
    </row>
    <row r="17" spans="2:10">
      <c r="B17" s="118"/>
      <c r="C17" s="119"/>
      <c r="D17" s="119"/>
      <c r="E17" s="119"/>
      <c r="F17" s="119"/>
      <c r="G17" s="119"/>
      <c r="H17" s="119"/>
      <c r="I17" s="119"/>
      <c r="J17" s="120"/>
    </row>
    <row r="19" spans="2:10">
      <c r="B19" s="134" t="s">
        <v>139</v>
      </c>
      <c r="C19" s="134"/>
      <c r="D19" s="134"/>
      <c r="E19" s="134"/>
      <c r="F19" s="134"/>
      <c r="G19" s="134"/>
      <c r="H19" s="134"/>
      <c r="I19" s="134"/>
      <c r="J19" s="134"/>
    </row>
    <row r="20" spans="2:10">
      <c r="B20" s="134"/>
      <c r="C20" s="134"/>
      <c r="D20" s="134"/>
      <c r="E20" s="134"/>
      <c r="F20" s="134"/>
      <c r="G20" s="134"/>
      <c r="H20" s="134"/>
      <c r="I20" s="134"/>
      <c r="J20" s="134"/>
    </row>
    <row r="21" spans="2:10">
      <c r="B21" s="118"/>
      <c r="C21" s="119"/>
      <c r="D21" s="119"/>
      <c r="E21" s="119"/>
      <c r="F21" s="119"/>
      <c r="G21" s="119"/>
      <c r="H21" s="119"/>
      <c r="I21" s="119"/>
      <c r="J21" s="120"/>
    </row>
    <row r="25" spans="2:10" ht="15.75">
      <c r="B25" s="142" t="s">
        <v>1159</v>
      </c>
      <c r="C25" s="154"/>
      <c r="D25" s="154"/>
      <c r="E25" s="154"/>
      <c r="F25" s="154"/>
      <c r="G25" s="154"/>
      <c r="H25" s="154"/>
      <c r="I25" s="154"/>
    </row>
    <row r="27" spans="2:10">
      <c r="B27" s="23" t="s">
        <v>744</v>
      </c>
      <c r="E27" t="s">
        <v>444</v>
      </c>
      <c r="H27" t="s">
        <v>412</v>
      </c>
    </row>
    <row r="28" spans="2:10">
      <c r="B28" t="s">
        <v>508</v>
      </c>
      <c r="E28" t="s">
        <v>832</v>
      </c>
      <c r="H28" t="s">
        <v>0</v>
      </c>
    </row>
    <row r="29" spans="2:10">
      <c r="B29" t="s">
        <v>1331</v>
      </c>
      <c r="E29" t="s">
        <v>1052</v>
      </c>
      <c r="H29" t="s">
        <v>1046</v>
      </c>
    </row>
    <row r="30" spans="2:10">
      <c r="B30" t="s">
        <v>232</v>
      </c>
      <c r="E30" t="s">
        <v>1307</v>
      </c>
      <c r="H30" t="s">
        <v>165</v>
      </c>
    </row>
  </sheetData>
  <sheetProtection sheet="1"/>
  <mergeCells count="10">
    <mergeCell ref="B25:I25"/>
    <mergeCell ref="B19:J20"/>
    <mergeCell ref="B21:J21"/>
    <mergeCell ref="B17:J17"/>
    <mergeCell ref="B10:J12"/>
    <mergeCell ref="B1:I3"/>
    <mergeCell ref="B5:J7"/>
    <mergeCell ref="B15:J16"/>
    <mergeCell ref="B13:J13"/>
    <mergeCell ref="B8:J8"/>
  </mergeCells>
  <phoneticPr fontId="0" type="noConversion"/>
  <pageMargins left="0.7" right="0.7" top="0.75" bottom="0.75" header="0.3" footer="0.3"/>
  <pageSetup paperSize="9" scale="9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26"/>
  <sheetViews>
    <sheetView topLeftCell="A103" workbookViewId="0">
      <selection activeCell="A43" sqref="A43:IV43"/>
    </sheetView>
  </sheetViews>
  <sheetFormatPr defaultRowHeight="15"/>
  <cols>
    <col min="1" max="1" width="2.5703125" customWidth="1"/>
    <col min="2" max="2" width="4.85546875" customWidth="1"/>
  </cols>
  <sheetData>
    <row r="1" spans="1:10" ht="18.75">
      <c r="C1" s="12" t="s">
        <v>1329</v>
      </c>
    </row>
    <row r="2" spans="1:10">
      <c r="C2" s="3"/>
    </row>
    <row r="3" spans="1:10" ht="15.75">
      <c r="A3" s="11" t="s">
        <v>998</v>
      </c>
      <c r="B3" s="11"/>
    </row>
    <row r="4" spans="1:10" ht="15.75">
      <c r="A4" s="11"/>
      <c r="B4" s="11"/>
    </row>
    <row r="5" spans="1:10" ht="15.75">
      <c r="B5" s="11" t="s">
        <v>9</v>
      </c>
    </row>
    <row r="6" spans="1:10">
      <c r="B6" s="118"/>
      <c r="C6" s="119"/>
      <c r="D6" s="119"/>
      <c r="E6" s="119"/>
      <c r="F6" s="119"/>
      <c r="G6" s="119"/>
      <c r="H6" s="119"/>
      <c r="I6" s="119"/>
      <c r="J6" s="120"/>
    </row>
    <row r="8" spans="1:10" ht="15.75">
      <c r="A8" s="11" t="s">
        <v>757</v>
      </c>
      <c r="B8" s="11"/>
    </row>
    <row r="9" spans="1:10">
      <c r="B9" s="17" t="s">
        <v>1312</v>
      </c>
      <c r="C9" s="17"/>
      <c r="D9" s="17"/>
      <c r="E9" s="17"/>
      <c r="F9" s="17"/>
      <c r="G9" s="17"/>
      <c r="H9" s="17"/>
      <c r="I9" s="17"/>
      <c r="J9" s="17"/>
    </row>
    <row r="10" spans="1:10" ht="30" customHeight="1">
      <c r="B10" s="158" t="s">
        <v>1223</v>
      </c>
      <c r="C10" s="158"/>
      <c r="D10" s="158"/>
      <c r="E10" s="158"/>
      <c r="F10" s="158" t="s">
        <v>1146</v>
      </c>
      <c r="G10" s="158"/>
      <c r="H10" s="158" t="s">
        <v>944</v>
      </c>
      <c r="I10" s="158"/>
      <c r="J10" s="158"/>
    </row>
    <row r="11" spans="1:10" ht="30" customHeight="1">
      <c r="B11" s="159"/>
      <c r="C11" s="159"/>
      <c r="D11" s="159"/>
      <c r="E11" s="159"/>
      <c r="F11" s="159"/>
      <c r="G11" s="159"/>
      <c r="H11" s="159"/>
      <c r="I11" s="159"/>
      <c r="J11" s="159"/>
    </row>
    <row r="12" spans="1:10" ht="30" customHeight="1">
      <c r="B12" s="161"/>
      <c r="C12" s="161"/>
      <c r="D12" s="161"/>
      <c r="E12" s="161"/>
      <c r="F12" s="161"/>
      <c r="G12" s="161"/>
      <c r="H12" s="161"/>
      <c r="I12" s="161"/>
      <c r="J12" s="161"/>
    </row>
    <row r="13" spans="1:10" ht="30" customHeight="1">
      <c r="B13" s="161"/>
      <c r="C13" s="161"/>
      <c r="D13" s="161"/>
      <c r="E13" s="161"/>
      <c r="F13" s="161"/>
      <c r="G13" s="161"/>
      <c r="H13" s="161"/>
      <c r="I13" s="161"/>
      <c r="J13" s="161"/>
    </row>
    <row r="14" spans="1:10" ht="30" customHeight="1">
      <c r="B14" s="161"/>
      <c r="C14" s="161"/>
      <c r="D14" s="161"/>
      <c r="E14" s="161"/>
      <c r="F14" s="161"/>
      <c r="G14" s="161"/>
      <c r="H14" s="161"/>
      <c r="I14" s="161"/>
      <c r="J14" s="161"/>
    </row>
    <row r="16" spans="1:10" ht="15.75">
      <c r="A16" s="11" t="s">
        <v>474</v>
      </c>
    </row>
    <row r="17" spans="1:10" ht="15.75">
      <c r="A17" s="11" t="s">
        <v>601</v>
      </c>
    </row>
    <row r="18" spans="1:10">
      <c r="B18" s="17" t="s">
        <v>721</v>
      </c>
      <c r="C18" s="17"/>
      <c r="D18" s="17"/>
      <c r="E18" s="17"/>
      <c r="F18" s="17"/>
      <c r="G18" s="17"/>
      <c r="H18" s="17"/>
      <c r="I18" s="17"/>
      <c r="J18" s="17"/>
    </row>
    <row r="21" spans="1:10" ht="15.75">
      <c r="A21" s="11" t="s">
        <v>477</v>
      </c>
    </row>
    <row r="22" spans="1:10">
      <c r="B22" s="160" t="s">
        <v>1145</v>
      </c>
      <c r="C22" s="160"/>
      <c r="D22" s="160"/>
      <c r="E22" s="160"/>
      <c r="F22" s="160"/>
      <c r="G22" s="160"/>
      <c r="H22" s="160"/>
      <c r="I22" s="160"/>
      <c r="J22" s="160"/>
    </row>
    <row r="23" spans="1:10">
      <c r="B23" s="160"/>
      <c r="C23" s="160"/>
      <c r="D23" s="160"/>
      <c r="E23" s="160"/>
      <c r="F23" s="160"/>
      <c r="G23" s="160"/>
      <c r="H23" s="160"/>
      <c r="I23" s="160"/>
      <c r="J23" s="160"/>
    </row>
    <row r="26" spans="1:10">
      <c r="B26" s="118"/>
      <c r="C26" s="119"/>
      <c r="D26" s="119"/>
      <c r="E26" s="119"/>
      <c r="F26" s="119"/>
      <c r="G26" s="119"/>
      <c r="H26" s="119"/>
      <c r="I26" s="119"/>
      <c r="J26" s="120"/>
    </row>
    <row r="27" spans="1:10">
      <c r="B27" s="162" t="s">
        <v>1147</v>
      </c>
      <c r="C27" s="162"/>
      <c r="D27" s="162"/>
      <c r="E27" s="162"/>
      <c r="F27" s="162"/>
      <c r="G27" s="162"/>
      <c r="H27" s="162"/>
      <c r="I27" s="162"/>
      <c r="J27" s="162"/>
    </row>
    <row r="28" spans="1:10">
      <c r="B28" s="160"/>
      <c r="C28" s="160"/>
      <c r="D28" s="160"/>
      <c r="E28" s="160"/>
      <c r="F28" s="160"/>
      <c r="G28" s="160"/>
      <c r="H28" s="160"/>
      <c r="I28" s="160"/>
      <c r="J28" s="160"/>
    </row>
    <row r="29" spans="1:10">
      <c r="B29" s="160"/>
      <c r="C29" s="160"/>
      <c r="D29" s="160"/>
      <c r="E29" s="160"/>
      <c r="F29" s="160"/>
      <c r="G29" s="160"/>
      <c r="H29" s="160"/>
      <c r="I29" s="160"/>
      <c r="J29" s="160"/>
    </row>
    <row r="30" spans="1:10" ht="15.75">
      <c r="A30" s="11" t="s">
        <v>1035</v>
      </c>
    </row>
    <row r="31" spans="1:10">
      <c r="B31" s="17" t="s">
        <v>258</v>
      </c>
      <c r="C31" s="17"/>
      <c r="D31" s="17"/>
      <c r="E31" s="17"/>
      <c r="F31" s="17"/>
      <c r="G31" s="17"/>
      <c r="H31" s="17"/>
      <c r="I31" s="17"/>
      <c r="J31" s="17"/>
    </row>
    <row r="34" spans="1:10" ht="15.75">
      <c r="A34" s="11" t="s">
        <v>997</v>
      </c>
    </row>
    <row r="35" spans="1:10">
      <c r="B35" s="160" t="s">
        <v>1047</v>
      </c>
      <c r="C35" s="160"/>
      <c r="D35" s="160"/>
      <c r="E35" s="160"/>
      <c r="F35" s="160"/>
      <c r="G35" s="160"/>
      <c r="H35" s="160"/>
      <c r="I35" s="160"/>
      <c r="J35" s="160"/>
    </row>
    <row r="36" spans="1:10">
      <c r="B36" s="160"/>
      <c r="C36" s="160"/>
      <c r="D36" s="160"/>
      <c r="E36" s="160"/>
      <c r="F36" s="160"/>
      <c r="G36" s="160"/>
      <c r="H36" s="160"/>
      <c r="I36" s="160"/>
      <c r="J36" s="160"/>
    </row>
    <row r="37" spans="1:10" ht="15" customHeight="1"/>
    <row r="38" spans="1:10" ht="15" customHeight="1"/>
    <row r="39" spans="1:10" ht="15" customHeight="1"/>
    <row r="40" spans="1:10">
      <c r="B40" s="118"/>
      <c r="C40" s="119"/>
      <c r="D40" s="119"/>
      <c r="E40" s="119"/>
      <c r="F40" s="119"/>
      <c r="G40" s="119"/>
      <c r="H40" s="119"/>
      <c r="I40" s="119"/>
      <c r="J40" s="120"/>
    </row>
    <row r="41" spans="1:10">
      <c r="B41" s="18"/>
      <c r="C41" s="18"/>
      <c r="D41" s="18"/>
      <c r="E41" s="18"/>
      <c r="F41" s="18"/>
      <c r="G41" s="18"/>
      <c r="H41" s="18"/>
      <c r="I41" s="18"/>
      <c r="J41" s="18"/>
    </row>
    <row r="42" spans="1:10">
      <c r="B42" s="18"/>
      <c r="C42" s="18"/>
      <c r="D42" s="18"/>
      <c r="E42" s="18"/>
      <c r="F42" s="18"/>
      <c r="G42" s="18"/>
      <c r="H42" s="18"/>
      <c r="I42" s="18"/>
      <c r="J42" s="18"/>
    </row>
    <row r="43" spans="1:10">
      <c r="B43" s="18"/>
      <c r="C43" s="18"/>
      <c r="D43" s="18"/>
      <c r="E43" s="18"/>
      <c r="F43" s="18"/>
      <c r="G43" s="18"/>
      <c r="H43" s="18"/>
      <c r="I43" s="18"/>
      <c r="J43" s="18"/>
    </row>
    <row r="44" spans="1:10">
      <c r="B44" s="18"/>
      <c r="C44" s="18"/>
      <c r="D44" s="18"/>
      <c r="E44" s="18"/>
      <c r="F44" s="18"/>
      <c r="G44" s="18"/>
      <c r="H44" s="18"/>
      <c r="I44" s="18"/>
      <c r="J44" s="18"/>
    </row>
    <row r="45" spans="1:10" ht="15.75">
      <c r="A45" s="11" t="s">
        <v>1061</v>
      </c>
    </row>
    <row r="46" spans="1:10">
      <c r="B46" s="160" t="s">
        <v>34</v>
      </c>
      <c r="C46" s="134"/>
      <c r="D46" s="134"/>
      <c r="E46" s="134"/>
      <c r="F46" s="134"/>
      <c r="G46" s="134"/>
      <c r="H46" s="134"/>
      <c r="I46" s="134"/>
      <c r="J46" s="134"/>
    </row>
    <row r="47" spans="1:10">
      <c r="B47" s="16"/>
      <c r="C47" s="16"/>
      <c r="D47" s="16"/>
      <c r="E47" s="16"/>
      <c r="F47" s="16"/>
      <c r="G47" s="16"/>
      <c r="H47" s="16"/>
      <c r="I47" s="16"/>
      <c r="J47" s="16"/>
    </row>
    <row r="48" spans="1:10" ht="15" customHeight="1"/>
    <row r="49" spans="1:10" ht="15" customHeight="1"/>
    <row r="50" spans="1:10" ht="15" customHeight="1"/>
    <row r="51" spans="1:10" ht="15" customHeight="1"/>
    <row r="52" spans="1:10">
      <c r="B52" s="118"/>
      <c r="C52" s="119"/>
      <c r="D52" s="119"/>
      <c r="E52" s="119"/>
      <c r="F52" s="119"/>
      <c r="G52" s="119"/>
      <c r="H52" s="119"/>
      <c r="I52" s="119"/>
      <c r="J52" s="120"/>
    </row>
    <row r="53" spans="1:10" ht="15.75">
      <c r="A53" s="11" t="s">
        <v>610</v>
      </c>
    </row>
    <row r="54" spans="1:10">
      <c r="B54" s="160" t="s">
        <v>618</v>
      </c>
      <c r="C54" s="134"/>
      <c r="D54" s="134"/>
      <c r="E54" s="134"/>
      <c r="F54" s="134"/>
      <c r="G54" s="134"/>
      <c r="H54" s="134"/>
      <c r="I54" s="134"/>
      <c r="J54" s="134"/>
    </row>
    <row r="55" spans="1:10">
      <c r="B55" s="160" t="s">
        <v>1074</v>
      </c>
      <c r="C55" s="134"/>
      <c r="D55" s="134"/>
      <c r="E55" s="134"/>
      <c r="F55" s="134"/>
      <c r="G55" s="134"/>
      <c r="H55" s="134"/>
      <c r="I55" s="134"/>
      <c r="J55" s="134"/>
    </row>
    <row r="58" spans="1:10">
      <c r="B58" s="17" t="s">
        <v>432</v>
      </c>
      <c r="C58" s="17"/>
      <c r="D58" s="17"/>
      <c r="E58" s="17"/>
      <c r="F58" s="17"/>
      <c r="G58" s="17"/>
      <c r="H58" s="17"/>
      <c r="I58" s="17"/>
      <c r="J58" s="17"/>
    </row>
    <row r="61" spans="1:10">
      <c r="B61" s="160" t="s">
        <v>431</v>
      </c>
      <c r="C61" s="134"/>
      <c r="D61" s="134"/>
      <c r="E61" s="134"/>
      <c r="F61" s="134"/>
      <c r="G61" s="134"/>
      <c r="H61" s="134"/>
      <c r="I61" s="134"/>
      <c r="J61" s="134"/>
    </row>
    <row r="62" spans="1:10">
      <c r="B62" s="16"/>
      <c r="C62" s="16"/>
      <c r="D62" s="16"/>
      <c r="E62" s="16"/>
      <c r="F62" s="16"/>
      <c r="G62" s="16"/>
      <c r="H62" s="16"/>
      <c r="I62" s="16"/>
      <c r="J62" s="16"/>
    </row>
    <row r="63" spans="1:10" ht="15" customHeight="1"/>
    <row r="64" spans="1:10" ht="15" customHeight="1"/>
    <row r="65" spans="1:10">
      <c r="B65" s="118"/>
      <c r="C65" s="119"/>
      <c r="D65" s="119"/>
      <c r="E65" s="119"/>
      <c r="F65" s="119"/>
      <c r="G65" s="119"/>
      <c r="H65" s="119"/>
      <c r="I65" s="119"/>
      <c r="J65" s="120"/>
    </row>
    <row r="67" spans="1:10" ht="15" customHeight="1"/>
    <row r="68" spans="1:10">
      <c r="B68" s="118"/>
      <c r="C68" s="119"/>
      <c r="D68" s="119"/>
      <c r="E68" s="119"/>
      <c r="F68" s="119"/>
      <c r="G68" s="119"/>
      <c r="H68" s="119"/>
      <c r="I68" s="119"/>
      <c r="J68" s="120"/>
    </row>
    <row r="69" spans="1:10" ht="15.75">
      <c r="A69" s="11" t="s">
        <v>651</v>
      </c>
    </row>
    <row r="70" spans="1:10" ht="15" customHeight="1"/>
    <row r="71" spans="1:10" ht="15" customHeight="1"/>
    <row r="72" spans="1:10" ht="15" customHeight="1"/>
    <row r="73" spans="1:10">
      <c r="B73" s="118"/>
      <c r="C73" s="119"/>
      <c r="D73" s="119"/>
      <c r="E73" s="119"/>
      <c r="F73" s="119"/>
      <c r="G73" s="119"/>
      <c r="H73" s="119"/>
      <c r="I73" s="119"/>
      <c r="J73" s="120"/>
    </row>
    <row r="74" spans="1:10" ht="15.75">
      <c r="A74" s="11" t="s">
        <v>900</v>
      </c>
    </row>
    <row r="75" spans="1:10">
      <c r="B75" s="160" t="s">
        <v>68</v>
      </c>
      <c r="C75" s="134"/>
      <c r="D75" s="134"/>
      <c r="E75" s="134"/>
      <c r="F75" s="134"/>
      <c r="G75" s="134"/>
      <c r="H75" s="134"/>
      <c r="I75" s="134"/>
      <c r="J75" s="134"/>
    </row>
    <row r="77" spans="1:10">
      <c r="C77" s="19" t="s">
        <v>330</v>
      </c>
      <c r="D77" s="20"/>
      <c r="E77" s="19"/>
      <c r="F77" s="20"/>
      <c r="G77" s="20"/>
      <c r="H77" s="20"/>
      <c r="I77" s="20"/>
    </row>
    <row r="78" spans="1:10">
      <c r="C78" s="19" t="s">
        <v>922</v>
      </c>
      <c r="D78" s="20"/>
      <c r="E78" s="19"/>
      <c r="F78" s="20"/>
      <c r="G78" s="20"/>
      <c r="H78" s="20"/>
      <c r="I78" s="20"/>
    </row>
    <row r="79" spans="1:10" ht="15.75">
      <c r="A79" s="11" t="s">
        <v>137</v>
      </c>
    </row>
    <row r="80" spans="1:10">
      <c r="B80" s="16"/>
      <c r="C80" s="16"/>
      <c r="D80" s="16"/>
      <c r="E80" s="16"/>
      <c r="F80" s="16"/>
      <c r="G80" s="16"/>
      <c r="H80" s="16"/>
      <c r="I80" s="16"/>
      <c r="J80" s="16"/>
    </row>
    <row r="81" spans="1:10" ht="15" customHeight="1"/>
    <row r="82" spans="1:10" ht="15" customHeight="1"/>
    <row r="83" spans="1:10" ht="15.75">
      <c r="A83" s="11" t="s">
        <v>1231</v>
      </c>
    </row>
    <row r="84" spans="1:10">
      <c r="B84" s="16"/>
      <c r="C84" s="16"/>
      <c r="D84" s="16"/>
      <c r="E84" s="16"/>
      <c r="F84" s="16"/>
      <c r="G84" s="16"/>
      <c r="H84" s="16"/>
      <c r="I84" s="16"/>
      <c r="J84" s="16"/>
    </row>
    <row r="85" spans="1:10">
      <c r="B85" s="16"/>
      <c r="C85" s="16"/>
      <c r="D85" s="16"/>
      <c r="E85" s="16"/>
      <c r="F85" s="16"/>
      <c r="G85" s="16"/>
      <c r="H85" s="16"/>
      <c r="I85" s="16"/>
      <c r="J85" s="16"/>
    </row>
    <row r="86" spans="1:10" ht="15.75">
      <c r="A86" s="11" t="s">
        <v>932</v>
      </c>
    </row>
    <row r="87" spans="1:10">
      <c r="B87" s="16"/>
      <c r="C87" s="16"/>
      <c r="D87" s="16"/>
      <c r="E87" s="16"/>
      <c r="F87" s="16"/>
      <c r="G87" s="16"/>
      <c r="H87" s="16"/>
      <c r="I87" s="16"/>
      <c r="J87" s="16"/>
    </row>
    <row r="88" spans="1:10">
      <c r="B88" s="16"/>
      <c r="C88" s="16"/>
      <c r="D88" s="16"/>
      <c r="E88" s="16"/>
      <c r="F88" s="16"/>
      <c r="G88" s="16"/>
      <c r="H88" s="16"/>
      <c r="I88" s="16"/>
      <c r="J88" s="16"/>
    </row>
    <row r="89" spans="1:10">
      <c r="B89" s="16"/>
      <c r="C89" s="16"/>
      <c r="D89" s="16"/>
      <c r="E89" s="16"/>
      <c r="F89" s="16"/>
      <c r="G89" s="16"/>
      <c r="H89" s="16"/>
      <c r="I89" s="16"/>
      <c r="J89" s="16"/>
    </row>
    <row r="90" spans="1:10">
      <c r="B90" s="16"/>
      <c r="C90" s="16"/>
      <c r="D90" s="16"/>
      <c r="E90" s="16"/>
      <c r="F90" s="16"/>
      <c r="G90" s="16"/>
      <c r="H90" s="16"/>
      <c r="I90" s="16"/>
      <c r="J90" s="16"/>
    </row>
    <row r="91" spans="1:10">
      <c r="B91" s="16"/>
      <c r="C91" s="16"/>
      <c r="D91" s="16"/>
      <c r="E91" s="16"/>
      <c r="F91" s="16"/>
      <c r="G91" s="16"/>
      <c r="H91" s="16"/>
      <c r="I91" s="16"/>
      <c r="J91" s="16"/>
    </row>
    <row r="92" spans="1:10">
      <c r="B92" s="16"/>
      <c r="C92" s="16"/>
      <c r="D92" s="16"/>
      <c r="E92" s="16"/>
      <c r="F92" s="16"/>
      <c r="G92" s="16"/>
      <c r="H92" s="16"/>
      <c r="I92" s="16"/>
      <c r="J92" s="16"/>
    </row>
    <row r="93" spans="1:10">
      <c r="B93" s="16"/>
      <c r="C93" s="16"/>
      <c r="D93" s="16"/>
      <c r="E93" s="16"/>
      <c r="F93" s="16"/>
      <c r="G93" s="16"/>
      <c r="H93" s="16"/>
      <c r="I93" s="16"/>
      <c r="J93" s="16"/>
    </row>
    <row r="94" spans="1:10">
      <c r="B94" s="16"/>
      <c r="C94" s="16"/>
      <c r="D94" s="16"/>
      <c r="E94" s="16"/>
      <c r="F94" s="16"/>
      <c r="G94" s="16"/>
      <c r="H94" s="16"/>
      <c r="I94" s="16"/>
      <c r="J94" s="16"/>
    </row>
    <row r="96" spans="1:10" ht="15.75">
      <c r="A96" s="11" t="s">
        <v>498</v>
      </c>
      <c r="B96" s="11"/>
    </row>
    <row r="97" spans="2:10">
      <c r="B97" s="160" t="s">
        <v>510</v>
      </c>
      <c r="C97" s="134"/>
      <c r="D97" s="134"/>
      <c r="E97" s="134"/>
      <c r="F97" s="134"/>
      <c r="G97" s="134"/>
      <c r="H97" s="134"/>
      <c r="I97" s="134"/>
      <c r="J97" s="134"/>
    </row>
    <row r="98" spans="2:10">
      <c r="B98" s="134"/>
      <c r="C98" s="134"/>
      <c r="D98" s="134"/>
      <c r="E98" s="134"/>
      <c r="F98" s="134"/>
      <c r="G98" s="134"/>
      <c r="H98" s="134"/>
      <c r="I98" s="134"/>
      <c r="J98" s="134"/>
    </row>
    <row r="99" spans="2:10">
      <c r="B99" s="157" t="s">
        <v>373</v>
      </c>
      <c r="C99" s="157"/>
      <c r="D99" s="157"/>
      <c r="E99" s="157" t="s">
        <v>675</v>
      </c>
      <c r="F99" s="157"/>
      <c r="G99" s="157" t="s">
        <v>245</v>
      </c>
      <c r="H99" s="157"/>
      <c r="I99" s="157" t="s">
        <v>564</v>
      </c>
      <c r="J99" s="157"/>
    </row>
    <row r="100" spans="2:10">
      <c r="B100" s="125"/>
      <c r="C100" s="125"/>
      <c r="D100" s="125"/>
      <c r="E100" s="125"/>
      <c r="F100" s="125"/>
      <c r="G100" s="125"/>
      <c r="H100" s="125"/>
      <c r="I100" s="125"/>
      <c r="J100" s="125"/>
    </row>
    <row r="101" spans="2:10">
      <c r="B101" s="97"/>
      <c r="C101" s="97"/>
      <c r="D101" s="97"/>
      <c r="E101" s="97"/>
      <c r="F101" s="97"/>
      <c r="G101" s="97"/>
      <c r="H101" s="97"/>
      <c r="I101" s="97"/>
      <c r="J101" s="97"/>
    </row>
    <row r="102" spans="2:10">
      <c r="B102" s="97"/>
      <c r="C102" s="97"/>
      <c r="D102" s="97"/>
      <c r="E102" s="97"/>
      <c r="F102" s="97"/>
      <c r="G102" s="97"/>
      <c r="H102" s="97"/>
      <c r="I102" s="97"/>
      <c r="J102" s="97"/>
    </row>
    <row r="103" spans="2:10">
      <c r="B103" s="97"/>
      <c r="C103" s="97"/>
      <c r="D103" s="97"/>
      <c r="E103" s="97"/>
      <c r="F103" s="97"/>
      <c r="G103" s="97"/>
      <c r="H103" s="97"/>
      <c r="I103" s="97"/>
      <c r="J103" s="97"/>
    </row>
    <row r="104" spans="2:10">
      <c r="B104" s="97"/>
      <c r="C104" s="97"/>
      <c r="D104" s="97"/>
      <c r="E104" s="97"/>
      <c r="F104" s="97"/>
      <c r="G104" s="97"/>
      <c r="H104" s="97"/>
      <c r="I104" s="97"/>
      <c r="J104" s="97"/>
    </row>
    <row r="105" spans="2:10">
      <c r="B105" s="97"/>
      <c r="C105" s="97"/>
      <c r="D105" s="97"/>
      <c r="E105" s="97"/>
      <c r="F105" s="97"/>
      <c r="G105" s="97"/>
      <c r="H105" s="97"/>
      <c r="I105" s="97"/>
      <c r="J105" s="97"/>
    </row>
    <row r="107" spans="2:10">
      <c r="B107" s="16"/>
      <c r="C107" s="16"/>
      <c r="D107" s="16"/>
      <c r="E107" s="16"/>
      <c r="F107" s="16"/>
      <c r="G107" s="16"/>
      <c r="H107" s="16"/>
      <c r="I107" s="16"/>
      <c r="J107" s="16"/>
    </row>
    <row r="108" spans="2:10" ht="15" customHeight="1"/>
    <row r="109" spans="2:10" ht="15" customHeight="1"/>
    <row r="111" spans="2:10">
      <c r="B111" s="16"/>
      <c r="C111" s="16"/>
      <c r="D111" s="16"/>
      <c r="E111" s="16"/>
      <c r="F111" s="16"/>
      <c r="G111" s="16"/>
      <c r="H111" s="16"/>
      <c r="I111" s="16"/>
      <c r="J111" s="16"/>
    </row>
    <row r="112" spans="2:10">
      <c r="B112" s="163"/>
      <c r="C112" s="164"/>
      <c r="D112" s="164"/>
      <c r="E112" s="164"/>
      <c r="F112" s="164"/>
      <c r="G112" s="164"/>
      <c r="H112" s="164"/>
      <c r="I112" s="164"/>
      <c r="J112" s="165"/>
    </row>
    <row r="113" spans="1:10">
      <c r="B113" s="166"/>
      <c r="C113" s="167"/>
      <c r="D113" s="167"/>
      <c r="E113" s="167"/>
      <c r="F113" s="167"/>
      <c r="G113" s="167"/>
      <c r="H113" s="167"/>
      <c r="I113" s="167"/>
      <c r="J113" s="168"/>
    </row>
    <row r="114" spans="1:10">
      <c r="B114" s="16"/>
      <c r="C114" s="16"/>
      <c r="D114" s="16"/>
      <c r="E114" s="16"/>
      <c r="F114" s="16"/>
      <c r="G114" s="16"/>
      <c r="H114" s="16"/>
      <c r="I114" s="16"/>
      <c r="J114" s="16"/>
    </row>
    <row r="115" spans="1:10" ht="15" customHeight="1"/>
    <row r="116" spans="1:10" ht="15" customHeight="1"/>
    <row r="119" spans="1:10" ht="15.75">
      <c r="A119" s="11" t="s">
        <v>1292</v>
      </c>
    </row>
    <row r="120" spans="1:10">
      <c r="B120" s="157" t="s">
        <v>205</v>
      </c>
      <c r="C120" s="157"/>
      <c r="D120" s="157"/>
      <c r="E120" s="157"/>
      <c r="F120" s="157"/>
      <c r="G120" s="157" t="s">
        <v>334</v>
      </c>
      <c r="H120" s="157"/>
      <c r="I120" s="157" t="s">
        <v>294</v>
      </c>
      <c r="J120" s="157"/>
    </row>
    <row r="121" spans="1:10">
      <c r="B121" s="125"/>
      <c r="C121" s="125"/>
      <c r="D121" s="125"/>
      <c r="E121" s="125"/>
      <c r="F121" s="125"/>
      <c r="G121" s="125"/>
      <c r="H121" s="125"/>
      <c r="I121" s="125"/>
      <c r="J121" s="125"/>
    </row>
    <row r="122" spans="1:10">
      <c r="B122" s="97"/>
      <c r="C122" s="97"/>
      <c r="D122" s="97"/>
      <c r="E122" s="97"/>
      <c r="F122" s="97"/>
      <c r="G122" s="97"/>
      <c r="H122" s="97"/>
      <c r="I122" s="97"/>
      <c r="J122" s="97"/>
    </row>
    <row r="123" spans="1:10">
      <c r="B123" s="97"/>
      <c r="C123" s="97"/>
      <c r="D123" s="97"/>
      <c r="E123" s="97"/>
      <c r="F123" s="97"/>
      <c r="G123" s="97"/>
      <c r="H123" s="97"/>
      <c r="I123" s="97"/>
      <c r="J123" s="97"/>
    </row>
    <row r="124" spans="1:10">
      <c r="B124" s="97"/>
      <c r="C124" s="97"/>
      <c r="D124" s="97"/>
      <c r="E124" s="97"/>
      <c r="F124" s="97"/>
      <c r="G124" s="97"/>
      <c r="H124" s="97"/>
      <c r="I124" s="97"/>
      <c r="J124" s="97"/>
    </row>
    <row r="125" spans="1:10">
      <c r="B125" s="97"/>
      <c r="C125" s="97"/>
      <c r="D125" s="97"/>
      <c r="E125" s="97"/>
      <c r="F125" s="97"/>
      <c r="G125" s="97"/>
      <c r="H125" s="97"/>
      <c r="I125" s="97"/>
      <c r="J125" s="97"/>
    </row>
    <row r="126" spans="1:10">
      <c r="B126" s="97"/>
      <c r="C126" s="97"/>
      <c r="D126" s="97"/>
      <c r="E126" s="97"/>
      <c r="F126" s="97"/>
      <c r="G126" s="97"/>
      <c r="H126" s="97"/>
      <c r="I126" s="97"/>
      <c r="J126" s="97"/>
    </row>
  </sheetData>
  <sheetProtection sheet="1"/>
  <mergeCells count="81">
    <mergeCell ref="B112:J113"/>
    <mergeCell ref="B104:D104"/>
    <mergeCell ref="E104:F104"/>
    <mergeCell ref="G104:H104"/>
    <mergeCell ref="I104:J104"/>
    <mergeCell ref="B105:D105"/>
    <mergeCell ref="E105:F105"/>
    <mergeCell ref="G105:H105"/>
    <mergeCell ref="I105:J105"/>
    <mergeCell ref="B102:D102"/>
    <mergeCell ref="E102:F102"/>
    <mergeCell ref="G102:H102"/>
    <mergeCell ref="I102:J102"/>
    <mergeCell ref="B101:D101"/>
    <mergeCell ref="E101:F101"/>
    <mergeCell ref="G101:H101"/>
    <mergeCell ref="I101:J101"/>
    <mergeCell ref="B103:D103"/>
    <mergeCell ref="E103:F103"/>
    <mergeCell ref="G103:H103"/>
    <mergeCell ref="I103:J103"/>
    <mergeCell ref="B97:J98"/>
    <mergeCell ref="B99:D99"/>
    <mergeCell ref="E99:F99"/>
    <mergeCell ref="G99:H99"/>
    <mergeCell ref="I99:J99"/>
    <mergeCell ref="B100:D100"/>
    <mergeCell ref="E100:F100"/>
    <mergeCell ref="G100:H100"/>
    <mergeCell ref="I100:J100"/>
    <mergeCell ref="B55:J55"/>
    <mergeCell ref="B61:J61"/>
    <mergeCell ref="B65:J65"/>
    <mergeCell ref="B68:J68"/>
    <mergeCell ref="B73:J73"/>
    <mergeCell ref="B75:J75"/>
    <mergeCell ref="B22:J23"/>
    <mergeCell ref="B26:J26"/>
    <mergeCell ref="B27:J29"/>
    <mergeCell ref="B35:J36"/>
    <mergeCell ref="B52:J52"/>
    <mergeCell ref="B46:J46"/>
    <mergeCell ref="B40:J40"/>
    <mergeCell ref="B54:J54"/>
    <mergeCell ref="F12:G12"/>
    <mergeCell ref="H12:J12"/>
    <mergeCell ref="B13:E13"/>
    <mergeCell ref="F13:G13"/>
    <mergeCell ref="H13:J13"/>
    <mergeCell ref="B12:E12"/>
    <mergeCell ref="B14:E14"/>
    <mergeCell ref="F14:G14"/>
    <mergeCell ref="H14:J14"/>
    <mergeCell ref="B6:J6"/>
    <mergeCell ref="B10:E10"/>
    <mergeCell ref="F10:G10"/>
    <mergeCell ref="H10:J10"/>
    <mergeCell ref="B11:E11"/>
    <mergeCell ref="F11:G11"/>
    <mergeCell ref="H11:J11"/>
    <mergeCell ref="B120:F120"/>
    <mergeCell ref="G120:H120"/>
    <mergeCell ref="I120:J120"/>
    <mergeCell ref="B121:F121"/>
    <mergeCell ref="G121:H121"/>
    <mergeCell ref="I121:J121"/>
    <mergeCell ref="B122:F122"/>
    <mergeCell ref="G122:H122"/>
    <mergeCell ref="I122:J122"/>
    <mergeCell ref="B123:F123"/>
    <mergeCell ref="G123:H123"/>
    <mergeCell ref="I123:J123"/>
    <mergeCell ref="B126:F126"/>
    <mergeCell ref="G126:H126"/>
    <mergeCell ref="I126:J126"/>
    <mergeCell ref="B124:F124"/>
    <mergeCell ref="G124:H124"/>
    <mergeCell ref="I124:J124"/>
    <mergeCell ref="B125:F125"/>
    <mergeCell ref="G125:H125"/>
    <mergeCell ref="I125:J125"/>
  </mergeCells>
  <phoneticPr fontId="0" type="noConversion"/>
  <pageMargins left="0.7" right="0.7" top="0.75" bottom="0.75" header="0.3" footer="0.3"/>
  <pageSetup paperSize="9" scale="85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Q70"/>
  <sheetViews>
    <sheetView topLeftCell="A13" workbookViewId="0">
      <selection activeCell="C9" sqref="C9"/>
    </sheetView>
  </sheetViews>
  <sheetFormatPr defaultRowHeight="15"/>
  <cols>
    <col min="1" max="1" width="16" customWidth="1"/>
    <col min="2" max="9" width="8.85546875" customWidth="1"/>
    <col min="10" max="17" width="9.140625" style="8"/>
  </cols>
  <sheetData>
    <row r="1" spans="1:17" ht="18.75">
      <c r="B1" s="12" t="s">
        <v>273</v>
      </c>
    </row>
    <row r="2" spans="1:17">
      <c r="B2" s="3"/>
    </row>
    <row r="3" spans="1:17" ht="15.75">
      <c r="A3" s="11" t="s">
        <v>404</v>
      </c>
    </row>
    <row r="5" spans="1:17" s="2" customFormat="1">
      <c r="A5" s="170" t="s">
        <v>236</v>
      </c>
      <c r="B5" s="169" t="s">
        <v>332</v>
      </c>
      <c r="C5" s="169"/>
      <c r="D5" s="169"/>
      <c r="E5" s="169"/>
      <c r="F5" s="169"/>
      <c r="G5" s="169"/>
      <c r="H5" s="169"/>
      <c r="I5" s="169"/>
      <c r="J5" s="9"/>
      <c r="K5" s="9"/>
      <c r="L5" s="9"/>
      <c r="M5" s="9"/>
      <c r="N5" s="9"/>
      <c r="O5" s="9"/>
      <c r="P5" s="9"/>
      <c r="Q5" s="9"/>
    </row>
    <row r="6" spans="1:17" s="1" customFormat="1" ht="40.5" customHeight="1">
      <c r="A6" s="171"/>
      <c r="B6" s="7" t="s">
        <v>136</v>
      </c>
      <c r="C6" s="7" t="s">
        <v>416</v>
      </c>
      <c r="D6" s="7" t="s">
        <v>191</v>
      </c>
      <c r="E6" s="7" t="s">
        <v>274</v>
      </c>
      <c r="F6" s="7" t="s">
        <v>173</v>
      </c>
      <c r="G6" s="7" t="s">
        <v>108</v>
      </c>
      <c r="H6" s="7" t="s">
        <v>376</v>
      </c>
      <c r="I6" s="7" t="s">
        <v>461</v>
      </c>
      <c r="J6" s="10"/>
      <c r="K6" s="10"/>
      <c r="L6" s="10"/>
      <c r="M6" s="10"/>
      <c r="N6" s="10"/>
      <c r="O6" s="10"/>
      <c r="P6" s="10"/>
      <c r="Q6" s="10"/>
    </row>
    <row r="7" spans="1:17">
      <c r="A7" s="47" t="s">
        <v>958</v>
      </c>
      <c r="B7" s="47" t="s">
        <v>1350</v>
      </c>
      <c r="C7" s="47" t="s">
        <v>737</v>
      </c>
      <c r="D7" s="47" t="s">
        <v>226</v>
      </c>
      <c r="E7" s="47" t="s">
        <v>830</v>
      </c>
      <c r="F7" s="47" t="s">
        <v>126</v>
      </c>
      <c r="G7" s="47" t="s">
        <v>707</v>
      </c>
      <c r="H7" s="47" t="s">
        <v>87</v>
      </c>
      <c r="I7" s="47" t="s">
        <v>724</v>
      </c>
    </row>
    <row r="8" spans="1:17" ht="15.95" customHeight="1">
      <c r="A8" s="46" t="s">
        <v>371</v>
      </c>
      <c r="B8" s="126"/>
      <c r="C8" s="126"/>
      <c r="D8" s="126"/>
      <c r="E8" s="126"/>
      <c r="F8" s="126"/>
      <c r="G8" s="126"/>
      <c r="H8" s="126"/>
      <c r="I8" s="126"/>
    </row>
    <row r="9" spans="1:17" ht="26.1" customHeight="1">
      <c r="A9" s="5" t="s">
        <v>326</v>
      </c>
      <c r="B9" s="13">
        <f>IF(ISERROR(VLOOKUP(41,Suvaha_BO!A:F,4,0)),0,VLOOKUP(41,Suvaha_BO!A:F,4,0))</f>
        <v>0</v>
      </c>
      <c r="C9" s="13">
        <f>IF(ISERROR(VLOOKUP(51,Suvaha_BO!A:F,4,0)),0,VLOOKUP(51,Suvaha_BO!A:F,4,0))</f>
        <v>14149.9</v>
      </c>
      <c r="D9" s="13">
        <f>IF(ISERROR(VLOOKUP(61,Suvaha_BO!A:F,4,0)),0,VLOOKUP(61,Suvaha_BO!A:F,4,0))</f>
        <v>0</v>
      </c>
      <c r="E9" s="13">
        <f>IF(ISERROR(VLOOKUP(71,Suvaha_BO!A:F,4,0)),0,VLOOKUP(71,Suvaha_BO!A:F,4,0))</f>
        <v>0</v>
      </c>
      <c r="F9" s="13">
        <f>IF(ISERROR(VLOOKUP(81,Suvaha_BO!A:F,4,0)),0,VLOOKUP(81,Suvaha_BO!A:F,4,0))</f>
        <v>0</v>
      </c>
      <c r="G9" s="13">
        <f>IF(ISERROR(VLOOKUP(91,Suvaha_BO!A:F,4,0)),0,VLOOKUP(91,Suvaha_BO!A:F,4,0))</f>
        <v>0</v>
      </c>
      <c r="H9" s="13">
        <f>IF(ISERROR(VLOOKUP(101,Suvaha_BO!A:F,4,0)),0,VLOOKUP(101,Suvaha_BO!A:F,4,0))</f>
        <v>0</v>
      </c>
      <c r="I9" s="13">
        <f>B9+C9+D9+E9+F9+G9+H9</f>
        <v>14149.9</v>
      </c>
    </row>
    <row r="10" spans="1:17" ht="15.95" customHeight="1">
      <c r="A10" s="4" t="s">
        <v>140</v>
      </c>
      <c r="B10" s="13">
        <f>IF(ISERROR(VLOOKUP(41,Suvaha_BO!A:F,5,0)),0,VLOOKUP(41,Suvaha_BO!A:F,5,0))</f>
        <v>0</v>
      </c>
      <c r="C10" s="13">
        <f>IF(ISERROR(VLOOKUP(51,Suvaha_BO!A:F,5,0)),0,VLOOKUP(51,Suvaha_BO!A:F,5,0))</f>
        <v>0</v>
      </c>
      <c r="D10" s="13">
        <f>IF(ISERROR(VLOOKUP(61,Suvaha_BO!A:F,5,0)),0,VLOOKUP(61,Suvaha_BO!A:F,5,0))</f>
        <v>0</v>
      </c>
      <c r="E10" s="13">
        <f>IF(ISERROR(VLOOKUP(71,Suvaha_BO!A:F,5,0)),0,VLOOKUP(71,Suvaha_BO!A:F,5,0))</f>
        <v>0</v>
      </c>
      <c r="F10" s="13">
        <f>IF(ISERROR(VLOOKUP(81,Suvaha_BO!A:F,5,0)),0,VLOOKUP(81,Suvaha_BO!A:F,5,0))</f>
        <v>0</v>
      </c>
      <c r="G10" s="13">
        <f>IF(ISERROR(VLOOKUP(91,Suvaha_BO!A:F,5,0)),0,VLOOKUP(91,Suvaha_BO!A:F,5,0))</f>
        <v>0</v>
      </c>
      <c r="H10" s="13">
        <f>IF(ISERROR(VLOOKUP(101,Suvaha_BO!A:F,5,0)),0,VLOOKUP(101,Suvaha_BO!A:F,5,0))</f>
        <v>0</v>
      </c>
      <c r="I10" s="13">
        <f>B10+C10+D10+E10+F10+G10+H10</f>
        <v>0</v>
      </c>
    </row>
    <row r="11" spans="1:17" ht="15.95" customHeight="1">
      <c r="A11" s="4" t="s">
        <v>420</v>
      </c>
      <c r="B11" s="13">
        <f>IF(ISERROR(VLOOKUP(41,Suvaha_BO!A:F,6,0)),0,VLOOKUP(41,Suvaha_BO!A:F,6,0))</f>
        <v>0</v>
      </c>
      <c r="C11" s="13">
        <f>IF(ISERROR(VLOOKUP(51,Suvaha_BO!A:F,6,0)),0,VLOOKUP(51,Suvaha_BO!A:F,6,0))</f>
        <v>0</v>
      </c>
      <c r="D11" s="13">
        <f>IF(ISERROR(VLOOKUP(61,Suvaha_BO!A:F,6,0)),0,VLOOKUP(61,Suvaha_BO!A:F,6,0))</f>
        <v>0</v>
      </c>
      <c r="E11" s="13">
        <f>IF(ISERROR(VLOOKUP(71,Suvaha_BO!A:F,6,0)),0,VLOOKUP(71,Suvaha_BO!A:F,6,0))</f>
        <v>0</v>
      </c>
      <c r="F11" s="13">
        <f>IF(ISERROR(VLOOKUP(81,Suvaha_BO!A:F,6,0)),0,VLOOKUP(81,Suvaha_BO!A:F,6,0))</f>
        <v>0</v>
      </c>
      <c r="G11" s="13">
        <f>IF(ISERROR(VLOOKUP(91,Suvaha_BO!A:F,6,0)),0,VLOOKUP(91,Suvaha_BO!A:F,6,0))</f>
        <v>0</v>
      </c>
      <c r="H11" s="13">
        <f>IF(ISERROR(VLOOKUP(101,Suvaha_BO!A:F,6,0)),0,VLOOKUP(101,Suvaha_BO!A:F,6,0))</f>
        <v>0</v>
      </c>
      <c r="I11" s="13">
        <f>B11+C11+D11+E11+F11+G11+H11</f>
        <v>0</v>
      </c>
    </row>
    <row r="12" spans="1:17" ht="15.95" customHeight="1">
      <c r="A12" s="4" t="s">
        <v>948</v>
      </c>
      <c r="B12" s="13"/>
      <c r="C12" s="13"/>
      <c r="D12" s="13"/>
      <c r="E12" s="13"/>
      <c r="F12" s="13"/>
      <c r="G12" s="13"/>
      <c r="H12" s="13"/>
      <c r="I12" s="13">
        <f>B12+C12+D12+E12+F12+G12+H12</f>
        <v>0</v>
      </c>
    </row>
    <row r="13" spans="1:17" ht="26.1" customHeight="1">
      <c r="A13" s="5" t="s">
        <v>1280</v>
      </c>
      <c r="B13" s="13">
        <f t="shared" ref="B13:H13" si="0">B9+B10-B11-B12</f>
        <v>0</v>
      </c>
      <c r="C13" s="13">
        <f t="shared" si="0"/>
        <v>14149.9</v>
      </c>
      <c r="D13" s="13">
        <f t="shared" si="0"/>
        <v>0</v>
      </c>
      <c r="E13" s="13">
        <f t="shared" si="0"/>
        <v>0</v>
      </c>
      <c r="F13" s="13">
        <f t="shared" si="0"/>
        <v>0</v>
      </c>
      <c r="G13" s="13">
        <f t="shared" si="0"/>
        <v>0</v>
      </c>
      <c r="H13" s="13">
        <f t="shared" si="0"/>
        <v>0</v>
      </c>
      <c r="I13" s="13">
        <f>B13+C13+D13+E13+F13+G13+H13</f>
        <v>14149.9</v>
      </c>
    </row>
    <row r="14" spans="1:17" ht="15.95" customHeight="1">
      <c r="A14" s="4" t="s">
        <v>230</v>
      </c>
      <c r="B14" s="97"/>
      <c r="C14" s="97"/>
      <c r="D14" s="97"/>
      <c r="E14" s="97"/>
      <c r="F14" s="97"/>
      <c r="G14" s="97"/>
      <c r="H14" s="97"/>
      <c r="I14" s="97"/>
    </row>
    <row r="15" spans="1:17" ht="26.1" customHeight="1">
      <c r="A15" s="5" t="s">
        <v>326</v>
      </c>
      <c r="B15" s="13">
        <f>IF(ISERROR(VLOOKUP(42,Suvaha_BO!A:F,4,0)),0,VLOOKUP(42,Suvaha_BO!A:F,4,0))</f>
        <v>0</v>
      </c>
      <c r="C15" s="13">
        <f>IF(ISERROR(VLOOKUP(52,Suvaha_BO!A:F,4,0)),0,VLOOKUP(52,Suvaha_BO!A:F,4,0))</f>
        <v>14149.9</v>
      </c>
      <c r="D15" s="13">
        <f>IF(ISERROR(VLOOKUP(62,Suvaha_BO!A:F,4,0)),0,VLOOKUP(62,Suvaha_BO!A:F,4,0))</f>
        <v>0</v>
      </c>
      <c r="E15" s="13">
        <f>IF(ISERROR(VLOOKUP(72,Suvaha_BO!A:F,4,0)),0,VLOOKUP(72,Suvaha_BO!A:F,4,0))</f>
        <v>0</v>
      </c>
      <c r="F15" s="13">
        <f>IF(ISERROR(VLOOKUP(82,Suvaha_BO!A:F,4,0)),0,VLOOKUP(82,Suvaha_BO!A:F,4,0))</f>
        <v>0</v>
      </c>
      <c r="G15" s="13"/>
      <c r="H15" s="13"/>
      <c r="I15" s="13">
        <f>B15+C15+D15+E15+F15+G15+H15</f>
        <v>14149.9</v>
      </c>
    </row>
    <row r="16" spans="1:17" ht="15.95" customHeight="1">
      <c r="A16" s="4" t="s">
        <v>140</v>
      </c>
      <c r="B16" s="13">
        <f>IF(ISERROR(VLOOKUP(42,Suvaha_BO!A:F,6,0)),0,VLOOKUP(42,Suvaha_BO!A:F,6,0))</f>
        <v>0</v>
      </c>
      <c r="C16" s="13">
        <f>IF(ISERROR(VLOOKUP(52,Suvaha_BO!A:F,6,0)),0,VLOOKUP(52,Suvaha_BO!A:F,6,0))</f>
        <v>0</v>
      </c>
      <c r="D16" s="13">
        <f>IF(ISERROR(VLOOKUP(62,Suvaha_BO!A:F,6,0)),0,VLOOKUP(62,Suvaha_BO!A:F,6,0))</f>
        <v>0</v>
      </c>
      <c r="E16" s="13">
        <f>IF(ISERROR(VLOOKUP(72,Suvaha_BO!A:F,6,0)),0,VLOOKUP(72,Suvaha_BO!A:F,6,0))</f>
        <v>0</v>
      </c>
      <c r="F16" s="13">
        <f>IF(ISERROR(VLOOKUP(82,Suvaha_BO!A:F,6,0)),0,VLOOKUP(82,Suvaha_BO!A:F,6,0))</f>
        <v>0</v>
      </c>
      <c r="G16" s="13"/>
      <c r="H16" s="13"/>
      <c r="I16" s="13">
        <f>B16+C16+D16+E16+F16+G16+H16</f>
        <v>0</v>
      </c>
    </row>
    <row r="17" spans="1:9" ht="15.95" customHeight="1">
      <c r="A17" s="4" t="s">
        <v>420</v>
      </c>
      <c r="B17" s="13">
        <f>IF(ISERROR(VLOOKUP(42,Suvaha_BO!A:F,5,0)),0,VLOOKUP(42,Suvaha_BO!A:F,5,0))</f>
        <v>0</v>
      </c>
      <c r="C17" s="13">
        <f>IF(ISERROR(VLOOKUP(52,Suvaha_BO!A:F,5,0)),0,VLOOKUP(52,Suvaha_BO!A:F,5,0))</f>
        <v>0</v>
      </c>
      <c r="D17" s="13">
        <f>IF(ISERROR(VLOOKUP(62,Suvaha_BO!A:F,5,0)),0,VLOOKUP(62,Suvaha_BO!A:F,5,0))</f>
        <v>0</v>
      </c>
      <c r="E17" s="13">
        <f>IF(ISERROR(VLOOKUP(72,Suvaha_BO!A:F,5,0)),0,VLOOKUP(72,Suvaha_BO!A:F,5,0))</f>
        <v>0</v>
      </c>
      <c r="F17" s="13">
        <f>IF(ISERROR(VLOOKUP(82,Suvaha_BO!A:F,5,0)),0,VLOOKUP(82,Suvaha_BO!A:F,5,0))</f>
        <v>0</v>
      </c>
      <c r="G17" s="13"/>
      <c r="H17" s="13"/>
      <c r="I17" s="13">
        <f>B17+C17+D17+E17+F17+G17+H17</f>
        <v>0</v>
      </c>
    </row>
    <row r="18" spans="1:9" ht="26.1" customHeight="1">
      <c r="A18" s="5" t="s">
        <v>1280</v>
      </c>
      <c r="B18" s="13">
        <f>B15+B16-B17</f>
        <v>0</v>
      </c>
      <c r="C18" s="13">
        <f>C15+C16-C17</f>
        <v>14149.9</v>
      </c>
      <c r="D18" s="13">
        <f>D15+D16-D17</f>
        <v>0</v>
      </c>
      <c r="E18" s="13">
        <f>E15+E16-E17</f>
        <v>0</v>
      </c>
      <c r="F18" s="13">
        <f>F15+F16-F17</f>
        <v>0</v>
      </c>
      <c r="G18" s="13"/>
      <c r="H18" s="13"/>
      <c r="I18" s="13">
        <f>B18+C18+D18+E18+F18+G18+H18</f>
        <v>14149.9</v>
      </c>
    </row>
    <row r="19" spans="1:9" ht="15.95" customHeight="1">
      <c r="A19" s="4" t="s">
        <v>1244</v>
      </c>
      <c r="B19" s="97"/>
      <c r="C19" s="97"/>
      <c r="D19" s="97"/>
      <c r="E19" s="97"/>
      <c r="F19" s="97"/>
      <c r="G19" s="97"/>
      <c r="H19" s="97"/>
      <c r="I19" s="97"/>
    </row>
    <row r="20" spans="1:9" ht="26.1" customHeight="1">
      <c r="A20" s="5" t="s">
        <v>326</v>
      </c>
      <c r="B20" s="13">
        <f>IF(ISERROR(VLOOKUP(43,Suvaha_BO!A:F,4,0)),0,VLOOKUP(43,Suvaha_BO!A:F,4,0))</f>
        <v>0</v>
      </c>
      <c r="C20" s="13">
        <f>IF(ISERROR(VLOOKUP(53,Suvaha_BO!A:F,4,0)),0,VLOOKUP(53,Suvaha_BO!A:F,4,0))</f>
        <v>0</v>
      </c>
      <c r="D20" s="13">
        <f>IF(ISERROR(VLOOKUP(63,Suvaha_BO!A:F,4,0)),0,VLOOKUP(63,Suvaha_BO!A:F,4,0))</f>
        <v>0</v>
      </c>
      <c r="E20" s="13">
        <f>IF(ISERROR(VLOOKUP(73,Suvaha_BO!A:F,4,0)),0,VLOOKUP(73,Suvaha_BO!A:F,4,0))</f>
        <v>0</v>
      </c>
      <c r="F20" s="13">
        <f>IF(ISERROR(VLOOKUP(83,Suvaha_BO!A:F,4,0)),0,VLOOKUP(83,Suvaha_BO!A:F,4,0))</f>
        <v>0</v>
      </c>
      <c r="G20" s="13">
        <f>IF(ISERROR(VLOOKUP(92,Suvaha_BO!A:F,4,0)),0,VLOOKUP(92,Suvaha_BO!A:F,4,0))</f>
        <v>0</v>
      </c>
      <c r="H20" s="13">
        <f>IF(ISERROR(VLOOKUP(102,Suvaha_BO!A:F,4,0)),0,VLOOKUP(102,Suvaha_BO!A:F,4,0))</f>
        <v>0</v>
      </c>
      <c r="I20" s="13">
        <f>B20+C20+D20+E20+F20+G20+H20</f>
        <v>0</v>
      </c>
    </row>
    <row r="21" spans="1:9" ht="15.95" customHeight="1">
      <c r="A21" s="4" t="s">
        <v>140</v>
      </c>
      <c r="B21" s="13">
        <f>IF(ISERROR(VLOOKUP(43,Suvaha_BO!A:F,6,0)),0,VLOOKUP(43,Suvaha_BO!A:F,6,0))</f>
        <v>0</v>
      </c>
      <c r="C21" s="13">
        <f>IF(ISERROR(VLOOKUP(53,Suvaha_BO!A:F,6,0)),0,VLOOKUP(53,Suvaha_BO!A:F,6,0))</f>
        <v>0</v>
      </c>
      <c r="D21" s="13">
        <f>IF(ISERROR(VLOOKUP(63,Suvaha_BO!A:F,6,0)),0,VLOOKUP(63,Suvaha_BO!A:F,6,0))</f>
        <v>0</v>
      </c>
      <c r="E21" s="13">
        <f>IF(ISERROR(VLOOKUP(73,Suvaha_BO!A:F,6,0)),0,VLOOKUP(73,Suvaha_BO!A:F,6,0))</f>
        <v>0</v>
      </c>
      <c r="F21" s="13">
        <f>IF(ISERROR(VLOOKUP(83,Suvaha_BO!A:F,6,0)),0,VLOOKUP(83,Suvaha_BO!A:F,6,0))</f>
        <v>0</v>
      </c>
      <c r="G21" s="13">
        <f>IF(ISERROR(VLOOKUP(92,Suvaha_BO!A:F,6,0)),0,VLOOKUP(92,Suvaha_BO!A:F,6,0))</f>
        <v>0</v>
      </c>
      <c r="H21" s="13">
        <f>IF(ISERROR(VLOOKUP(102,Suvaha_BO!A:F,6,0)),0,VLOOKUP(102,Suvaha_BO!A:F,6,0))</f>
        <v>0</v>
      </c>
      <c r="I21" s="13">
        <f>B21+C21+D21+E21+F21+G21+H21</f>
        <v>0</v>
      </c>
    </row>
    <row r="22" spans="1:9" ht="15.95" customHeight="1">
      <c r="A22" s="4" t="s">
        <v>420</v>
      </c>
      <c r="B22" s="13">
        <f>IF(ISERROR(VLOOKUP(43,Suvaha_BO!A:F,5,0)),0,VLOOKUP(43,Suvaha_BO!A:F,5,0))</f>
        <v>0</v>
      </c>
      <c r="C22" s="13">
        <f>IF(ISERROR(VLOOKUP(53,Suvaha_BO!A:F,5,0)),0,VLOOKUP(53,Suvaha_BO!A:F,5,0))</f>
        <v>0</v>
      </c>
      <c r="D22" s="13">
        <f>IF(ISERROR(VLOOKUP(63,Suvaha_BO!A:F,5,0)),0,VLOOKUP(63,Suvaha_BO!A:F,5,0))</f>
        <v>0</v>
      </c>
      <c r="E22" s="13">
        <f>IF(ISERROR(VLOOKUP(73,Suvaha_BO!A:F,5,0)),0,VLOOKUP(73,Suvaha_BO!A:F,5,0))</f>
        <v>0</v>
      </c>
      <c r="F22" s="13">
        <f>IF(ISERROR(VLOOKUP(83,Suvaha_BO!A:F,5,0)),0,VLOOKUP(83,Suvaha_BO!A:F,5,0))</f>
        <v>0</v>
      </c>
      <c r="G22" s="13">
        <f>IF(ISERROR(VLOOKUP(92,Suvaha_BO!A:F,5,0)),0,VLOOKUP(92,Suvaha_BO!A:F,5,0))</f>
        <v>0</v>
      </c>
      <c r="H22" s="13">
        <f>IF(ISERROR(VLOOKUP(102,Suvaha_BO!A:F,5,0)),0,VLOOKUP(102,Suvaha_BO!A:F,5,0))</f>
        <v>0</v>
      </c>
      <c r="I22" s="13">
        <f>B22+C22+D22+E22+F22+G22+H22</f>
        <v>0</v>
      </c>
    </row>
    <row r="23" spans="1:9" ht="26.1" customHeight="1">
      <c r="A23" s="5" t="s">
        <v>1280</v>
      </c>
      <c r="B23" s="13">
        <f t="shared" ref="B23:H23" si="1">B20+B21-B22</f>
        <v>0</v>
      </c>
      <c r="C23" s="13">
        <f t="shared" si="1"/>
        <v>0</v>
      </c>
      <c r="D23" s="13">
        <f t="shared" si="1"/>
        <v>0</v>
      </c>
      <c r="E23" s="13">
        <f t="shared" si="1"/>
        <v>0</v>
      </c>
      <c r="F23" s="13">
        <f t="shared" si="1"/>
        <v>0</v>
      </c>
      <c r="G23" s="13">
        <f t="shared" si="1"/>
        <v>0</v>
      </c>
      <c r="H23" s="13">
        <f t="shared" si="1"/>
        <v>0</v>
      </c>
      <c r="I23" s="13">
        <f>B23+C23+D23+E23+F23+G23+H23</f>
        <v>0</v>
      </c>
    </row>
    <row r="24" spans="1:9" ht="15.95" customHeight="1">
      <c r="A24" s="4" t="s">
        <v>983</v>
      </c>
      <c r="B24" s="97"/>
      <c r="C24" s="97"/>
      <c r="D24" s="97"/>
      <c r="E24" s="97"/>
      <c r="F24" s="97"/>
      <c r="G24" s="97"/>
      <c r="H24" s="97"/>
      <c r="I24" s="97"/>
    </row>
    <row r="25" spans="1:9" ht="26.1" customHeight="1">
      <c r="A25" s="5" t="s">
        <v>326</v>
      </c>
      <c r="B25" s="13">
        <f t="shared" ref="B25:H25" si="2">B9-B15-B20</f>
        <v>0</v>
      </c>
      <c r="C25" s="13">
        <f t="shared" si="2"/>
        <v>0</v>
      </c>
      <c r="D25" s="13">
        <f t="shared" si="2"/>
        <v>0</v>
      </c>
      <c r="E25" s="13">
        <f t="shared" si="2"/>
        <v>0</v>
      </c>
      <c r="F25" s="13">
        <f t="shared" si="2"/>
        <v>0</v>
      </c>
      <c r="G25" s="13">
        <f t="shared" si="2"/>
        <v>0</v>
      </c>
      <c r="H25" s="13">
        <f t="shared" si="2"/>
        <v>0</v>
      </c>
      <c r="I25" s="13">
        <f>B25+C25+D25+E25+F25+G25+H25</f>
        <v>0</v>
      </c>
    </row>
    <row r="26" spans="1:9" ht="26.1" customHeight="1">
      <c r="A26" s="5" t="s">
        <v>1280</v>
      </c>
      <c r="B26" s="13">
        <f t="shared" ref="B26:H26" si="3">B13-B18-B23</f>
        <v>0</v>
      </c>
      <c r="C26" s="13">
        <f t="shared" si="3"/>
        <v>0</v>
      </c>
      <c r="D26" s="13">
        <f t="shared" si="3"/>
        <v>0</v>
      </c>
      <c r="E26" s="13">
        <f t="shared" si="3"/>
        <v>0</v>
      </c>
      <c r="F26" s="13">
        <f t="shared" si="3"/>
        <v>0</v>
      </c>
      <c r="G26" s="13">
        <f t="shared" si="3"/>
        <v>0</v>
      </c>
      <c r="H26" s="13">
        <f t="shared" si="3"/>
        <v>0</v>
      </c>
      <c r="I26" s="13">
        <f>B26+C26+D26+E26+F26+G26+H26</f>
        <v>0</v>
      </c>
    </row>
    <row r="43" spans="1:9">
      <c r="A43" s="170" t="s">
        <v>236</v>
      </c>
      <c r="B43" s="169" t="s">
        <v>360</v>
      </c>
      <c r="C43" s="169"/>
      <c r="D43" s="169"/>
      <c r="E43" s="169"/>
      <c r="F43" s="169"/>
      <c r="G43" s="169"/>
      <c r="H43" s="169"/>
      <c r="I43" s="169"/>
    </row>
    <row r="44" spans="1:9" ht="36">
      <c r="A44" s="171"/>
      <c r="B44" s="7" t="s">
        <v>136</v>
      </c>
      <c r="C44" s="7" t="s">
        <v>416</v>
      </c>
      <c r="D44" s="7" t="s">
        <v>191</v>
      </c>
      <c r="E44" s="7" t="s">
        <v>274</v>
      </c>
      <c r="F44" s="7" t="s">
        <v>173</v>
      </c>
      <c r="G44" s="7" t="s">
        <v>108</v>
      </c>
      <c r="H44" s="7" t="s">
        <v>376</v>
      </c>
      <c r="I44" s="7" t="s">
        <v>461</v>
      </c>
    </row>
    <row r="45" spans="1:9">
      <c r="A45" s="47" t="s">
        <v>958</v>
      </c>
      <c r="B45" s="47" t="s">
        <v>1350</v>
      </c>
      <c r="C45" s="47" t="s">
        <v>737</v>
      </c>
      <c r="D45" s="47" t="s">
        <v>226</v>
      </c>
      <c r="E45" s="47" t="s">
        <v>830</v>
      </c>
      <c r="F45" s="47" t="s">
        <v>126</v>
      </c>
      <c r="G45" s="47" t="s">
        <v>707</v>
      </c>
      <c r="H45" s="47" t="s">
        <v>87</v>
      </c>
      <c r="I45" s="47" t="s">
        <v>724</v>
      </c>
    </row>
    <row r="46" spans="1:9">
      <c r="A46" s="46" t="s">
        <v>371</v>
      </c>
      <c r="B46" s="126"/>
      <c r="C46" s="126"/>
      <c r="D46" s="126"/>
      <c r="E46" s="126"/>
      <c r="F46" s="126"/>
      <c r="G46" s="126"/>
      <c r="H46" s="126"/>
      <c r="I46" s="126"/>
    </row>
    <row r="47" spans="1:9" ht="24.75">
      <c r="A47" s="5" t="s">
        <v>326</v>
      </c>
      <c r="B47" s="13">
        <f>IF(ISERROR(VLOOKUP(41,Suvaha_PO!A:F,4,0)),0,VLOOKUP(41,Suvaha_PO!A:F,4,0))</f>
        <v>0</v>
      </c>
      <c r="C47" s="13">
        <f>IF(ISERROR(VLOOKUP(51,Suvaha_PO!A:F,4,0)),0,VLOOKUP(51,Suvaha_PO!A:F,4,0))</f>
        <v>14149.9</v>
      </c>
      <c r="D47" s="13">
        <f>IF(ISERROR(VLOOKUP(61,Suvaha_PO!A:F,4,0)),0,VLOOKUP(61,Suvaha_PO!A:F,4,0))</f>
        <v>0</v>
      </c>
      <c r="E47" s="13">
        <f>IF(ISERROR(VLOOKUP(71,Suvaha_PO!A:F,4,0)),0,VLOOKUP(71,Suvaha_PO!A:F,4,0))</f>
        <v>0</v>
      </c>
      <c r="F47" s="13">
        <f>IF(ISERROR(VLOOKUP(81,Suvaha_PO!A:F,4,0)),0,VLOOKUP(81,Suvaha_PO!A:F,4,0))</f>
        <v>0</v>
      </c>
      <c r="G47" s="13">
        <f>IF(ISERROR(VLOOKUP(91,Suvaha_PO!A:F,4,0)),0,VLOOKUP(91,Suvaha_PO!A:F,4,0))</f>
        <v>0</v>
      </c>
      <c r="H47" s="13">
        <f>IF(ISERROR(VLOOKUP(101,Suvaha_PO!A:F,4,0)),0,VLOOKUP(101,Suvaha_PO!A:F,4,0))</f>
        <v>0</v>
      </c>
      <c r="I47" s="13">
        <f>B47+C47+D47+E47+F47+G47+H47</f>
        <v>14149.9</v>
      </c>
    </row>
    <row r="48" spans="1:9">
      <c r="A48" s="4" t="s">
        <v>140</v>
      </c>
      <c r="B48" s="13">
        <f>IF(ISERROR(VLOOKUP(41,Suvaha_PO!A:F,5,0)),0,VLOOKUP(41,Suvaha_PO!A:F,5,0))</f>
        <v>0</v>
      </c>
      <c r="C48" s="13">
        <f>IF(ISERROR(VLOOKUP(51,Suvaha_PO!A:F,5,0)),0,VLOOKUP(51,Suvaha_PO!A:F,5,0))</f>
        <v>0</v>
      </c>
      <c r="D48" s="13">
        <f>IF(ISERROR(VLOOKUP(61,Suvaha_PO!A:F,5,0)),0,VLOOKUP(61,Suvaha_PO!A:F,5,0))</f>
        <v>0</v>
      </c>
      <c r="E48" s="13">
        <f>IF(ISERROR(VLOOKUP(71,Suvaha_PO!A:F,5,0)),0,VLOOKUP(71,Suvaha_PO!A:F,5,0))</f>
        <v>0</v>
      </c>
      <c r="F48" s="13">
        <f>IF(ISERROR(VLOOKUP(81,Suvaha_PO!A:F,5,0)),0,VLOOKUP(81,Suvaha_PO!A:F,5,0))</f>
        <v>0</v>
      </c>
      <c r="G48" s="13">
        <f>IF(ISERROR(VLOOKUP(91,Suvaha_PO!A:F,5,0)),0,VLOOKUP(91,Suvaha_PO!A:F,5,0))</f>
        <v>0</v>
      </c>
      <c r="H48" s="13">
        <f>IF(ISERROR(VLOOKUP(101,Suvaha_PO!A:F,5,0)),0,VLOOKUP(101,Suvaha_PO!A:F,5,0))</f>
        <v>0</v>
      </c>
      <c r="I48" s="13">
        <f>B48+C48+D48+E48+F48+G48+H48</f>
        <v>0</v>
      </c>
    </row>
    <row r="49" spans="1:9">
      <c r="A49" s="4" t="s">
        <v>420</v>
      </c>
      <c r="B49" s="13">
        <f>IF(ISERROR(VLOOKUP(41,Suvaha_PO!A:F,6,0)),0,VLOOKUP(41,Suvaha_PO!A:F,6,0))</f>
        <v>0</v>
      </c>
      <c r="C49" s="13">
        <f>IF(ISERROR(VLOOKUP(51,Suvaha_PO!A:F,6,0)),0,VLOOKUP(51,Suvaha_PO!A:F,6,0))</f>
        <v>0</v>
      </c>
      <c r="D49" s="13">
        <f>IF(ISERROR(VLOOKUP(61,Suvaha_PO!A:F,6,0)),0,VLOOKUP(61,Suvaha_PO!A:F,6,0))</f>
        <v>0</v>
      </c>
      <c r="E49" s="13">
        <f>IF(ISERROR(VLOOKUP(71,Suvaha_PO!A:F,6,0)),0,VLOOKUP(71,Suvaha_PO!A:F,6,0))</f>
        <v>0</v>
      </c>
      <c r="F49" s="13">
        <f>IF(ISERROR(VLOOKUP(81,Suvaha_PO!A:F,6,0)),0,VLOOKUP(81,Suvaha_PO!A:F,6,0))</f>
        <v>0</v>
      </c>
      <c r="G49" s="13">
        <f>IF(ISERROR(VLOOKUP(91,Suvaha_PO!A:F,6,0)),0,VLOOKUP(91,Suvaha_PO!A:F,6,0))</f>
        <v>0</v>
      </c>
      <c r="H49" s="13">
        <f>IF(ISERROR(VLOOKUP(101,Suvaha_PO!A:F,6,0)),0,VLOOKUP(101,Suvaha_PO!A:F,6,0))</f>
        <v>0</v>
      </c>
      <c r="I49" s="13">
        <f>B49+C49+D49+E49+F49+G49+H49</f>
        <v>0</v>
      </c>
    </row>
    <row r="50" spans="1:9">
      <c r="A50" s="4" t="s">
        <v>948</v>
      </c>
      <c r="B50" s="13"/>
      <c r="C50" s="13"/>
      <c r="D50" s="13"/>
      <c r="E50" s="13"/>
      <c r="F50" s="13"/>
      <c r="G50" s="13"/>
      <c r="H50" s="13"/>
      <c r="I50" s="13">
        <f>B50+C50+D50+E50+F50+G50+H50</f>
        <v>0</v>
      </c>
    </row>
    <row r="51" spans="1:9" ht="24.75">
      <c r="A51" s="5" t="s">
        <v>1280</v>
      </c>
      <c r="B51" s="13">
        <f t="shared" ref="B51:H51" si="4">B47+B48-B49-B50</f>
        <v>0</v>
      </c>
      <c r="C51" s="13">
        <f t="shared" si="4"/>
        <v>14149.9</v>
      </c>
      <c r="D51" s="13">
        <f t="shared" si="4"/>
        <v>0</v>
      </c>
      <c r="E51" s="13">
        <f t="shared" si="4"/>
        <v>0</v>
      </c>
      <c r="F51" s="13">
        <f t="shared" si="4"/>
        <v>0</v>
      </c>
      <c r="G51" s="13">
        <f t="shared" si="4"/>
        <v>0</v>
      </c>
      <c r="H51" s="13">
        <f t="shared" si="4"/>
        <v>0</v>
      </c>
      <c r="I51" s="13">
        <f>B51+C51+D51+E51+F51+G51+H51</f>
        <v>14149.9</v>
      </c>
    </row>
    <row r="52" spans="1:9">
      <c r="A52" s="4" t="s">
        <v>230</v>
      </c>
      <c r="B52" s="97"/>
      <c r="C52" s="97"/>
      <c r="D52" s="97"/>
      <c r="E52" s="97"/>
      <c r="F52" s="97"/>
      <c r="G52" s="97"/>
      <c r="H52" s="97"/>
      <c r="I52" s="97"/>
    </row>
    <row r="53" spans="1:9" ht="24.75">
      <c r="A53" s="5" t="s">
        <v>326</v>
      </c>
      <c r="B53" s="13">
        <f>IF(ISERROR(VLOOKUP(42,Suvaha_PO!A:F,4,0)),0,VLOOKUP(42,Suvaha_PO!A:F,4,0))</f>
        <v>0</v>
      </c>
      <c r="C53" s="13">
        <f>IF(ISERROR(VLOOKUP(52,Suvaha_PO!A:F,4,0)),0,VLOOKUP(52,Suvaha_PO!A:F,4,0))</f>
        <v>14149.9</v>
      </c>
      <c r="D53" s="13">
        <f>IF(ISERROR(VLOOKUP(62,Suvaha_PO!A:F,4,0)),0,VLOOKUP(62,Suvaha_PO!A:F,4,0))</f>
        <v>0</v>
      </c>
      <c r="E53" s="13">
        <f>IF(ISERROR(VLOOKUP(72,Suvaha_PO!A:F,4,0)),0,VLOOKUP(72,Suvaha_PO!A:F,4,0))</f>
        <v>0</v>
      </c>
      <c r="F53" s="13">
        <f>IF(ISERROR(VLOOKUP(82,Suvaha_PO!A:F,4,0)),0,VLOOKUP(82,Suvaha_PO!A:F,4,0))</f>
        <v>0</v>
      </c>
      <c r="G53" s="13"/>
      <c r="H53" s="13"/>
      <c r="I53" s="13">
        <f>B53+C53+D53+E53+F53+G53+H53</f>
        <v>14149.9</v>
      </c>
    </row>
    <row r="54" spans="1:9">
      <c r="A54" s="4" t="s">
        <v>140</v>
      </c>
      <c r="B54" s="13">
        <f>IF(ISERROR(VLOOKUP(42,Suvaha_PO!A:F,6,0)),0,VLOOKUP(42,Suvaha_PO!A:F,6,0))</f>
        <v>0</v>
      </c>
      <c r="C54" s="13">
        <f>IF(ISERROR(VLOOKUP(52,Suvaha_PO!A:F,6,0)),0,VLOOKUP(52,Suvaha_PO!A:F,6,0))</f>
        <v>0</v>
      </c>
      <c r="D54" s="13">
        <f>IF(ISERROR(VLOOKUP(62,Suvaha_PO!A:F,6,0)),0,VLOOKUP(62,Suvaha_PO!A:F,6,0))</f>
        <v>0</v>
      </c>
      <c r="E54" s="13">
        <f>IF(ISERROR(VLOOKUP(72,Suvaha_PO!A:F,6,0)),0,VLOOKUP(72,Suvaha_PO!A:F,6,0))</f>
        <v>0</v>
      </c>
      <c r="F54" s="13">
        <f>IF(ISERROR(VLOOKUP(82,Suvaha_PO!A:F,6,0)),0,VLOOKUP(82,Suvaha_PO!A:F,6,0))</f>
        <v>0</v>
      </c>
      <c r="G54" s="13"/>
      <c r="H54" s="13"/>
      <c r="I54" s="13">
        <f>B54+C54+D54+E54+F54+G54+H54</f>
        <v>0</v>
      </c>
    </row>
    <row r="55" spans="1:9">
      <c r="A55" s="4" t="s">
        <v>420</v>
      </c>
      <c r="B55" s="13">
        <f>IF(ISERROR(VLOOKUP(42,Suvaha_PO!A:F,5,0)),0,VLOOKUP(42,Suvaha_PO!A:F,5,0))</f>
        <v>0</v>
      </c>
      <c r="C55" s="13">
        <f>IF(ISERROR(VLOOKUP(52,Suvaha_PO!A:F,5,0)),0,VLOOKUP(52,Suvaha_PO!A:F,5,0))</f>
        <v>0</v>
      </c>
      <c r="D55" s="13">
        <f>IF(ISERROR(VLOOKUP(62,Suvaha_PO!A:F,5,0)),0,VLOOKUP(62,Suvaha_PO!A:F,5,0))</f>
        <v>0</v>
      </c>
      <c r="E55" s="13">
        <f>IF(ISERROR(VLOOKUP(72,Suvaha_PO!A:F,5,0)),0,VLOOKUP(72,Suvaha_PO!A:F,5,0))</f>
        <v>0</v>
      </c>
      <c r="F55" s="13">
        <f>IF(ISERROR(VLOOKUP(82,Suvaha_PO!A:F,5,0)),0,VLOOKUP(82,Suvaha_PO!A:F,5,0))</f>
        <v>0</v>
      </c>
      <c r="G55" s="13"/>
      <c r="H55" s="13"/>
      <c r="I55" s="13">
        <f>B55+C55+D55+E55+F55+G55+H55</f>
        <v>0</v>
      </c>
    </row>
    <row r="56" spans="1:9" ht="24.75">
      <c r="A56" s="5" t="s">
        <v>1280</v>
      </c>
      <c r="B56" s="13">
        <f>B53+B54-B55</f>
        <v>0</v>
      </c>
      <c r="C56" s="13">
        <f>C53+C54-C55</f>
        <v>14149.9</v>
      </c>
      <c r="D56" s="13">
        <f>D53+D54-D55</f>
        <v>0</v>
      </c>
      <c r="E56" s="13">
        <f>E53+E54-E55</f>
        <v>0</v>
      </c>
      <c r="F56" s="13">
        <f>F53+F54-F55</f>
        <v>0</v>
      </c>
      <c r="G56" s="13"/>
      <c r="H56" s="13"/>
      <c r="I56" s="13">
        <f>B56+C56+D56+E56+F56+G56+H56</f>
        <v>14149.9</v>
      </c>
    </row>
    <row r="57" spans="1:9">
      <c r="A57" s="4" t="s">
        <v>1244</v>
      </c>
      <c r="B57" s="97"/>
      <c r="C57" s="97"/>
      <c r="D57" s="97"/>
      <c r="E57" s="97"/>
      <c r="F57" s="97"/>
      <c r="G57" s="97"/>
      <c r="H57" s="97"/>
      <c r="I57" s="97"/>
    </row>
    <row r="58" spans="1:9" ht="24.75">
      <c r="A58" s="5" t="s">
        <v>326</v>
      </c>
      <c r="B58" s="13">
        <f>IF(ISERROR(VLOOKUP(43,Suvaha_PO!A:F,4,0)),0,VLOOKUP(43,Suvaha_PO!A:F,4,0))</f>
        <v>0</v>
      </c>
      <c r="C58" s="13">
        <f>IF(ISERROR(VLOOKUP(53,Suvaha_PO!A:F,4,0)),0,VLOOKUP(53,Suvaha_PO!A:F,4,0))</f>
        <v>0</v>
      </c>
      <c r="D58" s="13">
        <f>IF(ISERROR(VLOOKUP(63,Suvaha_PO!A:F,4,0)),0,VLOOKUP(63,Suvaha_PO!A:F,4,0))</f>
        <v>0</v>
      </c>
      <c r="E58" s="13">
        <f>IF(ISERROR(VLOOKUP(73,Suvaha_PO!A:F,4,0)),0,VLOOKUP(73,Suvaha_PO!A:F,4,0))</f>
        <v>0</v>
      </c>
      <c r="F58" s="13">
        <f>IF(ISERROR(VLOOKUP(83,Suvaha_PO!A:F,4,0)),0,VLOOKUP(83,Suvaha_PO!A:F,4,0))</f>
        <v>0</v>
      </c>
      <c r="G58" s="13">
        <f>IF(ISERROR(VLOOKUP(92,Suvaha_PO!A:F,4,0)),0,VLOOKUP(92,Suvaha_PO!A:F,4,0))</f>
        <v>0</v>
      </c>
      <c r="H58" s="13">
        <f>IF(ISERROR(VLOOKUP(102,Suvaha_PO!A:F,4,0)),0,VLOOKUP(102,Suvaha_PO!A:F,4,0))</f>
        <v>0</v>
      </c>
      <c r="I58" s="13">
        <f>B58+C58+D58+E58+F58+G58+H58</f>
        <v>0</v>
      </c>
    </row>
    <row r="59" spans="1:9">
      <c r="A59" s="4" t="s">
        <v>140</v>
      </c>
      <c r="B59" s="13">
        <f>IF(ISERROR(VLOOKUP(43,Suvaha_PO!A:F,6,0)),0,VLOOKUP(43,Suvaha_PO!A:F,6,0))</f>
        <v>0</v>
      </c>
      <c r="C59" s="13">
        <f>IF(ISERROR(VLOOKUP(53,Suvaha_PO!A:F,6,0)),0,VLOOKUP(53,Suvaha_PO!A:F,6,0))</f>
        <v>0</v>
      </c>
      <c r="D59" s="13">
        <f>IF(ISERROR(VLOOKUP(63,Suvaha_PO!A:F,6,0)),0,VLOOKUP(63,Suvaha_PO!A:F,6,0))</f>
        <v>0</v>
      </c>
      <c r="E59" s="13">
        <f>IF(ISERROR(VLOOKUP(73,Suvaha_PO!A:F,6,0)),0,VLOOKUP(73,Suvaha_PO!A:F,6,0))</f>
        <v>0</v>
      </c>
      <c r="F59" s="13">
        <f>IF(ISERROR(VLOOKUP(83,Suvaha_PO!A:F,6,0)),0,VLOOKUP(83,Suvaha_PO!A:F,6,0))</f>
        <v>0</v>
      </c>
      <c r="G59" s="13">
        <f>IF(ISERROR(VLOOKUP(92,Suvaha_PO!A:F,6,0)),0,VLOOKUP(92,Suvaha_PO!A:F,6,0))</f>
        <v>0</v>
      </c>
      <c r="H59" s="13">
        <f>IF(ISERROR(VLOOKUP(102,Suvaha_PO!A:F,6,0)),0,VLOOKUP(102,Suvaha_PO!A:F,6,0))</f>
        <v>0</v>
      </c>
      <c r="I59" s="13">
        <f>B59+C59+D59+E59+F59+G59+H59</f>
        <v>0</v>
      </c>
    </row>
    <row r="60" spans="1:9">
      <c r="A60" s="4" t="s">
        <v>420</v>
      </c>
      <c r="B60" s="13">
        <f>IF(ISERROR(VLOOKUP(43,Suvaha_PO!A:F,5,0)),0,VLOOKUP(43,Suvaha_PO!A:F,5,0))</f>
        <v>0</v>
      </c>
      <c r="C60" s="13">
        <f>IF(ISERROR(VLOOKUP(53,Suvaha_PO!A:F,5,0)),0,VLOOKUP(53,Suvaha_PO!A:F,5,0))</f>
        <v>0</v>
      </c>
      <c r="D60" s="13">
        <f>IF(ISERROR(VLOOKUP(63,Suvaha_PO!A:F,5,0)),0,VLOOKUP(63,Suvaha_PO!A:F,5,0))</f>
        <v>0</v>
      </c>
      <c r="E60" s="13">
        <f>IF(ISERROR(VLOOKUP(73,Suvaha_PO!A:F,5,0)),0,VLOOKUP(73,Suvaha_PO!A:F,5,0))</f>
        <v>0</v>
      </c>
      <c r="F60" s="13">
        <f>IF(ISERROR(VLOOKUP(83,Suvaha_PO!A:F,5,0)),0,VLOOKUP(83,Suvaha_PO!A:F,5,0))</f>
        <v>0</v>
      </c>
      <c r="G60" s="13">
        <f>IF(ISERROR(VLOOKUP(92,Suvaha_PO!A:F,5,0)),0,VLOOKUP(92,Suvaha_PO!A:F,5,0))</f>
        <v>0</v>
      </c>
      <c r="H60" s="13">
        <f>IF(ISERROR(VLOOKUP(102,Suvaha_PO!A:F,5,0)),0,VLOOKUP(102,Suvaha_PO!A:F,5,0))</f>
        <v>0</v>
      </c>
      <c r="I60" s="13">
        <f>B60+C60+D60+E60+F60+G60+H60</f>
        <v>0</v>
      </c>
    </row>
    <row r="61" spans="1:9" ht="24.75">
      <c r="A61" s="5" t="s">
        <v>1280</v>
      </c>
      <c r="B61" s="13">
        <f t="shared" ref="B61:H61" si="5">B58+B59-B60</f>
        <v>0</v>
      </c>
      <c r="C61" s="13">
        <f t="shared" si="5"/>
        <v>0</v>
      </c>
      <c r="D61" s="13">
        <f t="shared" si="5"/>
        <v>0</v>
      </c>
      <c r="E61" s="13">
        <f t="shared" si="5"/>
        <v>0</v>
      </c>
      <c r="F61" s="13">
        <f t="shared" si="5"/>
        <v>0</v>
      </c>
      <c r="G61" s="13">
        <f t="shared" si="5"/>
        <v>0</v>
      </c>
      <c r="H61" s="13">
        <f t="shared" si="5"/>
        <v>0</v>
      </c>
      <c r="I61" s="13">
        <f>B61+C61+D61+E61+F61+G61+H61</f>
        <v>0</v>
      </c>
    </row>
    <row r="62" spans="1:9">
      <c r="A62" s="4" t="s">
        <v>983</v>
      </c>
      <c r="B62" s="97"/>
      <c r="C62" s="97"/>
      <c r="D62" s="97"/>
      <c r="E62" s="97"/>
      <c r="F62" s="97"/>
      <c r="G62" s="97"/>
      <c r="H62" s="97"/>
      <c r="I62" s="97"/>
    </row>
    <row r="63" spans="1:9" ht="24.75">
      <c r="A63" s="5" t="s">
        <v>326</v>
      </c>
      <c r="B63" s="13">
        <f t="shared" ref="B63:H63" si="6">B47-B53-B58</f>
        <v>0</v>
      </c>
      <c r="C63" s="13">
        <f t="shared" si="6"/>
        <v>0</v>
      </c>
      <c r="D63" s="13">
        <f t="shared" si="6"/>
        <v>0</v>
      </c>
      <c r="E63" s="13">
        <f t="shared" si="6"/>
        <v>0</v>
      </c>
      <c r="F63" s="13">
        <f t="shared" si="6"/>
        <v>0</v>
      </c>
      <c r="G63" s="13">
        <f t="shared" si="6"/>
        <v>0</v>
      </c>
      <c r="H63" s="13">
        <f t="shared" si="6"/>
        <v>0</v>
      </c>
      <c r="I63" s="13">
        <f>B63+C63+D63+E63+F63+G63+H63</f>
        <v>0</v>
      </c>
    </row>
    <row r="64" spans="1:9" ht="24.75">
      <c r="A64" s="5" t="s">
        <v>1280</v>
      </c>
      <c r="B64" s="13">
        <f t="shared" ref="B64:H64" si="7">B51-B56-B61</f>
        <v>0</v>
      </c>
      <c r="C64" s="13">
        <f t="shared" si="7"/>
        <v>0</v>
      </c>
      <c r="D64" s="13">
        <f t="shared" si="7"/>
        <v>0</v>
      </c>
      <c r="E64" s="13">
        <f t="shared" si="7"/>
        <v>0</v>
      </c>
      <c r="F64" s="13">
        <f t="shared" si="7"/>
        <v>0</v>
      </c>
      <c r="G64" s="13">
        <f t="shared" si="7"/>
        <v>0</v>
      </c>
      <c r="H64" s="13">
        <f t="shared" si="7"/>
        <v>0</v>
      </c>
      <c r="I64" s="13">
        <f>B64+C64+D64+E64+F64+G64+H64</f>
        <v>0</v>
      </c>
    </row>
    <row r="68" ht="15" customHeight="1"/>
    <row r="69" ht="15" customHeight="1"/>
    <row r="70" ht="15" customHeight="1"/>
  </sheetData>
  <sheetCalcPr fullCalcOnLoad="1"/>
  <sheetProtection sheet="1"/>
  <mergeCells count="12">
    <mergeCell ref="B57:I57"/>
    <mergeCell ref="B62:I62"/>
    <mergeCell ref="A43:A44"/>
    <mergeCell ref="B43:I43"/>
    <mergeCell ref="B46:I46"/>
    <mergeCell ref="B52:I52"/>
    <mergeCell ref="B24:I24"/>
    <mergeCell ref="B5:I5"/>
    <mergeCell ref="A5:A6"/>
    <mergeCell ref="B8:I8"/>
    <mergeCell ref="B14:I14"/>
    <mergeCell ref="B19:I19"/>
  </mergeCells>
  <phoneticPr fontId="0" type="noConversion"/>
  <pageMargins left="0.7" right="0.7" top="0.75" bottom="0.75" header="0.3" footer="0.3"/>
  <pageSetup paperSize="9" scale="9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62"/>
  <sheetViews>
    <sheetView topLeftCell="A4" workbookViewId="0">
      <selection activeCell="A63" sqref="A63"/>
    </sheetView>
  </sheetViews>
  <sheetFormatPr defaultRowHeight="15"/>
  <cols>
    <col min="1" max="1" width="16" customWidth="1"/>
    <col min="2" max="10" width="7.85546875" customWidth="1"/>
    <col min="11" max="18" width="9.140625" style="8"/>
  </cols>
  <sheetData>
    <row r="1" spans="1:18">
      <c r="B1" s="3"/>
    </row>
    <row r="2" spans="1:18" ht="15.75">
      <c r="A2" s="11" t="s">
        <v>1208</v>
      </c>
    </row>
    <row r="4" spans="1:18" s="2" customFormat="1">
      <c r="A4" s="170" t="s">
        <v>169</v>
      </c>
      <c r="B4" s="169" t="s">
        <v>332</v>
      </c>
      <c r="C4" s="169"/>
      <c r="D4" s="169"/>
      <c r="E4" s="169"/>
      <c r="F4" s="169"/>
      <c r="G4" s="169"/>
      <c r="H4" s="169"/>
      <c r="I4" s="169"/>
      <c r="J4" s="169"/>
      <c r="K4" s="9"/>
      <c r="L4" s="9"/>
      <c r="M4" s="9"/>
      <c r="N4" s="9"/>
      <c r="O4" s="9"/>
      <c r="P4" s="9"/>
      <c r="Q4" s="9"/>
      <c r="R4" s="9"/>
    </row>
    <row r="5" spans="1:18" s="1" customFormat="1" ht="74.25" customHeight="1">
      <c r="A5" s="171"/>
      <c r="B5" s="7" t="s">
        <v>475</v>
      </c>
      <c r="C5" s="7" t="s">
        <v>228</v>
      </c>
      <c r="D5" s="7" t="s">
        <v>156</v>
      </c>
      <c r="E5" s="7" t="s">
        <v>117</v>
      </c>
      <c r="F5" s="7" t="s">
        <v>776</v>
      </c>
      <c r="G5" s="7" t="s">
        <v>815</v>
      </c>
      <c r="H5" s="7" t="s">
        <v>781</v>
      </c>
      <c r="I5" s="7" t="s">
        <v>695</v>
      </c>
      <c r="J5" s="7" t="s">
        <v>461</v>
      </c>
      <c r="K5" s="10"/>
      <c r="L5" s="10"/>
      <c r="M5" s="10"/>
      <c r="N5" s="10"/>
      <c r="O5" s="10"/>
      <c r="P5" s="10"/>
      <c r="Q5" s="10"/>
      <c r="R5" s="10"/>
    </row>
    <row r="6" spans="1:18">
      <c r="A6" s="47" t="s">
        <v>958</v>
      </c>
      <c r="B6" s="47" t="s">
        <v>1350</v>
      </c>
      <c r="C6" s="47" t="s">
        <v>737</v>
      </c>
      <c r="D6" s="47" t="s">
        <v>226</v>
      </c>
      <c r="E6" s="47" t="s">
        <v>830</v>
      </c>
      <c r="F6" s="47" t="s">
        <v>126</v>
      </c>
      <c r="G6" s="47" t="s">
        <v>707</v>
      </c>
      <c r="H6" s="47" t="s">
        <v>87</v>
      </c>
      <c r="I6" s="47" t="s">
        <v>724</v>
      </c>
      <c r="J6" s="47" t="s">
        <v>229</v>
      </c>
    </row>
    <row r="7" spans="1:18" ht="15.95" customHeight="1">
      <c r="A7" s="46" t="s">
        <v>371</v>
      </c>
      <c r="B7" s="126"/>
      <c r="C7" s="126"/>
      <c r="D7" s="126"/>
      <c r="E7" s="126"/>
      <c r="F7" s="126"/>
      <c r="G7" s="126"/>
      <c r="H7" s="126"/>
      <c r="I7" s="126"/>
      <c r="J7" s="126"/>
    </row>
    <row r="8" spans="1:18" ht="26.1" customHeight="1">
      <c r="A8" s="5" t="s">
        <v>326</v>
      </c>
      <c r="B8" s="13">
        <f>IF(ISERROR(VLOOKUP(121,Suvaha_BO!A:F,4,0)),0,VLOOKUP(121,Suvaha_BO!A:F,4,0))</f>
        <v>648442.48</v>
      </c>
      <c r="C8" s="13">
        <f>IF(ISERROR(VLOOKUP(131,Suvaha_BO!A:F,4,0)),0,VLOOKUP(131,Suvaha_BO!A:F,4,0))</f>
        <v>249500.71</v>
      </c>
      <c r="D8" s="13">
        <f>IF(ISERROR(VLOOKUP(141,Suvaha_BO!A:F,4,0)),0,VLOOKUP(141,Suvaha_BO!A:F,4,0))</f>
        <v>1107655.5999999999</v>
      </c>
      <c r="E8" s="13">
        <f>IF(ISERROR(VLOOKUP(151,Suvaha_BO!A:F,4,0)),0,VLOOKUP(151,Suvaha_BO!A:F,4,0))</f>
        <v>0</v>
      </c>
      <c r="F8" s="13">
        <f>IF(ISERROR(VLOOKUP(161,Suvaha_BO!A:F,4,0)),0,VLOOKUP(161,Suvaha_BO!A:F,4,0))</f>
        <v>0</v>
      </c>
      <c r="G8" s="13">
        <f>IF(ISERROR(VLOOKUP(171,Suvaha_BO!A:F,4,0)),0,VLOOKUP(171,Suvaha_BO!A:F,4,0))+IF(ISERROR(VLOOKUP(172,Suvaha_BO!A:F,4,0)),0,VLOOKUP(172,Suvaha_BO!A:F,4,0))</f>
        <v>4469.53</v>
      </c>
      <c r="H8" s="13">
        <f>IF(ISERROR(VLOOKUP(181,Suvaha_BO!A:F,4,0)),0,VLOOKUP(181,Suvaha_BO!A:F,4,0))</f>
        <v>2207.3799999999997</v>
      </c>
      <c r="I8" s="13">
        <f>IF(ISERROR(VLOOKUP(191,Suvaha_BO!A:F,4,0)),0,VLOOKUP(191,Suvaha_BO!A:F,4,0))</f>
        <v>0</v>
      </c>
      <c r="J8" s="13">
        <f>B8+C8+D8+E8+F8+G8+H8+I8</f>
        <v>2012275.6999999997</v>
      </c>
    </row>
    <row r="9" spans="1:18" ht="15.95" customHeight="1">
      <c r="A9" s="4" t="s">
        <v>140</v>
      </c>
      <c r="B9" s="13">
        <f>IF(ISERROR(VLOOKUP(121,Suvaha_BO!A:F,5,0)),0,VLOOKUP(121,Suvaha_BO!A:F,5,0))</f>
        <v>0</v>
      </c>
      <c r="C9" s="13">
        <f>IF(ISERROR(VLOOKUP(131,Suvaha_BO!A:F,5,0)),0,VLOOKUP(131,Suvaha_BO!A:F,5,0))</f>
        <v>0</v>
      </c>
      <c r="D9" s="13">
        <f>IF(ISERROR(VLOOKUP(141,Suvaha_BO!A:F,5,0)),0,VLOOKUP(141,Suvaha_BO!A:F,5,0))</f>
        <v>0</v>
      </c>
      <c r="E9" s="13">
        <f>IF(ISERROR(VLOOKUP(151,Suvaha_BO!A:F,5,0)),0,VLOOKUP(151,Suvaha_BO!A:F,5,0))</f>
        <v>0</v>
      </c>
      <c r="F9" s="13">
        <f>IF(ISERROR(VLOOKUP(161,Suvaha_BO!A:F,5,0)),0,VLOOKUP(161,Suvaha_BO!A:F,5,0))</f>
        <v>0</v>
      </c>
      <c r="G9" s="13">
        <f>IF(ISERROR(VLOOKUP(171,Suvaha_BO!A:F,5,0)),0,VLOOKUP(171,Suvaha_BO!A:F,5,0))+IF(ISERROR(VLOOKUP(172,Suvaha_BO!A:F,5,0)),0,VLOOKUP(172,Suvaha_BO!A:F,5,0))</f>
        <v>0</v>
      </c>
      <c r="H9" s="13">
        <f>IF(ISERROR(VLOOKUP(181,Suvaha_BO!A:F,5,0)),0,VLOOKUP(181,Suvaha_BO!A:F,5,0))</f>
        <v>0</v>
      </c>
      <c r="I9" s="13">
        <f>IF(ISERROR(VLOOKUP(191,Suvaha_BO!A:F,5,0)),0,VLOOKUP(191,Suvaha_BO!A:F,5,0))</f>
        <v>0</v>
      </c>
      <c r="J9" s="13">
        <f>B9+C9+D9+E9+F9+G9+H9+I9</f>
        <v>0</v>
      </c>
    </row>
    <row r="10" spans="1:18" ht="15.95" customHeight="1">
      <c r="A10" s="4" t="s">
        <v>420</v>
      </c>
      <c r="B10" s="13">
        <f>IF(ISERROR(VLOOKUP(121,Suvaha_BO!A:F,6,0)),0,VLOOKUP(121,Suvaha_BO!A:F,6,0))</f>
        <v>0</v>
      </c>
      <c r="C10" s="13">
        <f>IF(ISERROR(VLOOKUP(131,Suvaha_BO!A:F,6,0)),0,VLOOKUP(131,Suvaha_BO!A:F,6,0))</f>
        <v>0</v>
      </c>
      <c r="D10" s="13">
        <f>IF(ISERROR(VLOOKUP(141,Suvaha_BO!A:F,6,0)),0,VLOOKUP(141,Suvaha_BO!A:F,6,0))</f>
        <v>217840.53</v>
      </c>
      <c r="E10" s="13">
        <f>IF(ISERROR(VLOOKUP(151,Suvaha_BO!A:F,6,0)),0,VLOOKUP(151,Suvaha_BO!A:F,6,0))</f>
        <v>0</v>
      </c>
      <c r="F10" s="13">
        <f>IF(ISERROR(VLOOKUP(161,Suvaha_BO!A:F,6,0)),0,VLOOKUP(161,Suvaha_BO!A:F,6,0))</f>
        <v>0</v>
      </c>
      <c r="G10" s="13">
        <f>IF(ISERROR(VLOOKUP(171,Suvaha_BO!A:F,6,0)),0,VLOOKUP(171,Suvaha_BO!A:F,6,0))+IF(ISERROR(VLOOKUP(172,Suvaha_BO!A:F,6,0)),0,VLOOKUP(172,Suvaha_BO!A:F,6,0))</f>
        <v>0</v>
      </c>
      <c r="H10" s="13">
        <f>IF(ISERROR(VLOOKUP(181,Suvaha_BO!A:F,6,0)),0,VLOOKUP(181,Suvaha_BO!A:F,6,0))</f>
        <v>0</v>
      </c>
      <c r="I10" s="13">
        <f>IF(ISERROR(VLOOKUP(191,Suvaha_BO!A:F,6,0)),0,VLOOKUP(191,Suvaha_BO!A:F,6,0))</f>
        <v>0</v>
      </c>
      <c r="J10" s="13">
        <f>B10+C10+D10+E10+F10+G10+H10+I10</f>
        <v>217840.53</v>
      </c>
    </row>
    <row r="11" spans="1:18" ht="15.95" customHeight="1">
      <c r="A11" s="4" t="s">
        <v>948</v>
      </c>
      <c r="B11" s="13"/>
      <c r="C11" s="13"/>
      <c r="D11" s="13"/>
      <c r="E11" s="13"/>
      <c r="F11" s="13"/>
      <c r="G11" s="13"/>
      <c r="H11" s="13"/>
      <c r="I11" s="13"/>
      <c r="J11" s="13">
        <f>B11+C11+D11+E11+F11+G11+H11+I11</f>
        <v>0</v>
      </c>
    </row>
    <row r="12" spans="1:18" ht="26.1" customHeight="1">
      <c r="A12" s="5" t="s">
        <v>1280</v>
      </c>
      <c r="B12" s="13">
        <f t="shared" ref="B12:I12" si="0">B8+B9-B10-B11</f>
        <v>648442.48</v>
      </c>
      <c r="C12" s="13">
        <f t="shared" si="0"/>
        <v>249500.71</v>
      </c>
      <c r="D12" s="13">
        <f t="shared" si="0"/>
        <v>889815.06999999983</v>
      </c>
      <c r="E12" s="13">
        <f t="shared" si="0"/>
        <v>0</v>
      </c>
      <c r="F12" s="13">
        <f t="shared" si="0"/>
        <v>0</v>
      </c>
      <c r="G12" s="13">
        <f t="shared" si="0"/>
        <v>4469.53</v>
      </c>
      <c r="H12" s="13">
        <f t="shared" si="0"/>
        <v>2207.3799999999997</v>
      </c>
      <c r="I12" s="13">
        <f t="shared" si="0"/>
        <v>0</v>
      </c>
      <c r="J12" s="13">
        <f>B12+C12+D12+E12+F12+G12+H12+I12</f>
        <v>1794435.1699999997</v>
      </c>
    </row>
    <row r="13" spans="1:18" ht="15.95" customHeight="1">
      <c r="A13" s="4" t="s">
        <v>230</v>
      </c>
      <c r="B13" s="97"/>
      <c r="C13" s="97"/>
      <c r="D13" s="97"/>
      <c r="E13" s="97"/>
      <c r="F13" s="97"/>
      <c r="G13" s="97"/>
      <c r="H13" s="97"/>
      <c r="I13" s="97"/>
      <c r="J13" s="97"/>
    </row>
    <row r="14" spans="1:18" ht="26.1" customHeight="1">
      <c r="A14" s="5" t="s">
        <v>326</v>
      </c>
      <c r="B14" s="13"/>
      <c r="C14" s="13">
        <f>IF(ISERROR(VLOOKUP(132,Suvaha_BO!A:F,4,0)),0,VLOOKUP(132,Suvaha_BO!A:F,4,0))</f>
        <v>64648.87</v>
      </c>
      <c r="D14" s="13">
        <f>IF(ISERROR(VLOOKUP(142,Suvaha_BO!A:F,4,0)),0,VLOOKUP(142,Suvaha_BO!A:F,4,0))</f>
        <v>916430.34</v>
      </c>
      <c r="E14" s="13">
        <f>IF(ISERROR(VLOOKUP(152,Suvaha_BO!A:F,4,0)),0,VLOOKUP(152,Suvaha_BO!A:F,4,0))</f>
        <v>0</v>
      </c>
      <c r="F14" s="13">
        <f>IF(ISERROR(VLOOKUP(162,Suvaha_BO!A:F,4,0)),0,VLOOKUP(162,Suvaha_BO!A:F,4,0))</f>
        <v>0</v>
      </c>
      <c r="G14" s="13">
        <f>IF(ISERROR(VLOOKUP(173,Suvaha_BO!A:F,4,0)),0,VLOOKUP(173,Suvaha_BO!A:F,4,0))</f>
        <v>4469.53</v>
      </c>
      <c r="H14" s="13"/>
      <c r="I14" s="13"/>
      <c r="J14" s="13">
        <f>B14+C14+D14+E14+F14+G14+H14+I14</f>
        <v>985548.74</v>
      </c>
    </row>
    <row r="15" spans="1:18" ht="15.95" customHeight="1">
      <c r="A15" s="4" t="s">
        <v>140</v>
      </c>
      <c r="B15" s="13"/>
      <c r="C15" s="13">
        <f>IF(ISERROR(VLOOKUP(132,Suvaha_BO!A:F,6,0)),0,VLOOKUP(132,Suvaha_BO!A:F,6,0))</f>
        <v>12741</v>
      </c>
      <c r="D15" s="13">
        <f>IF(ISERROR(VLOOKUP(142,Suvaha_BO!A:F,6,0)),0,VLOOKUP(142,Suvaha_BO!A:F,6,0))</f>
        <v>132942.54999999999</v>
      </c>
      <c r="E15" s="13">
        <f>IF(ISERROR(VLOOKUP(152,Suvaha_BO!A:F,6,0)),0,VLOOKUP(152,Suvaha_BO!A:F,6,0))</f>
        <v>0</v>
      </c>
      <c r="F15" s="13">
        <f>IF(ISERROR(VLOOKUP(162,Suvaha_BO!A:F,6,0)),0,VLOOKUP(162,Suvaha_BO!A:F,6,0))</f>
        <v>0</v>
      </c>
      <c r="G15" s="13">
        <f>IF(ISERROR(VLOOKUP(173,Suvaha_BO!A:F,6,0)),0,VLOOKUP(173,Suvaha_BO!A:F,6,0))</f>
        <v>0</v>
      </c>
      <c r="H15" s="13"/>
      <c r="I15" s="13"/>
      <c r="J15" s="13">
        <f>B15+C15+D15+E15+F15+G15+H15+I15</f>
        <v>145683.54999999999</v>
      </c>
    </row>
    <row r="16" spans="1:18" s="8" customFormat="1" ht="15.95" customHeight="1">
      <c r="A16" s="4" t="s">
        <v>420</v>
      </c>
      <c r="B16" s="13"/>
      <c r="C16" s="13">
        <f>IF(ISERROR(VLOOKUP(132,Suvaha_BO!A:F,5,0)),0,VLOOKUP(132,Suvaha_BO!A:F,5,0))</f>
        <v>0</v>
      </c>
      <c r="D16" s="13">
        <f>IF(ISERROR(VLOOKUP(142,Suvaha_BO!A:F,5,0)),0,VLOOKUP(142,Suvaha_BO!A:F,5,0))</f>
        <v>217841.18999999997</v>
      </c>
      <c r="E16" s="13">
        <f>IF(ISERROR(VLOOKUP(152,Suvaha_BO!A:F,5,0)),0,VLOOKUP(152,Suvaha_BO!A:F,5,0))</f>
        <v>0</v>
      </c>
      <c r="F16" s="13">
        <f>IF(ISERROR(VLOOKUP(162,Suvaha_BO!A:F,5,0)),0,VLOOKUP(162,Suvaha_BO!A:F,5,0))</f>
        <v>0</v>
      </c>
      <c r="G16" s="13">
        <f>IF(ISERROR(VLOOKUP(173,Suvaha_BO!A:F,5,0)),0,VLOOKUP(173,Suvaha_BO!A:F,5,0))</f>
        <v>0</v>
      </c>
      <c r="H16" s="13"/>
      <c r="I16" s="13"/>
      <c r="J16" s="13">
        <f>B16+C16+D16+E16+F16+G16+H16+I16</f>
        <v>217841.18999999997</v>
      </c>
    </row>
    <row r="17" spans="1:10" ht="26.1" customHeight="1">
      <c r="A17" s="5" t="s">
        <v>1280</v>
      </c>
      <c r="B17" s="13"/>
      <c r="C17" s="13">
        <f>C14+C15-C16</f>
        <v>77389.87</v>
      </c>
      <c r="D17" s="13">
        <f>D14+D15-D16</f>
        <v>831531.7</v>
      </c>
      <c r="E17" s="13">
        <f>E14+E15-E16</f>
        <v>0</v>
      </c>
      <c r="F17" s="13">
        <f>F14+F15-F16</f>
        <v>0</v>
      </c>
      <c r="G17" s="13">
        <f>G14+G15-G16</f>
        <v>4469.53</v>
      </c>
      <c r="H17" s="13"/>
      <c r="I17" s="13"/>
      <c r="J17" s="13">
        <f>B17+C17+D17+E17+F17+G17+H17+I17</f>
        <v>913391.1</v>
      </c>
    </row>
    <row r="18" spans="1:10" ht="15.95" customHeight="1">
      <c r="A18" s="4" t="s">
        <v>1244</v>
      </c>
      <c r="B18" s="97"/>
      <c r="C18" s="97"/>
      <c r="D18" s="97"/>
      <c r="E18" s="97"/>
      <c r="F18" s="97"/>
      <c r="G18" s="97"/>
      <c r="H18" s="97"/>
      <c r="I18" s="97"/>
      <c r="J18" s="97"/>
    </row>
    <row r="19" spans="1:10" ht="26.1" customHeight="1">
      <c r="A19" s="5" t="s">
        <v>326</v>
      </c>
      <c r="B19" s="13">
        <f>IF(ISERROR(VLOOKUP(122,Suvaha_BO!A:F,4,0)),0,VLOOKUP(122,Suvaha_BO!A:F,4,0))</f>
        <v>0</v>
      </c>
      <c r="C19" s="13">
        <f>IF(ISERROR(VLOOKUP(133,Suvaha_BO!A:F,4,0)),0,VLOOKUP(133,Suvaha_BO!A:F,4,0))</f>
        <v>0</v>
      </c>
      <c r="D19" s="13">
        <f>IF(ISERROR(VLOOKUP(143,Suvaha_BO!A:F,4,0)),0,VLOOKUP(143,Suvaha_BO!A:F,4,0))</f>
        <v>0</v>
      </c>
      <c r="E19" s="13">
        <f>IF(ISERROR(VLOOKUP(153,Suvaha_BO!A:F,4,0)),0,VLOOKUP(153,Suvaha_BO!A:F,4,0))</f>
        <v>0</v>
      </c>
      <c r="F19" s="13">
        <f>IF(ISERROR(VLOOKUP(163,Suvaha_BO!A:F,4,0)),0,VLOOKUP(163,Suvaha_BO!A:F,4,0))</f>
        <v>0</v>
      </c>
      <c r="G19" s="13">
        <f>IF(ISERROR(VLOOKUP(174,Suvaha_BO!A:F,4,0)),0,VLOOKUP(174,Suvaha_BO!A:F,4,0))</f>
        <v>0</v>
      </c>
      <c r="H19" s="13">
        <f>IF(ISERROR(VLOOKUP(182,Suvaha_BO!A:F,4,0)),0,VLOOKUP(182,Suvaha_BO!A:F,4,0))</f>
        <v>0</v>
      </c>
      <c r="I19" s="13">
        <f>IF(ISERROR(VLOOKUP(192,Suvaha_BO!A:F,4,0)),0,VLOOKUP(192,Suvaha_BO!A:F,4,0))</f>
        <v>0</v>
      </c>
      <c r="J19" s="13">
        <f>B19+C19+D19+E19+F19+G19+H19+I19</f>
        <v>0</v>
      </c>
    </row>
    <row r="20" spans="1:10" ht="15.95" customHeight="1">
      <c r="A20" s="4" t="s">
        <v>140</v>
      </c>
      <c r="B20" s="13">
        <f>IF(ISERROR(VLOOKUP(122,Suvaha_BO!A:F,6,0)),0,VLOOKUP(122,Suvaha_BO!A:F,6,0))</f>
        <v>0</v>
      </c>
      <c r="C20" s="13">
        <f>IF(ISERROR(VLOOKUP(133,Suvaha_BO!A:F,6,0)),0,VLOOKUP(133,Suvaha_BO!A:F,6,0))</f>
        <v>0</v>
      </c>
      <c r="D20" s="13">
        <f>IF(ISERROR(VLOOKUP(143,Suvaha_BO!A:F,6,0)),0,VLOOKUP(143,Suvaha_BO!A:F,6,0))</f>
        <v>0</v>
      </c>
      <c r="E20" s="13">
        <f>IF(ISERROR(VLOOKUP(153,Suvaha_BO!A:F,6,0)),0,VLOOKUP(153,Suvaha_BO!A:F,6,0))</f>
        <v>0</v>
      </c>
      <c r="F20" s="13">
        <f>IF(ISERROR(VLOOKUP(163,Suvaha_BO!A:F,6,0)),0,VLOOKUP(163,Suvaha_BO!A:F,6,0))</f>
        <v>0</v>
      </c>
      <c r="G20" s="13">
        <f>IF(ISERROR(VLOOKUP(174,Suvaha_BO!A:F,6,0)),0,VLOOKUP(174,Suvaha_BO!A:F,6,0))</f>
        <v>0</v>
      </c>
      <c r="H20" s="13">
        <f>IF(ISERROR(VLOOKUP(182,Suvaha_BO!A:F,6,0)),0,VLOOKUP(182,Suvaha_BO!A:F,6,0))</f>
        <v>0</v>
      </c>
      <c r="I20" s="13">
        <f>IF(ISERROR(VLOOKUP(192,Suvaha_BO!A:F,6,0)),0,VLOOKUP(192,Suvaha_BO!A:F,6,0))</f>
        <v>0</v>
      </c>
      <c r="J20" s="13">
        <f>B20+C20+D20+E20+F20+G20+H20+I20</f>
        <v>0</v>
      </c>
    </row>
    <row r="21" spans="1:10" ht="15.95" customHeight="1">
      <c r="A21" s="4" t="s">
        <v>420</v>
      </c>
      <c r="B21" s="13">
        <f>IF(ISERROR(VLOOKUP(122,Suvaha_BO!A:F,5,0)),0,VLOOKUP(122,Suvaha_BO!A:F,5,0))</f>
        <v>0</v>
      </c>
      <c r="C21" s="13">
        <f>IF(ISERROR(VLOOKUP(133,Suvaha_BO!A:F,5,0)),0,VLOOKUP(133,Suvaha_BO!A:F,5,0))</f>
        <v>0</v>
      </c>
      <c r="D21" s="13">
        <f>IF(ISERROR(VLOOKUP(143,Suvaha_BO!A:F,5,0)),0,VLOOKUP(143,Suvaha_BO!A:F,5,0))</f>
        <v>0</v>
      </c>
      <c r="E21" s="13">
        <f>IF(ISERROR(VLOOKUP(153,Suvaha_BO!A:F,5,0)),0,VLOOKUP(153,Suvaha_BO!A:F,5,0))</f>
        <v>0</v>
      </c>
      <c r="F21" s="13">
        <f>IF(ISERROR(VLOOKUP(163,Suvaha_BO!A:F,5,0)),0,VLOOKUP(163,Suvaha_BO!A:F,5,0))</f>
        <v>0</v>
      </c>
      <c r="G21" s="13">
        <f>IF(ISERROR(VLOOKUP(174,Suvaha_BO!A:F,5,0)),0,VLOOKUP(174,Suvaha_BO!A:F,5,0))</f>
        <v>0</v>
      </c>
      <c r="H21" s="13">
        <f>IF(ISERROR(VLOOKUP(182,Suvaha_BO!A:F,5,0)),0,VLOOKUP(182,Suvaha_BO!A:F,5,0))</f>
        <v>0</v>
      </c>
      <c r="I21" s="13">
        <f>IF(ISERROR(VLOOKUP(192,Suvaha_BO!A:F,5,0)),0,VLOOKUP(192,Suvaha_BO!A:F,5,0))</f>
        <v>0</v>
      </c>
      <c r="J21" s="13">
        <f>B21+C21+D21+E21+F21+G21+H21+I21</f>
        <v>0</v>
      </c>
    </row>
    <row r="22" spans="1:10" ht="26.1" customHeight="1">
      <c r="A22" s="5" t="s">
        <v>1280</v>
      </c>
      <c r="B22" s="13">
        <f t="shared" ref="B22:I22" si="1">B19+B20-B21</f>
        <v>0</v>
      </c>
      <c r="C22" s="13">
        <f t="shared" si="1"/>
        <v>0</v>
      </c>
      <c r="D22" s="13">
        <f t="shared" si="1"/>
        <v>0</v>
      </c>
      <c r="E22" s="13">
        <f t="shared" si="1"/>
        <v>0</v>
      </c>
      <c r="F22" s="13">
        <f t="shared" si="1"/>
        <v>0</v>
      </c>
      <c r="G22" s="13">
        <f t="shared" si="1"/>
        <v>0</v>
      </c>
      <c r="H22" s="13">
        <f t="shared" si="1"/>
        <v>0</v>
      </c>
      <c r="I22" s="13">
        <f t="shared" si="1"/>
        <v>0</v>
      </c>
      <c r="J22" s="13">
        <f>B22+C22+D22+E22+F22+G22+H22+I22</f>
        <v>0</v>
      </c>
    </row>
    <row r="23" spans="1:10" ht="15.95" customHeight="1">
      <c r="A23" s="4" t="s">
        <v>983</v>
      </c>
      <c r="B23" s="97"/>
      <c r="C23" s="97"/>
      <c r="D23" s="97"/>
      <c r="E23" s="97"/>
      <c r="F23" s="97"/>
      <c r="G23" s="97"/>
      <c r="H23" s="97"/>
      <c r="I23" s="97"/>
      <c r="J23" s="97"/>
    </row>
    <row r="24" spans="1:10" ht="26.1" customHeight="1">
      <c r="A24" s="5" t="s">
        <v>326</v>
      </c>
      <c r="B24" s="13">
        <f t="shared" ref="B24:I24" si="2">B8-B14-B19</f>
        <v>648442.48</v>
      </c>
      <c r="C24" s="13">
        <f t="shared" si="2"/>
        <v>184851.84</v>
      </c>
      <c r="D24" s="13">
        <f t="shared" si="2"/>
        <v>191225.25999999989</v>
      </c>
      <c r="E24" s="13">
        <f t="shared" si="2"/>
        <v>0</v>
      </c>
      <c r="F24" s="13">
        <f t="shared" si="2"/>
        <v>0</v>
      </c>
      <c r="G24" s="13">
        <f t="shared" si="2"/>
        <v>0</v>
      </c>
      <c r="H24" s="13">
        <f t="shared" si="2"/>
        <v>2207.3799999999997</v>
      </c>
      <c r="I24" s="13">
        <f t="shared" si="2"/>
        <v>0</v>
      </c>
      <c r="J24" s="13">
        <f>B24+C24+D24+E24+F24+G24+H24+I24</f>
        <v>1026726.9599999998</v>
      </c>
    </row>
    <row r="25" spans="1:10" ht="26.1" customHeight="1">
      <c r="A25" s="5" t="s">
        <v>1280</v>
      </c>
      <c r="B25" s="13">
        <f t="shared" ref="B25:I25" si="3">B12-B17-B22</f>
        <v>648442.48</v>
      </c>
      <c r="C25" s="13">
        <f t="shared" si="3"/>
        <v>172110.84</v>
      </c>
      <c r="D25" s="13">
        <f t="shared" si="3"/>
        <v>58283.369999999879</v>
      </c>
      <c r="E25" s="13">
        <f t="shared" si="3"/>
        <v>0</v>
      </c>
      <c r="F25" s="13">
        <f t="shared" si="3"/>
        <v>0</v>
      </c>
      <c r="G25" s="13">
        <f t="shared" si="3"/>
        <v>0</v>
      </c>
      <c r="H25" s="13">
        <f t="shared" si="3"/>
        <v>2207.3799999999997</v>
      </c>
      <c r="I25" s="13">
        <f t="shared" si="3"/>
        <v>0</v>
      </c>
      <c r="J25" s="13">
        <f>B25+C25+D25+E25+F25+G25+H25+I25</f>
        <v>881044.06999999983</v>
      </c>
    </row>
    <row r="41" spans="1:10">
      <c r="A41" s="170" t="s">
        <v>169</v>
      </c>
      <c r="B41" s="169" t="s">
        <v>360</v>
      </c>
      <c r="C41" s="169"/>
      <c r="D41" s="169"/>
      <c r="E41" s="169"/>
      <c r="F41" s="169"/>
      <c r="G41" s="169"/>
      <c r="H41" s="169"/>
      <c r="I41" s="169"/>
      <c r="J41" s="169"/>
    </row>
    <row r="42" spans="1:10" ht="72">
      <c r="A42" s="171"/>
      <c r="B42" s="7" t="s">
        <v>475</v>
      </c>
      <c r="C42" s="7" t="s">
        <v>228</v>
      </c>
      <c r="D42" s="7" t="s">
        <v>156</v>
      </c>
      <c r="E42" s="7" t="s">
        <v>117</v>
      </c>
      <c r="F42" s="7" t="s">
        <v>776</v>
      </c>
      <c r="G42" s="7" t="s">
        <v>815</v>
      </c>
      <c r="H42" s="7" t="s">
        <v>781</v>
      </c>
      <c r="I42" s="7" t="s">
        <v>695</v>
      </c>
      <c r="J42" s="7" t="s">
        <v>461</v>
      </c>
    </row>
    <row r="43" spans="1:10">
      <c r="A43" s="47" t="s">
        <v>958</v>
      </c>
      <c r="B43" s="47" t="s">
        <v>1350</v>
      </c>
      <c r="C43" s="47" t="s">
        <v>737</v>
      </c>
      <c r="D43" s="47" t="s">
        <v>226</v>
      </c>
      <c r="E43" s="47" t="s">
        <v>830</v>
      </c>
      <c r="F43" s="47" t="s">
        <v>126</v>
      </c>
      <c r="G43" s="47" t="s">
        <v>707</v>
      </c>
      <c r="H43" s="47" t="s">
        <v>87</v>
      </c>
      <c r="I43" s="47" t="s">
        <v>724</v>
      </c>
      <c r="J43" s="47" t="s">
        <v>229</v>
      </c>
    </row>
    <row r="44" spans="1:10" ht="15" customHeight="1">
      <c r="A44" s="46" t="s">
        <v>371</v>
      </c>
      <c r="B44" s="126"/>
      <c r="C44" s="126"/>
      <c r="D44" s="126"/>
      <c r="E44" s="126"/>
      <c r="F44" s="126"/>
      <c r="G44" s="126"/>
      <c r="H44" s="126"/>
      <c r="I44" s="126"/>
      <c r="J44" s="126"/>
    </row>
    <row r="45" spans="1:10" ht="15" customHeight="1">
      <c r="A45" s="5" t="s">
        <v>326</v>
      </c>
      <c r="B45" s="13">
        <f>IF(ISERROR(VLOOKUP(121,Suvaha_PO!A:F,4,0)),0,VLOOKUP(121,Suvaha_PO!A:F,4,0))</f>
        <v>288395.40999999997</v>
      </c>
      <c r="C45" s="13">
        <f>IF(ISERROR(VLOOKUP(131,Suvaha_PO!A:F,4,0)),0,VLOOKUP(131,Suvaha_PO!A:F,4,0))</f>
        <v>249500.71</v>
      </c>
      <c r="D45" s="13">
        <f>IF(ISERROR(VLOOKUP(141,Suvaha_PO!A:F,4,0)),0,VLOOKUP(141,Suvaha_PO!A:F,4,0))</f>
        <v>1226244.3599999999</v>
      </c>
      <c r="E45" s="13">
        <f>IF(ISERROR(VLOOKUP(151,Suvaha_PO!A:F,4,0)),0,VLOOKUP(151,Suvaha_PO!A:F,4,0))</f>
        <v>0</v>
      </c>
      <c r="F45" s="13">
        <f>IF(ISERROR(VLOOKUP(161,Suvaha_PO!A:F,4,0)),0,VLOOKUP(161,Suvaha_PO!A:F,4,0))</f>
        <v>0</v>
      </c>
      <c r="G45" s="13">
        <f>IF(ISERROR(VLOOKUP(171,Suvaha_PO!A:F,4,0)),0,VLOOKUP(171,Suvaha_PO!A:F,4,0))+IF(ISERROR(VLOOKUP(172,Suvaha_PO!A:F,4,0)),0,VLOOKUP(172,Suvaha_PO!A:F,4,0))</f>
        <v>4469.53</v>
      </c>
      <c r="H45" s="13">
        <f>IF(ISERROR(VLOOKUP(181,Suvaha_PO!A:F,4,0)),0,VLOOKUP(181,Suvaha_PO!A:F,4,0))</f>
        <v>2207.3799999999997</v>
      </c>
      <c r="I45" s="13">
        <f>IF(ISERROR(VLOOKUP(191,Suvaha_PO!A:F,4,0)),0,VLOOKUP(191,Suvaha_PO!A:F,4,0))</f>
        <v>0</v>
      </c>
      <c r="J45" s="13">
        <f>B45+C45+D45+E45+F45+G45+H45+I45</f>
        <v>1770817.39</v>
      </c>
    </row>
    <row r="46" spans="1:10" ht="15" customHeight="1">
      <c r="A46" s="4" t="s">
        <v>140</v>
      </c>
      <c r="B46" s="13">
        <f>IF(ISERROR(VLOOKUP(121,Suvaha_PO!A:F,5,0)),0,VLOOKUP(121,Suvaha_PO!A:F,5,0))</f>
        <v>403000</v>
      </c>
      <c r="C46" s="13">
        <f>IF(ISERROR(VLOOKUP(131,Suvaha_PO!A:F,5,0)),0,VLOOKUP(131,Suvaha_PO!A:F,5,0))</f>
        <v>0</v>
      </c>
      <c r="D46" s="13">
        <f>IF(ISERROR(VLOOKUP(141,Suvaha_PO!A:F,5,0)),0,VLOOKUP(141,Suvaha_PO!A:F,5,0))</f>
        <v>0</v>
      </c>
      <c r="E46" s="13">
        <f>IF(ISERROR(VLOOKUP(151,Suvaha_PO!A:F,5,0)),0,VLOOKUP(151,Suvaha_PO!A:F,5,0))</f>
        <v>0</v>
      </c>
      <c r="F46" s="13">
        <f>IF(ISERROR(VLOOKUP(161,Suvaha_PO!A:F,5,0)),0,VLOOKUP(161,Suvaha_PO!A:F,5,0))</f>
        <v>0</v>
      </c>
      <c r="G46" s="13">
        <f>IF(ISERROR(VLOOKUP(171,Suvaha_PO!A:F,5,0)),0,VLOOKUP(171,Suvaha_PO!A:F,5,0))+IF(ISERROR(VLOOKUP(172,Suvaha_PO!A:F,5,0)),0,VLOOKUP(172,Suvaha_PO!A:F,5,0))</f>
        <v>0</v>
      </c>
      <c r="H46" s="13">
        <f>IF(ISERROR(VLOOKUP(181,Suvaha_PO!A:F,5,0)),0,VLOOKUP(181,Suvaha_PO!A:F,5,0))</f>
        <v>403000</v>
      </c>
      <c r="I46" s="13">
        <f>IF(ISERROR(VLOOKUP(191,Suvaha_PO!A:F,5,0)),0,VLOOKUP(191,Suvaha_PO!A:F,5,0))</f>
        <v>0</v>
      </c>
      <c r="J46" s="13">
        <f>B46+C46+D46+E46+F46+G46+H46+I46</f>
        <v>806000</v>
      </c>
    </row>
    <row r="47" spans="1:10">
      <c r="A47" s="4" t="s">
        <v>420</v>
      </c>
      <c r="B47" s="13">
        <f>IF(ISERROR(VLOOKUP(121,Suvaha_PO!A:F,6,0)),0,VLOOKUP(121,Suvaha_PO!A:F,6,0))</f>
        <v>42952.929999999993</v>
      </c>
      <c r="C47" s="13">
        <f>IF(ISERROR(VLOOKUP(131,Suvaha_PO!A:F,6,0)),0,VLOOKUP(131,Suvaha_PO!A:F,6,0))</f>
        <v>0</v>
      </c>
      <c r="D47" s="13">
        <f>IF(ISERROR(VLOOKUP(141,Suvaha_PO!A:F,6,0)),0,VLOOKUP(141,Suvaha_PO!A:F,6,0))</f>
        <v>118588.76</v>
      </c>
      <c r="E47" s="13">
        <f>IF(ISERROR(VLOOKUP(151,Suvaha_PO!A:F,6,0)),0,VLOOKUP(151,Suvaha_PO!A:F,6,0))</f>
        <v>0</v>
      </c>
      <c r="F47" s="13">
        <f>IF(ISERROR(VLOOKUP(161,Suvaha_PO!A:F,6,0)),0,VLOOKUP(161,Suvaha_PO!A:F,6,0))</f>
        <v>0</v>
      </c>
      <c r="G47" s="13">
        <f>IF(ISERROR(VLOOKUP(171,Suvaha_PO!A:F,6,0)),0,VLOOKUP(171,Suvaha_PO!A:F,6,0))+IF(ISERROR(VLOOKUP(172,Suvaha_PO!A:F,6,0)),0,VLOOKUP(172,Suvaha_PO!A:F,6,0))</f>
        <v>0</v>
      </c>
      <c r="H47" s="13">
        <f>IF(ISERROR(VLOOKUP(181,Suvaha_PO!A:F,6,0)),0,VLOOKUP(181,Suvaha_PO!A:F,6,0))</f>
        <v>403000</v>
      </c>
      <c r="I47" s="13">
        <f>IF(ISERROR(VLOOKUP(191,Suvaha_PO!A:F,6,0)),0,VLOOKUP(191,Suvaha_PO!A:F,6,0))</f>
        <v>0</v>
      </c>
      <c r="J47" s="13">
        <f>B47+C47+D47+E47+F47+G47+H47+I47</f>
        <v>564541.68999999994</v>
      </c>
    </row>
    <row r="48" spans="1:10">
      <c r="A48" s="4" t="s">
        <v>948</v>
      </c>
      <c r="B48" s="13"/>
      <c r="C48" s="13"/>
      <c r="D48" s="13"/>
      <c r="E48" s="13"/>
      <c r="F48" s="13"/>
      <c r="G48" s="13"/>
      <c r="H48" s="13"/>
      <c r="I48" s="13"/>
      <c r="J48" s="13">
        <f>B48+C48+D48+E48+F48+G48+H48+I48</f>
        <v>0</v>
      </c>
    </row>
    <row r="49" spans="1:10" ht="24.75">
      <c r="A49" s="5" t="s">
        <v>1280</v>
      </c>
      <c r="B49" s="13">
        <f t="shared" ref="B49:I49" si="4">B45+B46-B47-B48</f>
        <v>648442.48</v>
      </c>
      <c r="C49" s="13">
        <f t="shared" si="4"/>
        <v>249500.71</v>
      </c>
      <c r="D49" s="13">
        <f t="shared" si="4"/>
        <v>1107655.5999999999</v>
      </c>
      <c r="E49" s="13">
        <f t="shared" si="4"/>
        <v>0</v>
      </c>
      <c r="F49" s="13">
        <f t="shared" si="4"/>
        <v>0</v>
      </c>
      <c r="G49" s="13">
        <f t="shared" si="4"/>
        <v>4469.53</v>
      </c>
      <c r="H49" s="13">
        <f t="shared" si="4"/>
        <v>2207.3800000000047</v>
      </c>
      <c r="I49" s="13">
        <f t="shared" si="4"/>
        <v>0</v>
      </c>
      <c r="J49" s="13">
        <f>B49+C49+D49+E49+F49+G49+H49+I49</f>
        <v>2012275.6999999997</v>
      </c>
    </row>
    <row r="50" spans="1:10">
      <c r="A50" s="4" t="s">
        <v>230</v>
      </c>
      <c r="B50" s="97"/>
      <c r="C50" s="97"/>
      <c r="D50" s="97"/>
      <c r="E50" s="97"/>
      <c r="F50" s="97"/>
      <c r="G50" s="97"/>
      <c r="H50" s="97"/>
      <c r="I50" s="97"/>
      <c r="J50" s="97"/>
    </row>
    <row r="51" spans="1:10" ht="24.75">
      <c r="A51" s="5" t="s">
        <v>326</v>
      </c>
      <c r="B51" s="13"/>
      <c r="C51" s="13">
        <f>IF(ISERROR(VLOOKUP(132,Suvaha_PO!A:F,4,0)),0,VLOOKUP(132,Suvaha_PO!A:F,4,0))</f>
        <v>51907.87</v>
      </c>
      <c r="D51" s="13">
        <f>IF(ISERROR(VLOOKUP(142,Suvaha_PO!A:F,4,0)),0,VLOOKUP(142,Suvaha_PO!A:F,4,0))</f>
        <v>853677.95</v>
      </c>
      <c r="E51" s="13">
        <f>IF(ISERROR(VLOOKUP(152,Suvaha_PO!A:F,4,0)),0,VLOOKUP(152,Suvaha_PO!A:F,4,0))</f>
        <v>0</v>
      </c>
      <c r="F51" s="13">
        <f>IF(ISERROR(VLOOKUP(162,Suvaha_PO!A:F,4,0)),0,VLOOKUP(162,Suvaha_PO!A:F,4,0))</f>
        <v>0</v>
      </c>
      <c r="G51" s="13">
        <f>IF(ISERROR(VLOOKUP(173,Suvaha_PO!A:F,4,0)),0,VLOOKUP(173,Suvaha_PO!A:F,4,0))</f>
        <v>4469.53</v>
      </c>
      <c r="H51" s="13"/>
      <c r="I51" s="13"/>
      <c r="J51" s="13">
        <f>B51+C51+D51+E51+F51+G51+H51+I51</f>
        <v>910055.35</v>
      </c>
    </row>
    <row r="52" spans="1:10">
      <c r="A52" s="4" t="s">
        <v>140</v>
      </c>
      <c r="B52" s="13"/>
      <c r="C52" s="13">
        <f>IF(ISERROR(VLOOKUP(132,Suvaha_PO!A:F,6,0)),0,VLOOKUP(132,Suvaha_PO!A:F,6,0))</f>
        <v>12741</v>
      </c>
      <c r="D52" s="13">
        <f>IF(ISERROR(VLOOKUP(142,Suvaha_PO!A:F,6,0)),0,VLOOKUP(142,Suvaha_PO!A:F,6,0))</f>
        <v>181341.15</v>
      </c>
      <c r="E52" s="13">
        <f>IF(ISERROR(VLOOKUP(152,Suvaha_PO!A:F,6,0)),0,VLOOKUP(152,Suvaha_PO!A:F,6,0))</f>
        <v>0</v>
      </c>
      <c r="F52" s="13">
        <f>IF(ISERROR(VLOOKUP(162,Suvaha_PO!A:F,6,0)),0,VLOOKUP(162,Suvaha_PO!A:F,6,0))</f>
        <v>0</v>
      </c>
      <c r="G52" s="13">
        <f>IF(ISERROR(VLOOKUP(173,Suvaha_PO!A:F,6,0)),0,VLOOKUP(173,Suvaha_PO!A:F,6,0))</f>
        <v>0</v>
      </c>
      <c r="H52" s="13"/>
      <c r="I52" s="13"/>
      <c r="J52" s="13">
        <f>B52+C52+D52+E52+F52+G52+H52+I52</f>
        <v>194082.15</v>
      </c>
    </row>
    <row r="53" spans="1:10">
      <c r="A53" s="4" t="s">
        <v>420</v>
      </c>
      <c r="B53" s="13"/>
      <c r="C53" s="13">
        <f>IF(ISERROR(VLOOKUP(132,Suvaha_PO!A:F,5,0)),0,VLOOKUP(132,Suvaha_PO!A:F,5,0))</f>
        <v>0</v>
      </c>
      <c r="D53" s="13">
        <f>IF(ISERROR(VLOOKUP(142,Suvaha_PO!A:F,5,0)),0,VLOOKUP(142,Suvaha_PO!A:F,5,0))</f>
        <v>118588.76</v>
      </c>
      <c r="E53" s="13">
        <f>IF(ISERROR(VLOOKUP(152,Suvaha_PO!A:F,5,0)),0,VLOOKUP(152,Suvaha_PO!A:F,5,0))</f>
        <v>0</v>
      </c>
      <c r="F53" s="13">
        <f>IF(ISERROR(VLOOKUP(162,Suvaha_PO!A:F,5,0)),0,VLOOKUP(162,Suvaha_PO!A:F,5,0))</f>
        <v>0</v>
      </c>
      <c r="G53" s="13">
        <f>IF(ISERROR(VLOOKUP(173,Suvaha_PO!A:F,5,0)),0,VLOOKUP(173,Suvaha_PO!A:F,5,0))</f>
        <v>0</v>
      </c>
      <c r="H53" s="13"/>
      <c r="I53" s="13"/>
      <c r="J53" s="13">
        <f>B53+C53+D53+E53+F53+G53+H53+I53</f>
        <v>118588.76</v>
      </c>
    </row>
    <row r="54" spans="1:10" ht="24.75">
      <c r="A54" s="5" t="s">
        <v>1280</v>
      </c>
      <c r="B54" s="13"/>
      <c r="C54" s="13">
        <f>C51+C52-C53</f>
        <v>64648.87</v>
      </c>
      <c r="D54" s="13">
        <f>D51+D52-D53</f>
        <v>916430.34</v>
      </c>
      <c r="E54" s="13">
        <f>E51+E52-E53</f>
        <v>0</v>
      </c>
      <c r="F54" s="13">
        <f>F51+F52-F53</f>
        <v>0</v>
      </c>
      <c r="G54" s="13">
        <f>G51+G52-G53</f>
        <v>4469.53</v>
      </c>
      <c r="H54" s="13"/>
      <c r="I54" s="13"/>
      <c r="J54" s="13">
        <f>B54+C54+D54+E54+F54+G54+H54+I54</f>
        <v>985548.74</v>
      </c>
    </row>
    <row r="55" spans="1:10">
      <c r="A55" s="4" t="s">
        <v>1244</v>
      </c>
      <c r="B55" s="97"/>
      <c r="C55" s="97"/>
      <c r="D55" s="97"/>
      <c r="E55" s="97"/>
      <c r="F55" s="97"/>
      <c r="G55" s="97"/>
      <c r="H55" s="97"/>
      <c r="I55" s="97"/>
      <c r="J55" s="97"/>
    </row>
    <row r="56" spans="1:10" ht="24.75">
      <c r="A56" s="5" t="s">
        <v>326</v>
      </c>
      <c r="B56" s="13">
        <f>IF(ISERROR(VLOOKUP(122,Suvaha_PO!A:F,4,0)),0,VLOOKUP(122,Suvaha_PO!A:F,4,0))</f>
        <v>0</v>
      </c>
      <c r="C56" s="13">
        <f>IF(ISERROR(VLOOKUP(133,Suvaha_PO!A:F,4,0)),0,VLOOKUP(133,Suvaha_PO!A:F,4,0))</f>
        <v>0</v>
      </c>
      <c r="D56" s="13">
        <f>IF(ISERROR(VLOOKUP(143,Suvaha_PO!A:F,4,0)),0,VLOOKUP(143,Suvaha_PO!A:F,4,0))</f>
        <v>0</v>
      </c>
      <c r="E56" s="13">
        <f>IF(ISERROR(VLOOKUP(153,Suvaha_PO!A:F,4,0)),0,VLOOKUP(153,Suvaha_PO!A:F,4,0))</f>
        <v>0</v>
      </c>
      <c r="F56" s="13">
        <f>IF(ISERROR(VLOOKUP(163,Suvaha_PO!A:F,4,0)),0,VLOOKUP(163,Suvaha_PO!A:F,4,0))</f>
        <v>0</v>
      </c>
      <c r="G56" s="13">
        <f>IF(ISERROR(VLOOKUP(174,Suvaha_PO!A:F,4,0)),0,VLOOKUP(174,Suvaha_PO!A:F,4,0))</f>
        <v>0</v>
      </c>
      <c r="H56" s="13">
        <f>IF(ISERROR(VLOOKUP(182,Suvaha_PO!A:F,4,0)),0,VLOOKUP(182,Suvaha_PO!A:F,4,0))</f>
        <v>0</v>
      </c>
      <c r="I56" s="13">
        <f>IF(ISERROR(VLOOKUP(192,Suvaha_PO!A:F,4,0)),0,VLOOKUP(192,Suvaha_PO!A:F,4,0))</f>
        <v>0</v>
      </c>
      <c r="J56" s="13">
        <f>B56+C56+D56+E56+F56+G56+H56+I56</f>
        <v>0</v>
      </c>
    </row>
    <row r="57" spans="1:10">
      <c r="A57" s="4" t="s">
        <v>140</v>
      </c>
      <c r="B57" s="13">
        <f>IF(ISERROR(VLOOKUP(122,Suvaha_PO!A:F,6,0)),0,VLOOKUP(122,Suvaha_PO!A:F,6,0))</f>
        <v>0</v>
      </c>
      <c r="C57" s="13">
        <f>IF(ISERROR(VLOOKUP(133,Suvaha_PO!A:F,6,0)),0,VLOOKUP(133,Suvaha_PO!A:F,6,0))</f>
        <v>0</v>
      </c>
      <c r="D57" s="13">
        <f>IF(ISERROR(VLOOKUP(143,Suvaha_PO!A:F,6,0)),0,VLOOKUP(143,Suvaha_PO!A:F,6,0))</f>
        <v>0</v>
      </c>
      <c r="E57" s="13">
        <f>IF(ISERROR(VLOOKUP(153,Suvaha_PO!A:F,6,0)),0,VLOOKUP(153,Suvaha_PO!A:F,6,0))</f>
        <v>0</v>
      </c>
      <c r="F57" s="13">
        <f>IF(ISERROR(VLOOKUP(163,Suvaha_PO!A:F,6,0)),0,VLOOKUP(163,Suvaha_PO!A:F,6,0))</f>
        <v>0</v>
      </c>
      <c r="G57" s="13">
        <f>IF(ISERROR(VLOOKUP(174,Suvaha_PO!A:F,6,0)),0,VLOOKUP(174,Suvaha_PO!A:F,6,0))</f>
        <v>0</v>
      </c>
      <c r="H57" s="13">
        <f>IF(ISERROR(VLOOKUP(182,Suvaha_PO!A:F,6,0)),0,VLOOKUP(182,Suvaha_PO!A:F,6,0))</f>
        <v>0</v>
      </c>
      <c r="I57" s="13">
        <f>IF(ISERROR(VLOOKUP(192,Suvaha_PO!A:F,6,0)),0,VLOOKUP(192,Suvaha_PO!A:F,6,0))</f>
        <v>0</v>
      </c>
      <c r="J57" s="13">
        <f>B57+C57+D57+E57+F57+G57+H57+I57</f>
        <v>0</v>
      </c>
    </row>
    <row r="58" spans="1:10">
      <c r="A58" s="4" t="s">
        <v>420</v>
      </c>
      <c r="B58" s="13">
        <f>IF(ISERROR(VLOOKUP(122,Suvaha_PO!A:F,5,0)),0,VLOOKUP(122,Suvaha_PO!A:F,5,0))</f>
        <v>0</v>
      </c>
      <c r="C58" s="13">
        <f>IF(ISERROR(VLOOKUP(133,Suvaha_PO!A:F,5,0)),0,VLOOKUP(133,Suvaha_PO!A:F,5,0))</f>
        <v>0</v>
      </c>
      <c r="D58" s="13">
        <f>IF(ISERROR(VLOOKUP(143,Suvaha_PO!A:F,5,0)),0,VLOOKUP(143,Suvaha_PO!A:F,5,0))</f>
        <v>0</v>
      </c>
      <c r="E58" s="13">
        <f>IF(ISERROR(VLOOKUP(153,Suvaha_PO!A:F,5,0)),0,VLOOKUP(153,Suvaha_PO!A:F,5,0))</f>
        <v>0</v>
      </c>
      <c r="F58" s="13">
        <f>IF(ISERROR(VLOOKUP(163,Suvaha_PO!A:F,5,0)),0,VLOOKUP(163,Suvaha_PO!A:F,5,0))</f>
        <v>0</v>
      </c>
      <c r="G58" s="13">
        <f>IF(ISERROR(VLOOKUP(174,Suvaha_PO!A:F,5,0)),0,VLOOKUP(174,Suvaha_PO!A:F,5,0))</f>
        <v>0</v>
      </c>
      <c r="H58" s="13">
        <f>IF(ISERROR(VLOOKUP(182,Suvaha_PO!A:F,5,0)),0,VLOOKUP(182,Suvaha_PO!A:F,5,0))</f>
        <v>0</v>
      </c>
      <c r="I58" s="13">
        <f>IF(ISERROR(VLOOKUP(192,Suvaha_PO!A:F,5,0)),0,VLOOKUP(192,Suvaha_PO!A:F,5,0))</f>
        <v>0</v>
      </c>
      <c r="J58" s="13">
        <f>B58+C58+D58+E58+F58+G58+H58+I58</f>
        <v>0</v>
      </c>
    </row>
    <row r="59" spans="1:10" ht="24.75">
      <c r="A59" s="5" t="s">
        <v>1280</v>
      </c>
      <c r="B59" s="13">
        <f t="shared" ref="B59:I59" si="5">B56+B57-B58</f>
        <v>0</v>
      </c>
      <c r="C59" s="13">
        <f t="shared" si="5"/>
        <v>0</v>
      </c>
      <c r="D59" s="13">
        <f t="shared" si="5"/>
        <v>0</v>
      </c>
      <c r="E59" s="13">
        <f t="shared" si="5"/>
        <v>0</v>
      </c>
      <c r="F59" s="13">
        <f t="shared" si="5"/>
        <v>0</v>
      </c>
      <c r="G59" s="13">
        <f t="shared" si="5"/>
        <v>0</v>
      </c>
      <c r="H59" s="13">
        <f t="shared" si="5"/>
        <v>0</v>
      </c>
      <c r="I59" s="13">
        <f t="shared" si="5"/>
        <v>0</v>
      </c>
      <c r="J59" s="13">
        <f>B59+C59+D59+E59+F59+G59+H59+I59</f>
        <v>0</v>
      </c>
    </row>
    <row r="60" spans="1:10">
      <c r="A60" s="4" t="s">
        <v>983</v>
      </c>
      <c r="B60" s="97"/>
      <c r="C60" s="97"/>
      <c r="D60" s="97"/>
      <c r="E60" s="97"/>
      <c r="F60" s="97"/>
      <c r="G60" s="97"/>
      <c r="H60" s="97"/>
      <c r="I60" s="97"/>
      <c r="J60" s="97"/>
    </row>
    <row r="61" spans="1:10" ht="24.75">
      <c r="A61" s="5" t="s">
        <v>326</v>
      </c>
      <c r="B61" s="13">
        <f t="shared" ref="B61:I61" si="6">B45-B51-B56</f>
        <v>288395.40999999997</v>
      </c>
      <c r="C61" s="13">
        <f t="shared" si="6"/>
        <v>197592.84</v>
      </c>
      <c r="D61" s="13">
        <f t="shared" si="6"/>
        <v>372566.40999999992</v>
      </c>
      <c r="E61" s="13">
        <f t="shared" si="6"/>
        <v>0</v>
      </c>
      <c r="F61" s="13">
        <f t="shared" si="6"/>
        <v>0</v>
      </c>
      <c r="G61" s="13">
        <f t="shared" si="6"/>
        <v>0</v>
      </c>
      <c r="H61" s="13">
        <f t="shared" si="6"/>
        <v>2207.3799999999997</v>
      </c>
      <c r="I61" s="13">
        <f t="shared" si="6"/>
        <v>0</v>
      </c>
      <c r="J61" s="13">
        <f>B61+C61+D61+E61+F61+G61+H61+I61</f>
        <v>860762.03999999992</v>
      </c>
    </row>
    <row r="62" spans="1:10" ht="24.75">
      <c r="A62" s="5" t="s">
        <v>1280</v>
      </c>
      <c r="B62" s="13">
        <f t="shared" ref="B62:I62" si="7">B49-B54-B59</f>
        <v>648442.48</v>
      </c>
      <c r="C62" s="13">
        <f t="shared" si="7"/>
        <v>184851.84</v>
      </c>
      <c r="D62" s="13">
        <f t="shared" si="7"/>
        <v>191225.25999999989</v>
      </c>
      <c r="E62" s="13">
        <f t="shared" si="7"/>
        <v>0</v>
      </c>
      <c r="F62" s="13">
        <f t="shared" si="7"/>
        <v>0</v>
      </c>
      <c r="G62" s="13">
        <f t="shared" si="7"/>
        <v>0</v>
      </c>
      <c r="H62" s="13">
        <f t="shared" si="7"/>
        <v>2207.3800000000047</v>
      </c>
      <c r="I62" s="13">
        <f t="shared" si="7"/>
        <v>0</v>
      </c>
      <c r="J62" s="13">
        <f>B62+C62+D62+E62+F62+G62+H62+I62</f>
        <v>1026726.9599999998</v>
      </c>
    </row>
  </sheetData>
  <sheetCalcPr fullCalcOnLoad="1"/>
  <sheetProtection sheet="1"/>
  <mergeCells count="12">
    <mergeCell ref="A4:A5"/>
    <mergeCell ref="B4:J4"/>
    <mergeCell ref="B7:J7"/>
    <mergeCell ref="B13:J13"/>
    <mergeCell ref="B18:J18"/>
    <mergeCell ref="B23:J23"/>
    <mergeCell ref="A41:A42"/>
    <mergeCell ref="B41:J41"/>
    <mergeCell ref="B44:J44"/>
    <mergeCell ref="B50:J50"/>
    <mergeCell ref="B55:J55"/>
    <mergeCell ref="B60:J60"/>
  </mergeCells>
  <phoneticPr fontId="0" type="noConversion"/>
  <pageMargins left="0.7" right="0.7" top="0.75" bottom="0.75" header="0.3" footer="0.3"/>
  <pageSetup paperSize="9" scale="9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2:J70"/>
  <sheetViews>
    <sheetView topLeftCell="A52" workbookViewId="0">
      <selection activeCell="W13" sqref="W11:X13"/>
    </sheetView>
  </sheetViews>
  <sheetFormatPr defaultRowHeight="15"/>
  <cols>
    <col min="1" max="10" width="8.28515625" customWidth="1"/>
  </cols>
  <sheetData>
    <row r="2" spans="1:10" ht="15.75">
      <c r="A2" s="11" t="s">
        <v>240</v>
      </c>
    </row>
    <row r="4" spans="1:10">
      <c r="A4" s="108" t="s">
        <v>8</v>
      </c>
      <c r="B4" s="175"/>
      <c r="C4" s="175"/>
      <c r="D4" s="176"/>
      <c r="E4" s="108" t="s">
        <v>1081</v>
      </c>
      <c r="F4" s="175"/>
      <c r="G4" s="176"/>
      <c r="H4" s="108" t="s">
        <v>10</v>
      </c>
      <c r="I4" s="177"/>
      <c r="J4" s="178"/>
    </row>
    <row r="5" spans="1:10">
      <c r="A5" s="125"/>
      <c r="B5" s="125"/>
      <c r="C5" s="125"/>
      <c r="D5" s="125"/>
      <c r="E5" s="125"/>
      <c r="F5" s="125"/>
      <c r="G5" s="125"/>
      <c r="H5" s="125"/>
      <c r="I5" s="125"/>
      <c r="J5" s="125"/>
    </row>
    <row r="6" spans="1:10">
      <c r="A6" s="97"/>
      <c r="B6" s="97"/>
      <c r="C6" s="97"/>
      <c r="D6" s="97"/>
      <c r="E6" s="97"/>
      <c r="F6" s="97"/>
      <c r="G6" s="97"/>
      <c r="H6" s="97"/>
      <c r="I6" s="97"/>
      <c r="J6" s="97"/>
    </row>
    <row r="7" spans="1:10">
      <c r="A7" s="97"/>
      <c r="B7" s="97"/>
      <c r="C7" s="97"/>
      <c r="D7" s="97"/>
      <c r="E7" s="97"/>
      <c r="F7" s="97"/>
      <c r="G7" s="97"/>
      <c r="H7" s="97"/>
      <c r="I7" s="97"/>
      <c r="J7" s="97"/>
    </row>
    <row r="8" spans="1:10">
      <c r="A8" s="97"/>
      <c r="B8" s="97"/>
      <c r="C8" s="97"/>
      <c r="D8" s="97"/>
      <c r="E8" s="97"/>
      <c r="F8" s="97"/>
      <c r="G8" s="97"/>
      <c r="H8" s="97"/>
      <c r="I8" s="97"/>
      <c r="J8" s="97"/>
    </row>
    <row r="10" spans="1:10" ht="30" customHeight="1">
      <c r="A10" s="133" t="s">
        <v>464</v>
      </c>
      <c r="B10" s="134"/>
      <c r="C10" s="134"/>
      <c r="D10" s="134"/>
      <c r="E10" s="134"/>
      <c r="F10" s="134"/>
      <c r="G10" s="134"/>
      <c r="H10" s="134"/>
      <c r="I10" s="134"/>
      <c r="J10" s="134"/>
    </row>
    <row r="12" spans="1:10" ht="15" customHeight="1">
      <c r="A12" s="172" t="s">
        <v>236</v>
      </c>
      <c r="B12" s="173"/>
      <c r="C12" s="173"/>
      <c r="D12" s="173"/>
      <c r="E12" s="173"/>
      <c r="F12" s="172" t="s">
        <v>500</v>
      </c>
      <c r="G12" s="173"/>
      <c r="H12" s="173"/>
      <c r="I12" s="173"/>
      <c r="J12" s="173"/>
    </row>
    <row r="13" spans="1:10" ht="24.95" customHeight="1">
      <c r="A13" s="115" t="s">
        <v>56</v>
      </c>
      <c r="B13" s="174"/>
      <c r="C13" s="174"/>
      <c r="D13" s="174"/>
      <c r="E13" s="174"/>
      <c r="F13" s="125"/>
      <c r="G13" s="126"/>
      <c r="H13" s="126"/>
      <c r="I13" s="126"/>
      <c r="J13" s="126"/>
    </row>
    <row r="14" spans="1:10" ht="24.95" customHeight="1">
      <c r="A14" s="121" t="s">
        <v>1224</v>
      </c>
      <c r="B14" s="136"/>
      <c r="C14" s="136"/>
      <c r="D14" s="136"/>
      <c r="E14" s="136"/>
      <c r="F14" s="97"/>
      <c r="G14" s="98"/>
      <c r="H14" s="98"/>
      <c r="I14" s="98"/>
      <c r="J14" s="98"/>
    </row>
    <row r="16" spans="1:10" ht="30" customHeight="1">
      <c r="A16" s="133" t="s">
        <v>111</v>
      </c>
      <c r="B16" s="134"/>
      <c r="C16" s="134"/>
      <c r="D16" s="134"/>
      <c r="E16" s="134"/>
      <c r="F16" s="134"/>
      <c r="G16" s="134"/>
      <c r="H16" s="134"/>
      <c r="I16" s="134"/>
      <c r="J16" s="134"/>
    </row>
    <row r="18" spans="1:10" ht="15" customHeight="1">
      <c r="A18" s="172" t="s">
        <v>169</v>
      </c>
      <c r="B18" s="173"/>
      <c r="C18" s="173"/>
      <c r="D18" s="173"/>
      <c r="E18" s="173"/>
      <c r="F18" s="172" t="s">
        <v>500</v>
      </c>
      <c r="G18" s="173"/>
      <c r="H18" s="173"/>
      <c r="I18" s="173"/>
      <c r="J18" s="173"/>
    </row>
    <row r="19" spans="1:10" ht="24.95" customHeight="1">
      <c r="A19" s="115" t="s">
        <v>176</v>
      </c>
      <c r="B19" s="174"/>
      <c r="C19" s="174"/>
      <c r="D19" s="174"/>
      <c r="E19" s="174"/>
      <c r="F19" s="125"/>
      <c r="G19" s="126"/>
      <c r="H19" s="126"/>
      <c r="I19" s="126"/>
      <c r="J19" s="126"/>
    </row>
    <row r="20" spans="1:10" ht="24.95" customHeight="1">
      <c r="A20" s="121" t="s">
        <v>235</v>
      </c>
      <c r="B20" s="136"/>
      <c r="C20" s="136"/>
      <c r="D20" s="136"/>
      <c r="E20" s="136"/>
      <c r="F20" s="97"/>
      <c r="G20" s="98"/>
      <c r="H20" s="98"/>
      <c r="I20" s="98"/>
      <c r="J20" s="98"/>
    </row>
    <row r="23" spans="1:10" ht="45" customHeight="1">
      <c r="A23" s="133" t="s">
        <v>821</v>
      </c>
      <c r="B23" s="134"/>
      <c r="C23" s="134"/>
      <c r="D23" s="134"/>
      <c r="E23" s="134"/>
      <c r="F23" s="134"/>
      <c r="G23" s="134"/>
      <c r="H23" s="134"/>
      <c r="I23" s="134"/>
      <c r="J23" s="134"/>
    </row>
    <row r="25" spans="1:10">
      <c r="A25" s="108" t="s">
        <v>205</v>
      </c>
      <c r="B25" s="109"/>
      <c r="C25" s="109"/>
      <c r="D25" s="109"/>
      <c r="E25" s="109"/>
      <c r="F25" s="110"/>
      <c r="G25" s="157" t="s">
        <v>500</v>
      </c>
      <c r="H25" s="157"/>
      <c r="I25" s="157"/>
      <c r="J25" s="157"/>
    </row>
    <row r="26" spans="1:10">
      <c r="A26" s="125"/>
      <c r="B26" s="125"/>
      <c r="C26" s="125"/>
      <c r="D26" s="125"/>
      <c r="E26" s="125"/>
      <c r="F26" s="125"/>
      <c r="G26" s="112"/>
      <c r="H26" s="113"/>
      <c r="I26" s="71"/>
      <c r="J26" s="72"/>
    </row>
    <row r="27" spans="1:10">
      <c r="A27" s="97"/>
      <c r="B27" s="97"/>
      <c r="C27" s="97"/>
      <c r="D27" s="97"/>
      <c r="E27" s="97"/>
      <c r="F27" s="97"/>
      <c r="G27" s="116"/>
      <c r="H27" s="122"/>
      <c r="I27" s="130"/>
      <c r="J27" s="117"/>
    </row>
    <row r="28" spans="1:10">
      <c r="A28" s="97"/>
      <c r="B28" s="97"/>
      <c r="C28" s="97"/>
      <c r="D28" s="97"/>
      <c r="E28" s="97"/>
      <c r="F28" s="97"/>
      <c r="G28" s="116"/>
      <c r="H28" s="122"/>
      <c r="I28" s="130"/>
      <c r="J28" s="117"/>
    </row>
    <row r="29" spans="1:10">
      <c r="A29" s="97"/>
      <c r="B29" s="97"/>
      <c r="C29" s="97"/>
      <c r="D29" s="97"/>
      <c r="E29" s="97"/>
      <c r="F29" s="97"/>
      <c r="G29" s="116"/>
      <c r="H29" s="122"/>
      <c r="I29" s="130"/>
      <c r="J29" s="117"/>
    </row>
    <row r="31" spans="1:10" ht="45" customHeight="1">
      <c r="A31" s="133" t="s">
        <v>1197</v>
      </c>
      <c r="B31" s="134"/>
      <c r="C31" s="134"/>
      <c r="D31" s="134"/>
      <c r="E31" s="134"/>
      <c r="F31" s="134"/>
      <c r="G31" s="134"/>
      <c r="H31" s="134"/>
      <c r="I31" s="134"/>
      <c r="J31" s="134"/>
    </row>
    <row r="33" spans="1:10">
      <c r="A33" s="108" t="s">
        <v>205</v>
      </c>
      <c r="B33" s="175"/>
      <c r="C33" s="175"/>
      <c r="D33" s="175"/>
      <c r="E33" s="175"/>
      <c r="F33" s="176"/>
      <c r="G33" s="157" t="s">
        <v>500</v>
      </c>
      <c r="H33" s="157"/>
      <c r="I33" s="157"/>
      <c r="J33" s="157"/>
    </row>
    <row r="34" spans="1:10">
      <c r="A34" s="125"/>
      <c r="B34" s="125"/>
      <c r="C34" s="125"/>
      <c r="D34" s="125"/>
      <c r="E34" s="125"/>
      <c r="F34" s="125"/>
      <c r="G34" s="112"/>
      <c r="H34" s="113"/>
      <c r="I34" s="71"/>
      <c r="J34" s="72"/>
    </row>
    <row r="35" spans="1:10">
      <c r="A35" s="97"/>
      <c r="B35" s="97"/>
      <c r="C35" s="97"/>
      <c r="D35" s="97"/>
      <c r="E35" s="97"/>
      <c r="F35" s="97"/>
      <c r="G35" s="116"/>
      <c r="H35" s="122"/>
      <c r="I35" s="130"/>
      <c r="J35" s="117"/>
    </row>
    <row r="36" spans="1:10">
      <c r="A36" s="97"/>
      <c r="B36" s="97"/>
      <c r="C36" s="97"/>
      <c r="D36" s="97"/>
      <c r="E36" s="97"/>
      <c r="F36" s="97"/>
      <c r="G36" s="116"/>
      <c r="H36" s="122"/>
      <c r="I36" s="130"/>
      <c r="J36" s="117"/>
    </row>
    <row r="37" spans="1:10">
      <c r="A37" s="97"/>
      <c r="B37" s="97"/>
      <c r="C37" s="97"/>
      <c r="D37" s="97"/>
      <c r="E37" s="97"/>
      <c r="F37" s="97"/>
      <c r="G37" s="116"/>
      <c r="H37" s="122"/>
      <c r="I37" s="130"/>
      <c r="J37" s="117"/>
    </row>
    <row r="38" spans="1:10">
      <c r="A38" s="42"/>
      <c r="B38" s="42"/>
      <c r="C38" s="42"/>
      <c r="D38" s="42"/>
      <c r="E38" s="42"/>
      <c r="F38" s="42"/>
      <c r="G38" s="42"/>
      <c r="H38" s="42"/>
      <c r="I38" s="27"/>
      <c r="J38" s="27"/>
    </row>
    <row r="39" spans="1:10">
      <c r="A39" s="42"/>
      <c r="B39" s="42"/>
      <c r="C39" s="42"/>
      <c r="D39" s="42"/>
      <c r="E39" s="42"/>
      <c r="F39" s="42"/>
      <c r="G39" s="42"/>
      <c r="H39" s="42"/>
      <c r="I39" s="27"/>
      <c r="J39" s="27"/>
    </row>
    <row r="40" spans="1:10">
      <c r="A40" s="42"/>
      <c r="B40" s="42"/>
      <c r="C40" s="42"/>
      <c r="D40" s="42"/>
      <c r="E40" s="42"/>
      <c r="F40" s="42"/>
      <c r="G40" s="42"/>
      <c r="H40" s="42"/>
      <c r="I40" s="27"/>
      <c r="J40" s="27"/>
    </row>
    <row r="41" spans="1:10">
      <c r="A41" s="42"/>
      <c r="B41" s="42"/>
      <c r="C41" s="42"/>
      <c r="D41" s="42"/>
      <c r="E41" s="42"/>
      <c r="F41" s="42"/>
      <c r="G41" s="42"/>
      <c r="H41" s="42"/>
      <c r="I41" s="27"/>
      <c r="J41" s="27"/>
    </row>
    <row r="42" spans="1:10">
      <c r="A42" s="42"/>
      <c r="B42" s="42"/>
      <c r="C42" s="42"/>
      <c r="D42" s="42"/>
      <c r="E42" s="42"/>
      <c r="F42" s="42"/>
      <c r="G42" s="42"/>
      <c r="H42" s="42"/>
      <c r="I42" s="27"/>
      <c r="J42" s="27"/>
    </row>
    <row r="43" spans="1:10" ht="15.75">
      <c r="A43" s="11" t="s">
        <v>668</v>
      </c>
    </row>
    <row r="45" spans="1:10">
      <c r="A45" s="108" t="s">
        <v>504</v>
      </c>
      <c r="B45" s="175"/>
      <c r="C45" s="175"/>
      <c r="D45" s="176"/>
      <c r="E45" s="108" t="s">
        <v>500</v>
      </c>
      <c r="F45" s="175"/>
      <c r="G45" s="176"/>
      <c r="H45" s="108" t="s">
        <v>281</v>
      </c>
      <c r="I45" s="177"/>
      <c r="J45" s="178"/>
    </row>
    <row r="46" spans="1:10">
      <c r="A46" s="125"/>
      <c r="B46" s="125"/>
      <c r="C46" s="125"/>
      <c r="D46" s="125"/>
      <c r="E46" s="125"/>
      <c r="F46" s="125"/>
      <c r="G46" s="125"/>
      <c r="H46" s="125"/>
      <c r="I46" s="125"/>
      <c r="J46" s="125"/>
    </row>
    <row r="47" spans="1:10">
      <c r="A47" s="97"/>
      <c r="B47" s="97"/>
      <c r="C47" s="97"/>
      <c r="D47" s="97"/>
      <c r="E47" s="97"/>
      <c r="F47" s="97"/>
      <c r="G47" s="97"/>
      <c r="H47" s="97"/>
      <c r="I47" s="97"/>
      <c r="J47" s="97"/>
    </row>
    <row r="48" spans="1:10">
      <c r="A48" s="97"/>
      <c r="B48" s="97"/>
      <c r="C48" s="97"/>
      <c r="D48" s="97"/>
      <c r="E48" s="97"/>
      <c r="F48" s="97"/>
      <c r="G48" s="97"/>
      <c r="H48" s="97"/>
      <c r="I48" s="97"/>
      <c r="J48" s="97"/>
    </row>
    <row r="49" spans="1:10">
      <c r="A49" s="97"/>
      <c r="B49" s="97"/>
      <c r="C49" s="97"/>
      <c r="D49" s="97"/>
      <c r="E49" s="97"/>
      <c r="F49" s="97"/>
      <c r="G49" s="97"/>
      <c r="H49" s="97"/>
      <c r="I49" s="97"/>
      <c r="J49" s="97"/>
    </row>
    <row r="51" spans="1:10" ht="30" customHeight="1">
      <c r="A51" s="133" t="s">
        <v>1121</v>
      </c>
      <c r="B51" s="134"/>
      <c r="C51" s="134"/>
      <c r="D51" s="134"/>
      <c r="E51" s="134"/>
      <c r="F51" s="134"/>
      <c r="G51" s="134"/>
      <c r="H51" s="134"/>
      <c r="I51" s="134"/>
      <c r="J51" s="134"/>
    </row>
    <row r="53" spans="1:10">
      <c r="A53" s="108" t="s">
        <v>1110</v>
      </c>
      <c r="B53" s="175"/>
      <c r="C53" s="175"/>
      <c r="D53" s="176"/>
      <c r="E53" s="157" t="s">
        <v>72</v>
      </c>
      <c r="F53" s="157"/>
      <c r="G53" s="157" t="s">
        <v>230</v>
      </c>
      <c r="H53" s="157"/>
      <c r="I53" s="157" t="s">
        <v>935</v>
      </c>
      <c r="J53" s="157"/>
    </row>
    <row r="54" spans="1:10">
      <c r="A54" s="125"/>
      <c r="B54" s="125"/>
      <c r="C54" s="125"/>
      <c r="D54" s="125"/>
      <c r="E54" s="126"/>
      <c r="F54" s="126"/>
      <c r="G54" s="126"/>
      <c r="H54" s="126"/>
      <c r="I54" s="126"/>
      <c r="J54" s="126"/>
    </row>
    <row r="55" spans="1:10">
      <c r="A55" s="97"/>
      <c r="B55" s="97"/>
      <c r="C55" s="97"/>
      <c r="D55" s="97"/>
      <c r="E55" s="98"/>
      <c r="F55" s="98"/>
      <c r="G55" s="98"/>
      <c r="H55" s="98"/>
      <c r="I55" s="98"/>
      <c r="J55" s="98"/>
    </row>
    <row r="56" spans="1:10">
      <c r="A56" s="97"/>
      <c r="B56" s="97"/>
      <c r="C56" s="97"/>
      <c r="D56" s="97"/>
      <c r="E56" s="98"/>
      <c r="F56" s="98"/>
      <c r="G56" s="98"/>
      <c r="H56" s="98"/>
      <c r="I56" s="98"/>
      <c r="J56" s="98"/>
    </row>
    <row r="57" spans="1:10">
      <c r="A57" s="97"/>
      <c r="B57" s="97"/>
      <c r="C57" s="97"/>
      <c r="D57" s="97"/>
      <c r="E57" s="98"/>
      <c r="F57" s="98"/>
      <c r="G57" s="98"/>
      <c r="H57" s="98"/>
      <c r="I57" s="98"/>
      <c r="J57" s="98"/>
    </row>
    <row r="58" spans="1:10">
      <c r="A58" s="97"/>
      <c r="B58" s="97"/>
      <c r="C58" s="97"/>
      <c r="D58" s="97"/>
      <c r="E58" s="98"/>
      <c r="F58" s="98"/>
      <c r="G58" s="98"/>
      <c r="H58" s="98"/>
      <c r="I58" s="98"/>
      <c r="J58" s="98"/>
    </row>
    <row r="59" spans="1:10">
      <c r="A59" s="97"/>
      <c r="B59" s="97"/>
      <c r="C59" s="97"/>
      <c r="D59" s="97"/>
      <c r="E59" s="98"/>
      <c r="F59" s="98"/>
      <c r="G59" s="98"/>
      <c r="H59" s="98"/>
      <c r="I59" s="98"/>
      <c r="J59" s="98"/>
    </row>
    <row r="62" spans="1:10" ht="15.75">
      <c r="A62" s="11" t="s">
        <v>1330</v>
      </c>
    </row>
    <row r="64" spans="1:10" ht="29.25" customHeight="1">
      <c r="A64" s="158" t="s">
        <v>339</v>
      </c>
      <c r="B64" s="179"/>
      <c r="C64" s="158" t="s">
        <v>712</v>
      </c>
      <c r="D64" s="179"/>
      <c r="E64" s="158" t="s">
        <v>936</v>
      </c>
      <c r="F64" s="158"/>
      <c r="G64" s="158"/>
      <c r="H64" s="158" t="s">
        <v>1100</v>
      </c>
      <c r="I64" s="158"/>
      <c r="J64" s="158"/>
    </row>
    <row r="65" spans="1:10">
      <c r="A65" s="125"/>
      <c r="B65" s="126"/>
      <c r="C65" s="125"/>
      <c r="D65" s="126"/>
      <c r="E65" s="126"/>
      <c r="F65" s="126"/>
      <c r="G65" s="126"/>
      <c r="H65" s="126"/>
      <c r="I65" s="126"/>
      <c r="J65" s="126"/>
    </row>
    <row r="66" spans="1:10">
      <c r="A66" s="97"/>
      <c r="B66" s="98"/>
      <c r="C66" s="97"/>
      <c r="D66" s="98"/>
      <c r="E66" s="98"/>
      <c r="F66" s="98"/>
      <c r="G66" s="98"/>
      <c r="H66" s="98"/>
      <c r="I66" s="98"/>
      <c r="J66" s="98"/>
    </row>
    <row r="67" spans="1:10">
      <c r="A67" s="97"/>
      <c r="B67" s="98"/>
      <c r="C67" s="97"/>
      <c r="D67" s="98"/>
      <c r="E67" s="98"/>
      <c r="F67" s="98"/>
      <c r="G67" s="98"/>
      <c r="H67" s="98"/>
      <c r="I67" s="98"/>
      <c r="J67" s="98"/>
    </row>
    <row r="68" spans="1:10">
      <c r="A68" s="97"/>
      <c r="B68" s="98"/>
      <c r="C68" s="97"/>
      <c r="D68" s="98"/>
      <c r="E68" s="98"/>
      <c r="F68" s="98"/>
      <c r="G68" s="98"/>
      <c r="H68" s="98"/>
      <c r="I68" s="98"/>
      <c r="J68" s="98"/>
    </row>
    <row r="69" spans="1:10">
      <c r="A69" s="97"/>
      <c r="B69" s="98"/>
      <c r="C69" s="97"/>
      <c r="D69" s="98"/>
      <c r="E69" s="98"/>
      <c r="F69" s="98"/>
      <c r="G69" s="98"/>
      <c r="H69" s="98"/>
      <c r="I69" s="98"/>
      <c r="J69" s="98"/>
    </row>
    <row r="70" spans="1:10">
      <c r="A70" s="97"/>
      <c r="B70" s="98"/>
      <c r="C70" s="97"/>
      <c r="D70" s="98"/>
      <c r="E70" s="98"/>
      <c r="F70" s="98"/>
      <c r="G70" s="98"/>
      <c r="H70" s="98"/>
      <c r="I70" s="98"/>
      <c r="J70" s="98"/>
    </row>
  </sheetData>
  <sheetProtection sheet="1"/>
  <mergeCells count="123">
    <mergeCell ref="I59:J59"/>
    <mergeCell ref="I56:J56"/>
    <mergeCell ref="A58:D58"/>
    <mergeCell ref="A27:F27"/>
    <mergeCell ref="A28:F28"/>
    <mergeCell ref="A57:D57"/>
    <mergeCell ref="A59:D59"/>
    <mergeCell ref="E59:F59"/>
    <mergeCell ref="G59:H59"/>
    <mergeCell ref="A56:D56"/>
    <mergeCell ref="E56:F56"/>
    <mergeCell ref="E57:F57"/>
    <mergeCell ref="E58:F58"/>
    <mergeCell ref="G58:H58"/>
    <mergeCell ref="I58:J58"/>
    <mergeCell ref="G56:H56"/>
    <mergeCell ref="I57:J57"/>
    <mergeCell ref="G57:H57"/>
    <mergeCell ref="A68:B68"/>
    <mergeCell ref="C67:D67"/>
    <mergeCell ref="E66:G66"/>
    <mergeCell ref="E68:G68"/>
    <mergeCell ref="A66:B66"/>
    <mergeCell ref="A67:B67"/>
    <mergeCell ref="E67:G67"/>
    <mergeCell ref="C68:D68"/>
    <mergeCell ref="A70:B70"/>
    <mergeCell ref="C70:D70"/>
    <mergeCell ref="E70:G70"/>
    <mergeCell ref="H70:J70"/>
    <mergeCell ref="A69:B69"/>
    <mergeCell ref="C69:D69"/>
    <mergeCell ref="E69:G69"/>
    <mergeCell ref="H69:J69"/>
    <mergeCell ref="A64:B64"/>
    <mergeCell ref="C64:D64"/>
    <mergeCell ref="E64:G64"/>
    <mergeCell ref="A65:B65"/>
    <mergeCell ref="C65:D65"/>
    <mergeCell ref="E65:G65"/>
    <mergeCell ref="H64:J64"/>
    <mergeCell ref="C66:D66"/>
    <mergeCell ref="H65:J65"/>
    <mergeCell ref="H67:J67"/>
    <mergeCell ref="H66:J66"/>
    <mergeCell ref="H68:J68"/>
    <mergeCell ref="A54:D54"/>
    <mergeCell ref="A55:D55"/>
    <mergeCell ref="E53:F53"/>
    <mergeCell ref="I54:J54"/>
    <mergeCell ref="I55:J55"/>
    <mergeCell ref="A53:D53"/>
    <mergeCell ref="I53:J53"/>
    <mergeCell ref="E54:F54"/>
    <mergeCell ref="G54:H54"/>
    <mergeCell ref="G53:H53"/>
    <mergeCell ref="H4:J4"/>
    <mergeCell ref="E45:G45"/>
    <mergeCell ref="E55:F55"/>
    <mergeCell ref="E48:G48"/>
    <mergeCell ref="G34:J34"/>
    <mergeCell ref="G35:J35"/>
    <mergeCell ref="G36:J36"/>
    <mergeCell ref="A33:F33"/>
    <mergeCell ref="G55:H55"/>
    <mergeCell ref="E46:G46"/>
    <mergeCell ref="H49:J49"/>
    <mergeCell ref="G25:J25"/>
    <mergeCell ref="A34:F34"/>
    <mergeCell ref="A35:F35"/>
    <mergeCell ref="G33:J33"/>
    <mergeCell ref="A25:F25"/>
    <mergeCell ref="A26:F26"/>
    <mergeCell ref="G26:J26"/>
    <mergeCell ref="G27:J27"/>
    <mergeCell ref="G28:J28"/>
    <mergeCell ref="A51:J51"/>
    <mergeCell ref="G29:J29"/>
    <mergeCell ref="A49:D49"/>
    <mergeCell ref="A46:D46"/>
    <mergeCell ref="E49:G49"/>
    <mergeCell ref="A29:F29"/>
    <mergeCell ref="A48:D48"/>
    <mergeCell ref="H48:J48"/>
    <mergeCell ref="E47:G47"/>
    <mergeCell ref="H47:J47"/>
    <mergeCell ref="A36:F36"/>
    <mergeCell ref="G37:J37"/>
    <mergeCell ref="A37:F37"/>
    <mergeCell ref="A47:D47"/>
    <mergeCell ref="A45:D45"/>
    <mergeCell ref="H46:J46"/>
    <mergeCell ref="H45:J45"/>
    <mergeCell ref="A23:J23"/>
    <mergeCell ref="A31:J31"/>
    <mergeCell ref="E4:G4"/>
    <mergeCell ref="A4:D4"/>
    <mergeCell ref="A5:D5"/>
    <mergeCell ref="A6:D6"/>
    <mergeCell ref="E5:G5"/>
    <mergeCell ref="E6:G6"/>
    <mergeCell ref="A20:E20"/>
    <mergeCell ref="F20:J20"/>
    <mergeCell ref="H5:J5"/>
    <mergeCell ref="A19:E19"/>
    <mergeCell ref="A8:D8"/>
    <mergeCell ref="A14:E14"/>
    <mergeCell ref="H8:J8"/>
    <mergeCell ref="E8:G8"/>
    <mergeCell ref="F14:J14"/>
    <mergeCell ref="H6:J6"/>
    <mergeCell ref="H7:J7"/>
    <mergeCell ref="F19:J19"/>
    <mergeCell ref="A18:E18"/>
    <mergeCell ref="A16:J16"/>
    <mergeCell ref="E7:G7"/>
    <mergeCell ref="A12:E12"/>
    <mergeCell ref="F12:J12"/>
    <mergeCell ref="A13:E13"/>
    <mergeCell ref="A10:J10"/>
    <mergeCell ref="F13:J13"/>
    <mergeCell ref="A7:D7"/>
    <mergeCell ref="F18:J18"/>
  </mergeCells>
  <phoneticPr fontId="0" type="noConversion"/>
  <pageMargins left="0.7" right="0.7" top="0.75" bottom="0.75" header="0.3" footer="0.3"/>
  <pageSetup paperSize="9" scale="9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2:M22"/>
  <sheetViews>
    <sheetView workbookViewId="0"/>
  </sheetViews>
  <sheetFormatPr defaultRowHeight="15"/>
  <cols>
    <col min="1" max="13" width="6.7109375" customWidth="1"/>
  </cols>
  <sheetData>
    <row r="2" spans="1:13" ht="15.75">
      <c r="A2" s="14" t="s">
        <v>89</v>
      </c>
      <c r="B2" s="15"/>
      <c r="C2" s="15"/>
      <c r="D2" s="15"/>
      <c r="E2" s="15"/>
      <c r="F2" s="15"/>
      <c r="G2" s="15"/>
      <c r="H2" s="15"/>
      <c r="I2" s="15"/>
      <c r="J2" s="15"/>
    </row>
    <row r="4" spans="1:13">
      <c r="A4" s="183" t="s">
        <v>298</v>
      </c>
      <c r="B4" s="183"/>
      <c r="C4" s="183"/>
      <c r="D4" s="181" t="s">
        <v>332</v>
      </c>
      <c r="E4" s="181"/>
      <c r="F4" s="181"/>
      <c r="G4" s="181"/>
      <c r="H4" s="181"/>
      <c r="I4" s="181"/>
      <c r="J4" s="181"/>
      <c r="K4" s="181"/>
      <c r="L4" s="181"/>
      <c r="M4" s="181"/>
    </row>
    <row r="5" spans="1:13" ht="60" customHeight="1">
      <c r="A5" s="183"/>
      <c r="B5" s="183"/>
      <c r="C5" s="183"/>
      <c r="D5" s="183" t="s">
        <v>822</v>
      </c>
      <c r="E5" s="183"/>
      <c r="F5" s="183" t="s">
        <v>243</v>
      </c>
      <c r="G5" s="183"/>
      <c r="H5" s="183" t="s">
        <v>1054</v>
      </c>
      <c r="I5" s="183"/>
      <c r="J5" s="183" t="s">
        <v>1262</v>
      </c>
      <c r="K5" s="183"/>
      <c r="L5" s="183" t="s">
        <v>760</v>
      </c>
      <c r="M5" s="183"/>
    </row>
    <row r="6" spans="1:13">
      <c r="A6" s="182" t="s">
        <v>958</v>
      </c>
      <c r="B6" s="182"/>
      <c r="C6" s="182"/>
      <c r="D6" s="182" t="s">
        <v>1350</v>
      </c>
      <c r="E6" s="182"/>
      <c r="F6" s="182" t="s">
        <v>737</v>
      </c>
      <c r="G6" s="182"/>
      <c r="H6" s="182" t="s">
        <v>226</v>
      </c>
      <c r="I6" s="182"/>
      <c r="J6" s="182" t="s">
        <v>830</v>
      </c>
      <c r="K6" s="182"/>
      <c r="L6" s="182" t="s">
        <v>126</v>
      </c>
      <c r="M6" s="182"/>
    </row>
    <row r="7" spans="1:13">
      <c r="A7" s="184" t="s">
        <v>535</v>
      </c>
      <c r="B7" s="184"/>
      <c r="C7" s="184"/>
      <c r="D7" s="126"/>
      <c r="E7" s="126"/>
      <c r="F7" s="126"/>
      <c r="G7" s="126"/>
      <c r="H7" s="126"/>
      <c r="I7" s="126"/>
      <c r="J7" s="126"/>
      <c r="K7" s="126"/>
      <c r="L7" s="126"/>
      <c r="M7" s="126"/>
    </row>
    <row r="8" spans="1:13">
      <c r="A8" s="180"/>
      <c r="B8" s="180"/>
      <c r="C8" s="180"/>
      <c r="D8" s="180"/>
      <c r="E8" s="180"/>
      <c r="F8" s="180"/>
      <c r="G8" s="180"/>
      <c r="H8" s="180"/>
      <c r="I8" s="180"/>
      <c r="J8" s="180"/>
      <c r="K8" s="180"/>
      <c r="L8" s="180"/>
      <c r="M8" s="180"/>
    </row>
    <row r="9" spans="1:13">
      <c r="A9" s="180"/>
      <c r="B9" s="180"/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0"/>
    </row>
    <row r="10" spans="1:13">
      <c r="A10" s="180"/>
      <c r="B10" s="180"/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</row>
    <row r="11" spans="1:13">
      <c r="A11" s="186" t="s">
        <v>138</v>
      </c>
      <c r="B11" s="186"/>
      <c r="C11" s="186"/>
      <c r="D11" s="98"/>
      <c r="E11" s="98"/>
      <c r="F11" s="98"/>
      <c r="G11" s="98"/>
      <c r="H11" s="98"/>
      <c r="I11" s="98"/>
      <c r="J11" s="98"/>
      <c r="K11" s="98"/>
      <c r="L11" s="98"/>
      <c r="M11" s="98"/>
    </row>
    <row r="12" spans="1:13">
      <c r="A12" s="180"/>
      <c r="B12" s="180"/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0"/>
    </row>
    <row r="13" spans="1:13">
      <c r="A13" s="180"/>
      <c r="B13" s="180"/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0"/>
    </row>
    <row r="14" spans="1:13">
      <c r="A14" s="180"/>
      <c r="B14" s="180"/>
      <c r="C14" s="180"/>
      <c r="D14" s="180"/>
      <c r="E14" s="180"/>
      <c r="F14" s="180"/>
      <c r="G14" s="180"/>
      <c r="H14" s="180"/>
      <c r="I14" s="180"/>
      <c r="J14" s="180"/>
      <c r="K14" s="180"/>
      <c r="L14" s="180"/>
      <c r="M14" s="180"/>
    </row>
    <row r="15" spans="1:13">
      <c r="A15" s="186" t="s">
        <v>937</v>
      </c>
      <c r="B15" s="186"/>
      <c r="C15" s="186"/>
      <c r="D15" s="98"/>
      <c r="E15" s="98"/>
      <c r="F15" s="98"/>
      <c r="G15" s="98"/>
      <c r="H15" s="98"/>
      <c r="I15" s="98"/>
      <c r="J15" s="98"/>
      <c r="K15" s="98"/>
      <c r="L15" s="98"/>
      <c r="M15" s="98"/>
    </row>
    <row r="16" spans="1:13">
      <c r="A16" s="180"/>
      <c r="B16" s="180"/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</row>
    <row r="17" spans="1:13">
      <c r="A17" s="180"/>
      <c r="B17" s="180"/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</row>
    <row r="18" spans="1:13">
      <c r="A18" s="180"/>
      <c r="B18" s="180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</row>
    <row r="19" spans="1:13">
      <c r="A19" s="186" t="s">
        <v>778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</row>
    <row r="20" spans="1:13">
      <c r="A20" s="180"/>
      <c r="B20" s="180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</row>
    <row r="21" spans="1:13">
      <c r="A21" s="180"/>
      <c r="B21" s="180"/>
      <c r="C21" s="180"/>
      <c r="D21" s="180"/>
      <c r="E21" s="180"/>
      <c r="F21" s="180"/>
      <c r="G21" s="180"/>
      <c r="H21" s="180"/>
      <c r="I21" s="180"/>
      <c r="J21" s="180"/>
      <c r="K21" s="180"/>
      <c r="L21" s="180"/>
      <c r="M21" s="180"/>
    </row>
    <row r="22" spans="1:13">
      <c r="A22" s="186" t="s">
        <v>44</v>
      </c>
      <c r="B22" s="186"/>
      <c r="C22" s="186"/>
      <c r="D22" s="185" t="s">
        <v>623</v>
      </c>
      <c r="E22" s="185"/>
      <c r="F22" s="185" t="s">
        <v>623</v>
      </c>
      <c r="G22" s="185"/>
      <c r="H22" s="185" t="s">
        <v>623</v>
      </c>
      <c r="I22" s="185"/>
      <c r="J22" s="185" t="s">
        <v>623</v>
      </c>
      <c r="K22" s="185"/>
      <c r="L22" s="180">
        <f>L8+L9+L10+L12+L13+L14+L16+L17+L18+L20+L21</f>
        <v>0</v>
      </c>
      <c r="M22" s="180"/>
    </row>
  </sheetData>
  <sheetProtection sheet="1"/>
  <mergeCells count="89">
    <mergeCell ref="F16:G16"/>
    <mergeCell ref="H16:I16"/>
    <mergeCell ref="J16:K16"/>
    <mergeCell ref="L16:M16"/>
    <mergeCell ref="A19:M19"/>
    <mergeCell ref="A18:C18"/>
    <mergeCell ref="D18:E18"/>
    <mergeCell ref="F18:G18"/>
    <mergeCell ref="H18:I18"/>
    <mergeCell ref="J18:K18"/>
    <mergeCell ref="A22:C22"/>
    <mergeCell ref="D22:E22"/>
    <mergeCell ref="F22:G22"/>
    <mergeCell ref="H22:I22"/>
    <mergeCell ref="A11:M11"/>
    <mergeCell ref="A15:M15"/>
    <mergeCell ref="J17:K17"/>
    <mergeCell ref="L17:M17"/>
    <mergeCell ref="A16:C16"/>
    <mergeCell ref="D16:E16"/>
    <mergeCell ref="A21:C21"/>
    <mergeCell ref="D21:E21"/>
    <mergeCell ref="F21:G21"/>
    <mergeCell ref="H21:I21"/>
    <mergeCell ref="A20:C20"/>
    <mergeCell ref="D20:E20"/>
    <mergeCell ref="J22:K22"/>
    <mergeCell ref="L22:M22"/>
    <mergeCell ref="J21:K21"/>
    <mergeCell ref="L21:M21"/>
    <mergeCell ref="J14:K14"/>
    <mergeCell ref="L14:M14"/>
    <mergeCell ref="J20:K20"/>
    <mergeCell ref="L20:M20"/>
    <mergeCell ref="L18:M18"/>
    <mergeCell ref="A14:C14"/>
    <mergeCell ref="D14:E14"/>
    <mergeCell ref="F14:G14"/>
    <mergeCell ref="H14:I14"/>
    <mergeCell ref="F20:G20"/>
    <mergeCell ref="H20:I20"/>
    <mergeCell ref="A17:C17"/>
    <mergeCell ref="D17:E17"/>
    <mergeCell ref="F17:G17"/>
    <mergeCell ref="H17:I17"/>
    <mergeCell ref="A13:C13"/>
    <mergeCell ref="D13:E13"/>
    <mergeCell ref="F13:G13"/>
    <mergeCell ref="H13:I13"/>
    <mergeCell ref="J13:K13"/>
    <mergeCell ref="L13:M13"/>
    <mergeCell ref="L9:M9"/>
    <mergeCell ref="A12:C12"/>
    <mergeCell ref="D12:E12"/>
    <mergeCell ref="F12:G12"/>
    <mergeCell ref="H12:I12"/>
    <mergeCell ref="J12:K12"/>
    <mergeCell ref="L12:M12"/>
    <mergeCell ref="A9:C9"/>
    <mergeCell ref="J10:K10"/>
    <mergeCell ref="L10:M10"/>
    <mergeCell ref="J8:K8"/>
    <mergeCell ref="J5:K5"/>
    <mergeCell ref="D5:E5"/>
    <mergeCell ref="F5:G5"/>
    <mergeCell ref="H5:I5"/>
    <mergeCell ref="A7:M7"/>
    <mergeCell ref="L5:M5"/>
    <mergeCell ref="A4:C5"/>
    <mergeCell ref="D9:E9"/>
    <mergeCell ref="A6:C6"/>
    <mergeCell ref="D6:E6"/>
    <mergeCell ref="L8:M8"/>
    <mergeCell ref="F6:G6"/>
    <mergeCell ref="H6:I6"/>
    <mergeCell ref="J6:K6"/>
    <mergeCell ref="L6:M6"/>
    <mergeCell ref="H9:I9"/>
    <mergeCell ref="J9:K9"/>
    <mergeCell ref="F9:G9"/>
    <mergeCell ref="D4:M4"/>
    <mergeCell ref="A10:C10"/>
    <mergeCell ref="D8:E8"/>
    <mergeCell ref="F8:G8"/>
    <mergeCell ref="H8:I8"/>
    <mergeCell ref="A8:C8"/>
    <mergeCell ref="D10:E10"/>
    <mergeCell ref="F10:G10"/>
    <mergeCell ref="H10:I10"/>
  </mergeCells>
  <phoneticPr fontId="0" type="noConversion"/>
  <pageMargins left="0.7" right="0.7" top="0.75" bottom="0.75" header="0.3" footer="0.3"/>
  <pageSetup paperSize="9" scale="9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R59"/>
  <sheetViews>
    <sheetView topLeftCell="A4" workbookViewId="0">
      <selection activeCell="B8" sqref="B8"/>
    </sheetView>
  </sheetViews>
  <sheetFormatPr defaultRowHeight="15"/>
  <cols>
    <col min="1" max="1" width="16" customWidth="1"/>
    <col min="2" max="10" width="7.85546875" customWidth="1"/>
    <col min="11" max="18" width="9.140625" style="8"/>
  </cols>
  <sheetData>
    <row r="1" spans="1:18">
      <c r="B1" s="3"/>
    </row>
    <row r="2" spans="1:18" ht="15.75">
      <c r="A2" s="11" t="s">
        <v>248</v>
      </c>
    </row>
    <row r="4" spans="1:18" s="2" customFormat="1">
      <c r="A4" s="170" t="s">
        <v>44</v>
      </c>
      <c r="B4" s="169" t="s">
        <v>332</v>
      </c>
      <c r="C4" s="169"/>
      <c r="D4" s="169"/>
      <c r="E4" s="169"/>
      <c r="F4" s="169"/>
      <c r="G4" s="169"/>
      <c r="H4" s="169"/>
      <c r="I4" s="169"/>
      <c r="J4" s="169"/>
      <c r="K4" s="9"/>
      <c r="L4" s="9"/>
      <c r="M4" s="9"/>
      <c r="N4" s="9"/>
      <c r="O4" s="9"/>
      <c r="P4" s="9"/>
      <c r="Q4" s="9"/>
      <c r="R4" s="9"/>
    </row>
    <row r="5" spans="1:18" s="1" customFormat="1" ht="105" customHeight="1">
      <c r="A5" s="171"/>
      <c r="B5" s="7" t="s">
        <v>682</v>
      </c>
      <c r="C5" s="7" t="s">
        <v>215</v>
      </c>
      <c r="D5" s="7" t="s">
        <v>361</v>
      </c>
      <c r="E5" s="7" t="s">
        <v>83</v>
      </c>
      <c r="F5" s="7" t="s">
        <v>210</v>
      </c>
      <c r="G5" s="7" t="s">
        <v>473</v>
      </c>
      <c r="H5" s="7" t="s">
        <v>62</v>
      </c>
      <c r="I5" s="7" t="s">
        <v>7</v>
      </c>
      <c r="J5" s="7" t="s">
        <v>461</v>
      </c>
      <c r="K5" s="10"/>
      <c r="L5" s="10"/>
      <c r="M5" s="10"/>
      <c r="N5" s="10"/>
      <c r="O5" s="10"/>
      <c r="P5" s="10"/>
      <c r="Q5" s="10"/>
      <c r="R5" s="10"/>
    </row>
    <row r="6" spans="1:18">
      <c r="A6" s="47" t="s">
        <v>958</v>
      </c>
      <c r="B6" s="47" t="s">
        <v>1350</v>
      </c>
      <c r="C6" s="47" t="s">
        <v>737</v>
      </c>
      <c r="D6" s="47" t="s">
        <v>226</v>
      </c>
      <c r="E6" s="47" t="s">
        <v>830</v>
      </c>
      <c r="F6" s="47" t="s">
        <v>126</v>
      </c>
      <c r="G6" s="47" t="s">
        <v>707</v>
      </c>
      <c r="H6" s="47" t="s">
        <v>87</v>
      </c>
      <c r="I6" s="47" t="s">
        <v>724</v>
      </c>
      <c r="J6" s="47" t="s">
        <v>229</v>
      </c>
    </row>
    <row r="7" spans="1:18" ht="15.95" customHeight="1">
      <c r="A7" s="46" t="s">
        <v>371</v>
      </c>
      <c r="B7" s="126"/>
      <c r="C7" s="126"/>
      <c r="D7" s="126"/>
      <c r="E7" s="126"/>
      <c r="F7" s="126"/>
      <c r="G7" s="126"/>
      <c r="H7" s="126"/>
      <c r="I7" s="126"/>
      <c r="J7" s="126"/>
    </row>
    <row r="8" spans="1:18" ht="26.1" customHeight="1">
      <c r="A8" s="5" t="s">
        <v>326</v>
      </c>
      <c r="B8" s="13">
        <f>IF(ISERROR(VLOOKUP(221,Suvaha_BO!A:F,4,0)),0,VLOOKUP(221,Suvaha_BO!A:F,4,0))</f>
        <v>0</v>
      </c>
      <c r="C8" s="13">
        <f>IF(ISERROR(VLOOKUP(231,Suvaha_BO!A:F,4,0)),0,VLOOKUP(231,Suvaha_BO!A:F,4,0))</f>
        <v>0</v>
      </c>
      <c r="D8" s="13">
        <f>IF(ISERROR(VLOOKUP(241,Suvaha_BO!A:F,4,0)),0,VLOOKUP(241,Suvaha_BO!A:F,4,0))</f>
        <v>0</v>
      </c>
      <c r="E8" s="13">
        <f>IF(ISERROR(VLOOKUP(251,Suvaha_BO!A:F,4,0)),0,VLOOKUP(251,Suvaha_BO!A:F,4,0))</f>
        <v>0</v>
      </c>
      <c r="F8" s="13">
        <f>IF(ISERROR(VLOOKUP(261,Suvaha_BO!A:F,4,0)),0,VLOOKUP(261,Suvaha_BO!A:F,4,0))</f>
        <v>0</v>
      </c>
      <c r="G8" s="13">
        <f>IF(ISERROR(VLOOKUP(271,Suvaha_BO!A:F,4,0)),0,VLOOKUP(271,Suvaha_BO!A:F,4,0))</f>
        <v>0</v>
      </c>
      <c r="H8" s="13">
        <f>IF(ISERROR(VLOOKUP(281,Suvaha_BO!A:F,4,0)),0,VLOOKUP(281,Suvaha_BO!A:F,4,0))</f>
        <v>0</v>
      </c>
      <c r="I8" s="13">
        <f>IF(ISERROR(VLOOKUP(291,Suvaha_BO!A:F,4,0)),0,VLOOKUP(291,Suvaha_BO!A:F,4,0))</f>
        <v>0</v>
      </c>
      <c r="J8" s="13">
        <f>B8+C8+D8+E8+F8+G8+H8+I8</f>
        <v>0</v>
      </c>
    </row>
    <row r="9" spans="1:18" ht="15.95" customHeight="1">
      <c r="A9" s="4" t="s">
        <v>140</v>
      </c>
      <c r="B9" s="13">
        <f>IF(ISERROR(VLOOKUP(221,Suvaha_BO!A:F,5,0)),0,VLOOKUP(221,Suvaha_BO!A:F,5,0))</f>
        <v>0</v>
      </c>
      <c r="C9" s="13">
        <f>IF(ISERROR(VLOOKUP(231,Suvaha_BO!A:F,5,0)),0,VLOOKUP(231,Suvaha_BO!A:F,5,0))</f>
        <v>0</v>
      </c>
      <c r="D9" s="13">
        <f>IF(ISERROR(VLOOKUP(241,Suvaha_BO!A:F,5,0)),0,VLOOKUP(241,Suvaha_BO!A:F,5,0))</f>
        <v>0</v>
      </c>
      <c r="E9" s="13">
        <f>IF(ISERROR(VLOOKUP(251,Suvaha_BO!A:F,5,0)),0,VLOOKUP(251,Suvaha_BO!A:F,5,0))</f>
        <v>0</v>
      </c>
      <c r="F9" s="13">
        <f>IF(ISERROR(VLOOKUP(261,Suvaha_BO!A:F,5,0)),0,VLOOKUP(261,Suvaha_BO!A:F,5,0))</f>
        <v>0</v>
      </c>
      <c r="G9" s="13">
        <f>IF(ISERROR(VLOOKUP(271,Suvaha_BO!A:F,5,0)),0,VLOOKUP(271,Suvaha_BO!A:F,5,0))</f>
        <v>0</v>
      </c>
      <c r="H9" s="13">
        <f>IF(ISERROR(VLOOKUP(281,Suvaha_BO!A:F,5,0)),0,VLOOKUP(281,Suvaha_BO!A:F,5,0))</f>
        <v>0</v>
      </c>
      <c r="I9" s="13">
        <f>IF(ISERROR(VLOOKUP(291,Suvaha_BO!A:F,5,0)),0,VLOOKUP(291,Suvaha_BO!A:F,5,0))</f>
        <v>0</v>
      </c>
      <c r="J9" s="13">
        <f>B9+C9+D9+E9+F9+G9+H9+I9</f>
        <v>0</v>
      </c>
    </row>
    <row r="10" spans="1:18" ht="15.95" customHeight="1">
      <c r="A10" s="4" t="s">
        <v>420</v>
      </c>
      <c r="B10" s="13">
        <f>IF(ISERROR(VLOOKUP(221,Suvaha_BO!A:F,6,0)),0,VLOOKUP(221,Suvaha_BO!A:F,6,0))</f>
        <v>0</v>
      </c>
      <c r="C10" s="13">
        <f>IF(ISERROR(VLOOKUP(231,Suvaha_BO!A:F,6,0)),0,VLOOKUP(231,Suvaha_BO!A:F,6,0))</f>
        <v>0</v>
      </c>
      <c r="D10" s="13">
        <f>IF(ISERROR(VLOOKUP(241,Suvaha_BO!A:F,6,0)),0,VLOOKUP(241,Suvaha_BO!A:F,6,0))</f>
        <v>0</v>
      </c>
      <c r="E10" s="13">
        <f>IF(ISERROR(VLOOKUP(251,Suvaha_BO!A:F,6,0)),0,VLOOKUP(251,Suvaha_BO!A:F,6,0))</f>
        <v>0</v>
      </c>
      <c r="F10" s="13">
        <f>IF(ISERROR(VLOOKUP(261,Suvaha_BO!A:F,6,0)),0,VLOOKUP(261,Suvaha_BO!A:F,6,0))</f>
        <v>0</v>
      </c>
      <c r="G10" s="13">
        <f>IF(ISERROR(VLOOKUP(271,Suvaha_BO!A:F,6,0)),0,VLOOKUP(271,Suvaha_BO!A:F,6,0))</f>
        <v>0</v>
      </c>
      <c r="H10" s="13">
        <f>IF(ISERROR(VLOOKUP(281,Suvaha_BO!A:F,6,0)),0,VLOOKUP(281,Suvaha_BO!A:F,6,0))</f>
        <v>0</v>
      </c>
      <c r="I10" s="13">
        <f>IF(ISERROR(VLOOKUP(291,Suvaha_BO!A:F,6,0)),0,VLOOKUP(291,Suvaha_BO!A:F,6,0))</f>
        <v>0</v>
      </c>
      <c r="J10" s="13">
        <f>B10+C10+D10+E10+F10+G10+H10+I10</f>
        <v>0</v>
      </c>
    </row>
    <row r="11" spans="1:18" ht="15.95" customHeight="1">
      <c r="A11" s="4" t="s">
        <v>948</v>
      </c>
      <c r="B11" s="13"/>
      <c r="C11" s="13"/>
      <c r="D11" s="13"/>
      <c r="E11" s="13"/>
      <c r="F11" s="13"/>
      <c r="G11" s="13"/>
      <c r="H11" s="13"/>
      <c r="I11" s="13"/>
      <c r="J11" s="13">
        <f>B11+C11+D11+E11+F11+G11+H11+I11</f>
        <v>0</v>
      </c>
    </row>
    <row r="12" spans="1:18" ht="26.1" customHeight="1">
      <c r="A12" s="5" t="s">
        <v>1280</v>
      </c>
      <c r="B12" s="13">
        <f t="shared" ref="B12:I12" si="0">B8+B9-B10-B11</f>
        <v>0</v>
      </c>
      <c r="C12" s="13">
        <f t="shared" si="0"/>
        <v>0</v>
      </c>
      <c r="D12" s="13">
        <f t="shared" si="0"/>
        <v>0</v>
      </c>
      <c r="E12" s="13">
        <f t="shared" si="0"/>
        <v>0</v>
      </c>
      <c r="F12" s="13">
        <f t="shared" si="0"/>
        <v>0</v>
      </c>
      <c r="G12" s="13">
        <f t="shared" si="0"/>
        <v>0</v>
      </c>
      <c r="H12" s="13">
        <f t="shared" si="0"/>
        <v>0</v>
      </c>
      <c r="I12" s="13">
        <f t="shared" si="0"/>
        <v>0</v>
      </c>
      <c r="J12" s="13">
        <f>B12+C12+D12+E12+F12+G12+H12+I12</f>
        <v>0</v>
      </c>
    </row>
    <row r="13" spans="1:18" s="8" customFormat="1" ht="15.95" customHeight="1">
      <c r="A13" s="4" t="s">
        <v>1244</v>
      </c>
      <c r="B13" s="97"/>
      <c r="C13" s="97"/>
      <c r="D13" s="97"/>
      <c r="E13" s="97"/>
      <c r="F13" s="97"/>
      <c r="G13" s="97"/>
      <c r="H13" s="97"/>
      <c r="I13" s="97"/>
      <c r="J13" s="97"/>
    </row>
    <row r="14" spans="1:18" s="8" customFormat="1" ht="26.1" customHeight="1">
      <c r="A14" s="5" t="s">
        <v>326</v>
      </c>
      <c r="B14" s="13">
        <f>IF(ISERROR(VLOOKUP(222,Suvaha_BO!A:F,4,0)),0,VLOOKUP(222,Suvaha_BO!A:F,4,0))</f>
        <v>0</v>
      </c>
      <c r="C14" s="13">
        <f>IF(ISERROR(VLOOKUP(232,Suvaha_BO!A:F,4,0)),0,VLOOKUP(232,Suvaha_BO!A:F,4,0))</f>
        <v>0</v>
      </c>
      <c r="D14" s="13">
        <f>IF(ISERROR(VLOOKUP(242,Suvaha_BO!A:F,4,0)),0,VLOOKUP(242,Suvaha_BO!A:F,4,0))</f>
        <v>0</v>
      </c>
      <c r="E14" s="13">
        <f>IF(ISERROR(VLOOKUP(252,Suvaha_BO!A:F,4,0)),0,VLOOKUP(252,Suvaha_BO!A:F,4,0))</f>
        <v>0</v>
      </c>
      <c r="F14" s="13">
        <f>IF(ISERROR(VLOOKUP(262,Suvaha_BO!A:F,4,0)),0,VLOOKUP(262,Suvaha_BO!A:F,4,0))</f>
        <v>0</v>
      </c>
      <c r="G14" s="13">
        <f>IF(ISERROR(VLOOKUP(272,Suvaha_BO!A:F,4,0)),0,VLOOKUP(272,Suvaha_BO!A:F,4,0))</f>
        <v>0</v>
      </c>
      <c r="H14" s="13">
        <f>IF(ISERROR(VLOOKUP(282,Suvaha_BO!A:F,4,0)),0,VLOOKUP(282,Suvaha_BO!A:F,4,0))</f>
        <v>0</v>
      </c>
      <c r="I14" s="13">
        <f>IF(ISERROR(VLOOKUP(292,Suvaha_BO!A:F,4,0)),0,VLOOKUP(292,Suvaha_BO!A:F,4,0))</f>
        <v>0</v>
      </c>
      <c r="J14" s="13">
        <f>B14+C14+D14+E14+F14+G14+H14+I14</f>
        <v>0</v>
      </c>
    </row>
    <row r="15" spans="1:18" s="8" customFormat="1" ht="15.95" customHeight="1">
      <c r="A15" s="4" t="s">
        <v>140</v>
      </c>
      <c r="B15" s="13">
        <f>IF(ISERROR(VLOOKUP(222,Suvaha_BO!A:F,6,0)),0,VLOOKUP(222,Suvaha_BO!A:F,6,0))</f>
        <v>0</v>
      </c>
      <c r="C15" s="13">
        <f>IF(ISERROR(VLOOKUP(232,Suvaha_BO!A:F,6,0)),0,VLOOKUP(232,Suvaha_BO!A:F,6,0))</f>
        <v>0</v>
      </c>
      <c r="D15" s="13">
        <f>IF(ISERROR(VLOOKUP(242,Suvaha_BO!A:F,6,0)),0,VLOOKUP(242,Suvaha_BO!A:F,6,0))</f>
        <v>0</v>
      </c>
      <c r="E15" s="13">
        <f>IF(ISERROR(VLOOKUP(252,Suvaha_BO!A:F,6,0)),0,VLOOKUP(252,Suvaha_BO!A:F,6,0))</f>
        <v>0</v>
      </c>
      <c r="F15" s="13">
        <f>IF(ISERROR(VLOOKUP(262,Suvaha_BO!A:F,6,0)),0,VLOOKUP(262,Suvaha_BO!A:F,6,0))</f>
        <v>0</v>
      </c>
      <c r="G15" s="13">
        <f>IF(ISERROR(VLOOKUP(272,Suvaha_BO!A:F,6,0)),0,VLOOKUP(272,Suvaha_BO!A:F,6,0))</f>
        <v>0</v>
      </c>
      <c r="H15" s="13">
        <f>IF(ISERROR(VLOOKUP(282,Suvaha_BO!A:F,6,0)),0,VLOOKUP(282,Suvaha_BO!A:F,6,0))</f>
        <v>0</v>
      </c>
      <c r="I15" s="13">
        <f>IF(ISERROR(VLOOKUP(292,Suvaha_BO!A:F,6,0)),0,VLOOKUP(292,Suvaha_BO!A:F,6,0))</f>
        <v>0</v>
      </c>
      <c r="J15" s="13">
        <f>B15+C15+D15+E15+F15+G15+H15+I15</f>
        <v>0</v>
      </c>
    </row>
    <row r="16" spans="1:18" s="8" customFormat="1" ht="15.95" customHeight="1">
      <c r="A16" s="4" t="s">
        <v>420</v>
      </c>
      <c r="B16" s="13">
        <f>IF(ISERROR(VLOOKUP(222,Suvaha_BO!A:F,5,0)),0,VLOOKUP(222,Suvaha_BO!A:F,5,0))</f>
        <v>0</v>
      </c>
      <c r="C16" s="13">
        <f>IF(ISERROR(VLOOKUP(232,Suvaha_BO!A:F,5,0)),0,VLOOKUP(232,Suvaha_BO!A:F,5,0))</f>
        <v>0</v>
      </c>
      <c r="D16" s="13">
        <f>IF(ISERROR(VLOOKUP(242,Suvaha_BO!A:F,5,0)),0,VLOOKUP(242,Suvaha_BO!A:F,5,0))</f>
        <v>0</v>
      </c>
      <c r="E16" s="13">
        <f>IF(ISERROR(VLOOKUP(252,Suvaha_BO!A:F,5,0)),0,VLOOKUP(252,Suvaha_BO!A:F,5,0))</f>
        <v>0</v>
      </c>
      <c r="F16" s="13">
        <f>IF(ISERROR(VLOOKUP(262,Suvaha_BO!A:F,5,0)),0,VLOOKUP(262,Suvaha_BO!A:F,5,0))</f>
        <v>0</v>
      </c>
      <c r="G16" s="13">
        <f>IF(ISERROR(VLOOKUP(272,Suvaha_BO!A:F,5,0)),0,VLOOKUP(272,Suvaha_BO!A:F,5,0))</f>
        <v>0</v>
      </c>
      <c r="H16" s="13">
        <f>IF(ISERROR(VLOOKUP(282,Suvaha_BO!A:F,5,0)),0,VLOOKUP(282,Suvaha_BO!A:F,5,0))</f>
        <v>0</v>
      </c>
      <c r="I16" s="13">
        <f>IF(ISERROR(VLOOKUP(292,Suvaha_BO!A:F,5,0)),0,VLOOKUP(292,Suvaha_BO!A:F,5,0))</f>
        <v>0</v>
      </c>
      <c r="J16" s="13">
        <f>B16+C16+D16+E16+F16+G16+H16+I16</f>
        <v>0</v>
      </c>
    </row>
    <row r="17" spans="1:10" ht="26.1" customHeight="1">
      <c r="A17" s="5" t="s">
        <v>1280</v>
      </c>
      <c r="B17" s="13">
        <f t="shared" ref="B17:I17" si="1">B14+B15-B16</f>
        <v>0</v>
      </c>
      <c r="C17" s="13">
        <f t="shared" si="1"/>
        <v>0</v>
      </c>
      <c r="D17" s="13">
        <f t="shared" si="1"/>
        <v>0</v>
      </c>
      <c r="E17" s="13">
        <f t="shared" si="1"/>
        <v>0</v>
      </c>
      <c r="F17" s="13">
        <f t="shared" si="1"/>
        <v>0</v>
      </c>
      <c r="G17" s="13">
        <f t="shared" si="1"/>
        <v>0</v>
      </c>
      <c r="H17" s="13">
        <f t="shared" si="1"/>
        <v>0</v>
      </c>
      <c r="I17" s="13">
        <f t="shared" si="1"/>
        <v>0</v>
      </c>
      <c r="J17" s="13">
        <f>B17+C17+D17+E17+F17+G17+H17+I17</f>
        <v>0</v>
      </c>
    </row>
    <row r="18" spans="1:10" ht="15.95" customHeight="1">
      <c r="A18" s="4" t="s">
        <v>1008</v>
      </c>
      <c r="B18" s="97"/>
      <c r="C18" s="97"/>
      <c r="D18" s="97"/>
      <c r="E18" s="97"/>
      <c r="F18" s="97"/>
      <c r="G18" s="97"/>
      <c r="H18" s="97"/>
      <c r="I18" s="97"/>
      <c r="J18" s="97"/>
    </row>
    <row r="19" spans="1:10" ht="26.1" customHeight="1">
      <c r="A19" s="5" t="s">
        <v>326</v>
      </c>
      <c r="B19" s="13">
        <f t="shared" ref="B19:J19" si="2">B8-B14</f>
        <v>0</v>
      </c>
      <c r="C19" s="13">
        <f t="shared" si="2"/>
        <v>0</v>
      </c>
      <c r="D19" s="13">
        <f t="shared" si="2"/>
        <v>0</v>
      </c>
      <c r="E19" s="13">
        <f t="shared" si="2"/>
        <v>0</v>
      </c>
      <c r="F19" s="13">
        <f t="shared" si="2"/>
        <v>0</v>
      </c>
      <c r="G19" s="13">
        <f t="shared" si="2"/>
        <v>0</v>
      </c>
      <c r="H19" s="13">
        <f t="shared" si="2"/>
        <v>0</v>
      </c>
      <c r="I19" s="13">
        <f t="shared" si="2"/>
        <v>0</v>
      </c>
      <c r="J19" s="13">
        <f t="shared" si="2"/>
        <v>0</v>
      </c>
    </row>
    <row r="20" spans="1:10" ht="26.1" customHeight="1">
      <c r="A20" s="5" t="s">
        <v>1280</v>
      </c>
      <c r="B20" s="13">
        <f t="shared" ref="B20:J20" si="3">B12-B17</f>
        <v>0</v>
      </c>
      <c r="C20" s="13">
        <f t="shared" si="3"/>
        <v>0</v>
      </c>
      <c r="D20" s="13">
        <f t="shared" si="3"/>
        <v>0</v>
      </c>
      <c r="E20" s="13">
        <f t="shared" si="3"/>
        <v>0</v>
      </c>
      <c r="F20" s="13">
        <f t="shared" si="3"/>
        <v>0</v>
      </c>
      <c r="G20" s="13">
        <f t="shared" si="3"/>
        <v>0</v>
      </c>
      <c r="H20" s="13">
        <f t="shared" si="3"/>
        <v>0</v>
      </c>
      <c r="I20" s="13">
        <f t="shared" si="3"/>
        <v>0</v>
      </c>
      <c r="J20" s="13">
        <f t="shared" si="3"/>
        <v>0</v>
      </c>
    </row>
    <row r="41" spans="1:18" ht="15.75">
      <c r="A41" s="11" t="s">
        <v>1302</v>
      </c>
    </row>
    <row r="43" spans="1:18" s="2" customFormat="1">
      <c r="A43" s="170" t="s">
        <v>44</v>
      </c>
      <c r="B43" s="169" t="s">
        <v>360</v>
      </c>
      <c r="C43" s="169"/>
      <c r="D43" s="169"/>
      <c r="E43" s="169"/>
      <c r="F43" s="169"/>
      <c r="G43" s="169"/>
      <c r="H43" s="169"/>
      <c r="I43" s="169"/>
      <c r="J43" s="169"/>
      <c r="K43" s="9"/>
      <c r="L43" s="9"/>
      <c r="M43" s="9"/>
      <c r="N43" s="9"/>
      <c r="O43" s="9"/>
      <c r="P43" s="9"/>
      <c r="Q43" s="9"/>
      <c r="R43" s="9"/>
    </row>
    <row r="44" spans="1:18" s="1" customFormat="1" ht="105" customHeight="1">
      <c r="A44" s="171"/>
      <c r="B44" s="7" t="s">
        <v>682</v>
      </c>
      <c r="C44" s="7" t="s">
        <v>215</v>
      </c>
      <c r="D44" s="7" t="s">
        <v>361</v>
      </c>
      <c r="E44" s="7" t="s">
        <v>83</v>
      </c>
      <c r="F44" s="7" t="s">
        <v>210</v>
      </c>
      <c r="G44" s="7" t="s">
        <v>473</v>
      </c>
      <c r="H44" s="7" t="s">
        <v>62</v>
      </c>
      <c r="I44" s="7" t="s">
        <v>7</v>
      </c>
      <c r="J44" s="7" t="s">
        <v>461</v>
      </c>
      <c r="K44" s="10"/>
      <c r="L44" s="10"/>
      <c r="M44" s="10"/>
      <c r="N44" s="10"/>
      <c r="O44" s="10"/>
      <c r="P44" s="10"/>
      <c r="Q44" s="10"/>
      <c r="R44" s="10"/>
    </row>
    <row r="45" spans="1:18">
      <c r="A45" s="47" t="s">
        <v>958</v>
      </c>
      <c r="B45" s="47" t="s">
        <v>1350</v>
      </c>
      <c r="C45" s="47" t="s">
        <v>737</v>
      </c>
      <c r="D45" s="47" t="s">
        <v>226</v>
      </c>
      <c r="E45" s="47" t="s">
        <v>830</v>
      </c>
      <c r="F45" s="47" t="s">
        <v>126</v>
      </c>
      <c r="G45" s="47" t="s">
        <v>707</v>
      </c>
      <c r="H45" s="47" t="s">
        <v>87</v>
      </c>
      <c r="I45" s="47" t="s">
        <v>724</v>
      </c>
      <c r="J45" s="47" t="s">
        <v>229</v>
      </c>
    </row>
    <row r="46" spans="1:18" ht="15.95" customHeight="1">
      <c r="A46" s="46" t="s">
        <v>371</v>
      </c>
      <c r="B46" s="126"/>
      <c r="C46" s="126"/>
      <c r="D46" s="126"/>
      <c r="E46" s="126"/>
      <c r="F46" s="126"/>
      <c r="G46" s="126"/>
      <c r="H46" s="126"/>
      <c r="I46" s="126"/>
      <c r="J46" s="126"/>
    </row>
    <row r="47" spans="1:18" ht="26.1" customHeight="1">
      <c r="A47" s="5" t="s">
        <v>326</v>
      </c>
      <c r="B47" s="13">
        <f>IF(ISERROR(VLOOKUP(221,Suvaha_PO!A:F,4,0)),0,VLOOKUP(221,Suvaha_PO!A:F,4,0))</f>
        <v>0</v>
      </c>
      <c r="C47" s="13">
        <f>IF(ISERROR(VLOOKUP(231,Suvaha_PO!A:F,4,0)),0,VLOOKUP(231,Suvaha_PO!A:F,4,0))</f>
        <v>0</v>
      </c>
      <c r="D47" s="13">
        <f>IF(ISERROR(VLOOKUP(241,Suvaha_PO!A:F,4,0)),0,VLOOKUP(241,Suvaha_PO!A:F,4,0))</f>
        <v>0</v>
      </c>
      <c r="E47" s="13">
        <f>IF(ISERROR(VLOOKUP(251,Suvaha_PO!A:F,4,0)),0,VLOOKUP(251,Suvaha_PO!A:F,4,0))</f>
        <v>0</v>
      </c>
      <c r="F47" s="13">
        <f>IF(ISERROR(VLOOKUP(261,Suvaha_PO!A:F,4,0)),0,VLOOKUP(261,Suvaha_PO!A:F,4,0))</f>
        <v>0</v>
      </c>
      <c r="G47" s="13">
        <f>IF(ISERROR(VLOOKUP(271,Suvaha_PO!A:F,4,0)),0,VLOOKUP(271,Suvaha_PO!A:F,4,0))</f>
        <v>0</v>
      </c>
      <c r="H47" s="13">
        <f>IF(ISERROR(VLOOKUP(281,Suvaha_PO!A:F,4,0)),0,VLOOKUP(281,Suvaha_PO!A:F,4,0))</f>
        <v>0</v>
      </c>
      <c r="I47" s="13">
        <f>IF(ISERROR(VLOOKUP(291,Suvaha_PO!A:F,4,0)),0,VLOOKUP(291,Suvaha_PO!A:F,4,0))</f>
        <v>0</v>
      </c>
      <c r="J47" s="13">
        <f>B47+C47+D47+E47+F47+G47+H47+I47</f>
        <v>0</v>
      </c>
    </row>
    <row r="48" spans="1:18" ht="15.95" customHeight="1">
      <c r="A48" s="4" t="s">
        <v>140</v>
      </c>
      <c r="B48" s="13">
        <f>IF(ISERROR(VLOOKUP(221,Suvaha_PO!A:F,5,0)),0,VLOOKUP(221,Suvaha_PO!A:F,5,0))</f>
        <v>0</v>
      </c>
      <c r="C48" s="13">
        <f>IF(ISERROR(VLOOKUP(231,Suvaha_PO!A:F,5,0)),0,VLOOKUP(231,Suvaha_PO!A:F,5,0))</f>
        <v>0</v>
      </c>
      <c r="D48" s="13">
        <f>IF(ISERROR(VLOOKUP(241,Suvaha_PO!A:F,5,0)),0,VLOOKUP(241,Suvaha_PO!A:F,5,0))</f>
        <v>0</v>
      </c>
      <c r="E48" s="13">
        <f>IF(ISERROR(VLOOKUP(251,Suvaha_PO!A:F,5,0)),0,VLOOKUP(251,Suvaha_PO!A:F,5,0))</f>
        <v>0</v>
      </c>
      <c r="F48" s="13">
        <f>IF(ISERROR(VLOOKUP(261,Suvaha_PO!A:F,5,0)),0,VLOOKUP(261,Suvaha_PO!A:F,5,0))</f>
        <v>0</v>
      </c>
      <c r="G48" s="13">
        <f>IF(ISERROR(VLOOKUP(271,Suvaha_PO!A:F,5,0)),0,VLOOKUP(271,Suvaha_PO!A:F,5,0))</f>
        <v>0</v>
      </c>
      <c r="H48" s="13">
        <f>IF(ISERROR(VLOOKUP(281,Suvaha_PO!A:F,5,0)),0,VLOOKUP(281,Suvaha_PO!A:F,5,0))</f>
        <v>0</v>
      </c>
      <c r="I48" s="13">
        <f>IF(ISERROR(VLOOKUP(291,Suvaha_PO!A:F,5,0)),0,VLOOKUP(291,Suvaha_PO!A:F,5,0))</f>
        <v>0</v>
      </c>
      <c r="J48" s="13">
        <f>B48+C48+D48+E48+F48+G48+H48+I48</f>
        <v>0</v>
      </c>
    </row>
    <row r="49" spans="1:10" ht="15.95" customHeight="1">
      <c r="A49" s="4" t="s">
        <v>420</v>
      </c>
      <c r="B49" s="13">
        <f>IF(ISERROR(VLOOKUP(221,Suvaha_PO!A:F,6,0)),0,VLOOKUP(221,Suvaha_PO!A:F,6,0))</f>
        <v>0</v>
      </c>
      <c r="C49" s="13">
        <f>IF(ISERROR(VLOOKUP(231,Suvaha_PO!A:F,6,0)),0,VLOOKUP(231,Suvaha_PO!A:F,6,0))</f>
        <v>0</v>
      </c>
      <c r="D49" s="13">
        <f>IF(ISERROR(VLOOKUP(241,Suvaha_PO!A:F,6,0)),0,VLOOKUP(241,Suvaha_PO!A:F,6,0))</f>
        <v>0</v>
      </c>
      <c r="E49" s="13">
        <f>IF(ISERROR(VLOOKUP(251,Suvaha_PO!A:F,6,0)),0,VLOOKUP(251,Suvaha_PO!A:F,6,0))</f>
        <v>0</v>
      </c>
      <c r="F49" s="13">
        <f>IF(ISERROR(VLOOKUP(261,Suvaha_PO!A:F,6,0)),0,VLOOKUP(261,Suvaha_PO!A:F,6,0))</f>
        <v>0</v>
      </c>
      <c r="G49" s="13">
        <f>IF(ISERROR(VLOOKUP(271,Suvaha_PO!A:F,6,0)),0,VLOOKUP(271,Suvaha_PO!A:F,6,0))</f>
        <v>0</v>
      </c>
      <c r="H49" s="13">
        <f>IF(ISERROR(VLOOKUP(281,Suvaha_PO!A:F,6,0)),0,VLOOKUP(281,Suvaha_PO!A:F,6,0))</f>
        <v>0</v>
      </c>
      <c r="I49" s="13">
        <f>IF(ISERROR(VLOOKUP(291,Suvaha_PO!A:F,6,0)),0,VLOOKUP(291,Suvaha_PO!A:F,6,0))</f>
        <v>0</v>
      </c>
      <c r="J49" s="13">
        <f>B49+C49+D49+E49+F49+G49+H49+I49</f>
        <v>0</v>
      </c>
    </row>
    <row r="50" spans="1:10" ht="15.95" customHeight="1">
      <c r="A50" s="4" t="s">
        <v>948</v>
      </c>
      <c r="B50" s="13"/>
      <c r="C50" s="13"/>
      <c r="D50" s="13"/>
      <c r="E50" s="13"/>
      <c r="F50" s="13"/>
      <c r="G50" s="13"/>
      <c r="H50" s="13"/>
      <c r="I50" s="13"/>
      <c r="J50" s="13">
        <f>B50+C50+D50+E50+F50+G50+H50+I50</f>
        <v>0</v>
      </c>
    </row>
    <row r="51" spans="1:10" ht="26.1" customHeight="1">
      <c r="A51" s="5" t="s">
        <v>1280</v>
      </c>
      <c r="B51" s="13">
        <f t="shared" ref="B51:I51" si="4">B47+B48-B49-B50</f>
        <v>0</v>
      </c>
      <c r="C51" s="13">
        <f t="shared" si="4"/>
        <v>0</v>
      </c>
      <c r="D51" s="13">
        <f t="shared" si="4"/>
        <v>0</v>
      </c>
      <c r="E51" s="13">
        <f t="shared" si="4"/>
        <v>0</v>
      </c>
      <c r="F51" s="13">
        <f t="shared" si="4"/>
        <v>0</v>
      </c>
      <c r="G51" s="13">
        <f t="shared" si="4"/>
        <v>0</v>
      </c>
      <c r="H51" s="13">
        <f t="shared" si="4"/>
        <v>0</v>
      </c>
      <c r="I51" s="13">
        <f t="shared" si="4"/>
        <v>0</v>
      </c>
      <c r="J51" s="13">
        <f>B51+C51+D51+E51+F51+G51+H51+I51</f>
        <v>0</v>
      </c>
    </row>
    <row r="52" spans="1:10" ht="15.95" customHeight="1">
      <c r="A52" s="4" t="s">
        <v>1244</v>
      </c>
      <c r="B52" s="97"/>
      <c r="C52" s="97"/>
      <c r="D52" s="97"/>
      <c r="E52" s="97"/>
      <c r="F52" s="97"/>
      <c r="G52" s="97"/>
      <c r="H52" s="97"/>
      <c r="I52" s="97"/>
      <c r="J52" s="97"/>
    </row>
    <row r="53" spans="1:10" ht="26.1" customHeight="1">
      <c r="A53" s="5" t="s">
        <v>326</v>
      </c>
      <c r="B53" s="13">
        <f>IF(ISERROR(VLOOKUP(222,Suvaha_PO!A:F,4,0)),0,VLOOKUP(222,Suvaha_PO!A:F,4,0))</f>
        <v>0</v>
      </c>
      <c r="C53" s="13">
        <f>IF(ISERROR(VLOOKUP(232,Suvaha_PO!A:F,4,0)),0,VLOOKUP(232,Suvaha_PO!A:F,4,0))</f>
        <v>0</v>
      </c>
      <c r="D53" s="13">
        <f>IF(ISERROR(VLOOKUP(242,Suvaha_PO!A:F,4,0)),0,VLOOKUP(242,Suvaha_PO!A:F,4,0))</f>
        <v>0</v>
      </c>
      <c r="E53" s="13">
        <f>IF(ISERROR(VLOOKUP(252,Suvaha_PO!A:F,4,0)),0,VLOOKUP(252,Suvaha_PO!A:F,4,0))</f>
        <v>0</v>
      </c>
      <c r="F53" s="13">
        <f>IF(ISERROR(VLOOKUP(262,Suvaha_PO!A:F,4,0)),0,VLOOKUP(262,Suvaha_PO!A:F,4,0))</f>
        <v>0</v>
      </c>
      <c r="G53" s="13">
        <f>IF(ISERROR(VLOOKUP(272,Suvaha_PO!A:F,4,0)),0,VLOOKUP(272,Suvaha_PO!A:F,4,0))</f>
        <v>0</v>
      </c>
      <c r="H53" s="13">
        <f>IF(ISERROR(VLOOKUP(282,Suvaha_PO!A:F,4,0)),0,VLOOKUP(282,Suvaha_PO!A:F,4,0))</f>
        <v>0</v>
      </c>
      <c r="I53" s="13">
        <f>IF(ISERROR(VLOOKUP(292,Suvaha_PO!A:F,4,0)),0,VLOOKUP(292,Suvaha_PO!A:F,4,0))</f>
        <v>0</v>
      </c>
      <c r="J53" s="13">
        <f>B53+C53+D53+E53+F53+G53+H53+I53</f>
        <v>0</v>
      </c>
    </row>
    <row r="54" spans="1:10" ht="15.95" customHeight="1">
      <c r="A54" s="4" t="s">
        <v>140</v>
      </c>
      <c r="B54" s="13">
        <f>IF(ISERROR(VLOOKUP(222,Suvaha_PO!A:F,6,0)),0,VLOOKUP(222,Suvaha_PO!A:F,6,0))</f>
        <v>0</v>
      </c>
      <c r="C54" s="13">
        <f>IF(ISERROR(VLOOKUP(232,Suvaha_PO!A:F,6,0)),0,VLOOKUP(232,Suvaha_PO!A:F,6,0))</f>
        <v>0</v>
      </c>
      <c r="D54" s="13">
        <f>IF(ISERROR(VLOOKUP(242,Suvaha_PO!A:F,6,0)),0,VLOOKUP(242,Suvaha_PO!A:F,6,0))</f>
        <v>0</v>
      </c>
      <c r="E54" s="13">
        <f>IF(ISERROR(VLOOKUP(252,Suvaha_PO!A:F,6,0)),0,VLOOKUP(252,Suvaha_PO!A:F,6,0))</f>
        <v>0</v>
      </c>
      <c r="F54" s="13">
        <f>IF(ISERROR(VLOOKUP(262,Suvaha_PO!A:F,6,0)),0,VLOOKUP(262,Suvaha_PO!A:F,6,0))</f>
        <v>0</v>
      </c>
      <c r="G54" s="13">
        <f>IF(ISERROR(VLOOKUP(272,Suvaha_PO!A:F,6,0)),0,VLOOKUP(272,Suvaha_PO!A:F,6,0))</f>
        <v>0</v>
      </c>
      <c r="H54" s="13">
        <f>IF(ISERROR(VLOOKUP(282,Suvaha_PO!A:F,6,0)),0,VLOOKUP(282,Suvaha_PO!A:F,6,0))</f>
        <v>0</v>
      </c>
      <c r="I54" s="13">
        <f>IF(ISERROR(VLOOKUP(292,Suvaha_PO!A:F,6,0)),0,VLOOKUP(292,Suvaha_PO!A:F,6,0))</f>
        <v>0</v>
      </c>
      <c r="J54" s="13">
        <f>B54+C54+D54+E54+F54+G54+H54+I54</f>
        <v>0</v>
      </c>
    </row>
    <row r="55" spans="1:10" ht="15.95" customHeight="1">
      <c r="A55" s="4" t="s">
        <v>420</v>
      </c>
      <c r="B55" s="13">
        <f>IF(ISERROR(VLOOKUP(222,Suvaha_PO!A:F,5,0)),0,VLOOKUP(222,Suvaha_PO!A:F,5,0))</f>
        <v>0</v>
      </c>
      <c r="C55" s="13">
        <f>IF(ISERROR(VLOOKUP(232,Suvaha_PO!A:F,5,0)),0,VLOOKUP(232,Suvaha_PO!A:F,5,0))</f>
        <v>0</v>
      </c>
      <c r="D55" s="13">
        <f>IF(ISERROR(VLOOKUP(242,Suvaha_PO!A:F,5,0)),0,VLOOKUP(242,Suvaha_PO!A:F,5,0))</f>
        <v>0</v>
      </c>
      <c r="E55" s="13">
        <f>IF(ISERROR(VLOOKUP(252,Suvaha_PO!A:F,5,0)),0,VLOOKUP(252,Suvaha_PO!A:F,5,0))</f>
        <v>0</v>
      </c>
      <c r="F55" s="13">
        <f>IF(ISERROR(VLOOKUP(262,Suvaha_PO!A:F,5,0)),0,VLOOKUP(262,Suvaha_PO!A:F,5,0))</f>
        <v>0</v>
      </c>
      <c r="G55" s="13">
        <f>IF(ISERROR(VLOOKUP(272,Suvaha_PO!A:F,5,0)),0,VLOOKUP(272,Suvaha_PO!A:F,5,0))</f>
        <v>0</v>
      </c>
      <c r="H55" s="13">
        <f>IF(ISERROR(VLOOKUP(282,Suvaha_PO!A:F,5,0)),0,VLOOKUP(282,Suvaha_PO!A:F,5,0))</f>
        <v>0</v>
      </c>
      <c r="I55" s="13">
        <f>IF(ISERROR(VLOOKUP(292,Suvaha_PO!A:F,5,0)),0,VLOOKUP(292,Suvaha_PO!A:F,5,0))</f>
        <v>0</v>
      </c>
      <c r="J55" s="13">
        <f>B55+C55+D55+E55+F55+G55+H55+I55</f>
        <v>0</v>
      </c>
    </row>
    <row r="56" spans="1:10" ht="26.1" customHeight="1">
      <c r="A56" s="5" t="s">
        <v>1280</v>
      </c>
      <c r="B56" s="13">
        <f t="shared" ref="B56:I56" si="5">B53+B54-B55</f>
        <v>0</v>
      </c>
      <c r="C56" s="13">
        <f t="shared" si="5"/>
        <v>0</v>
      </c>
      <c r="D56" s="13">
        <f t="shared" si="5"/>
        <v>0</v>
      </c>
      <c r="E56" s="13">
        <f t="shared" si="5"/>
        <v>0</v>
      </c>
      <c r="F56" s="13">
        <f t="shared" si="5"/>
        <v>0</v>
      </c>
      <c r="G56" s="13">
        <f t="shared" si="5"/>
        <v>0</v>
      </c>
      <c r="H56" s="13">
        <f t="shared" si="5"/>
        <v>0</v>
      </c>
      <c r="I56" s="13">
        <f t="shared" si="5"/>
        <v>0</v>
      </c>
      <c r="J56" s="13">
        <f>B56+C56+D56+E56+F56+G56+H56+I56</f>
        <v>0</v>
      </c>
    </row>
    <row r="57" spans="1:10" ht="15.95" customHeight="1">
      <c r="A57" s="4" t="s">
        <v>1008</v>
      </c>
      <c r="B57" s="97"/>
      <c r="C57" s="97"/>
      <c r="D57" s="97"/>
      <c r="E57" s="97"/>
      <c r="F57" s="97"/>
      <c r="G57" s="97"/>
      <c r="H57" s="97"/>
      <c r="I57" s="97"/>
      <c r="J57" s="97"/>
    </row>
    <row r="58" spans="1:10" ht="26.1" customHeight="1">
      <c r="A58" s="5" t="s">
        <v>326</v>
      </c>
      <c r="B58" s="13">
        <f t="shared" ref="B58:J58" si="6">B47-B53</f>
        <v>0</v>
      </c>
      <c r="C58" s="13">
        <f t="shared" si="6"/>
        <v>0</v>
      </c>
      <c r="D58" s="13">
        <f t="shared" si="6"/>
        <v>0</v>
      </c>
      <c r="E58" s="13">
        <f t="shared" si="6"/>
        <v>0</v>
      </c>
      <c r="F58" s="13">
        <f t="shared" si="6"/>
        <v>0</v>
      </c>
      <c r="G58" s="13">
        <f t="shared" si="6"/>
        <v>0</v>
      </c>
      <c r="H58" s="13">
        <f t="shared" si="6"/>
        <v>0</v>
      </c>
      <c r="I58" s="13">
        <f t="shared" si="6"/>
        <v>0</v>
      </c>
      <c r="J58" s="13">
        <f t="shared" si="6"/>
        <v>0</v>
      </c>
    </row>
    <row r="59" spans="1:10" ht="26.1" customHeight="1">
      <c r="A59" s="5" t="s">
        <v>1280</v>
      </c>
      <c r="B59" s="13">
        <f t="shared" ref="B59:J59" si="7">B51-B56</f>
        <v>0</v>
      </c>
      <c r="C59" s="13">
        <f t="shared" si="7"/>
        <v>0</v>
      </c>
      <c r="D59" s="13">
        <f t="shared" si="7"/>
        <v>0</v>
      </c>
      <c r="E59" s="13">
        <f t="shared" si="7"/>
        <v>0</v>
      </c>
      <c r="F59" s="13">
        <f t="shared" si="7"/>
        <v>0</v>
      </c>
      <c r="G59" s="13">
        <f t="shared" si="7"/>
        <v>0</v>
      </c>
      <c r="H59" s="13">
        <f t="shared" si="7"/>
        <v>0</v>
      </c>
      <c r="I59" s="13">
        <f t="shared" si="7"/>
        <v>0</v>
      </c>
      <c r="J59" s="13">
        <f t="shared" si="7"/>
        <v>0</v>
      </c>
    </row>
  </sheetData>
  <sheetCalcPr fullCalcOnLoad="1"/>
  <sheetProtection sheet="1"/>
  <mergeCells count="10">
    <mergeCell ref="B57:J57"/>
    <mergeCell ref="A4:A5"/>
    <mergeCell ref="B4:J4"/>
    <mergeCell ref="B7:J7"/>
    <mergeCell ref="B13:J13"/>
    <mergeCell ref="B18:J18"/>
    <mergeCell ref="A43:A44"/>
    <mergeCell ref="B43:J43"/>
    <mergeCell ref="B46:J46"/>
    <mergeCell ref="B52:J52"/>
  </mergeCells>
  <phoneticPr fontId="0" type="noConversion"/>
  <pageMargins left="0.7" right="0.7" top="0.75" bottom="0.75" header="0.3" footer="0.3"/>
  <pageSetup paperSize="9" scale="9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2:I26"/>
  <sheetViews>
    <sheetView topLeftCell="A11" workbookViewId="0"/>
  </sheetViews>
  <sheetFormatPr defaultRowHeight="15"/>
  <cols>
    <col min="1" max="1" width="20.7109375" customWidth="1"/>
    <col min="2" max="7" width="10.7109375" customWidth="1"/>
  </cols>
  <sheetData>
    <row r="2" spans="1:9" ht="15.75">
      <c r="A2" s="11" t="s">
        <v>200</v>
      </c>
    </row>
    <row r="3" spans="1:9" ht="15.75">
      <c r="A3" s="11"/>
    </row>
    <row r="4" spans="1:9" ht="60" customHeight="1">
      <c r="A4" s="33" t="s">
        <v>64</v>
      </c>
      <c r="B4" s="34" t="s">
        <v>808</v>
      </c>
      <c r="C4" s="33" t="s">
        <v>326</v>
      </c>
      <c r="D4" s="33" t="s">
        <v>65</v>
      </c>
      <c r="E4" s="33" t="s">
        <v>155</v>
      </c>
      <c r="F4" s="33" t="s">
        <v>340</v>
      </c>
      <c r="G4" s="33" t="s">
        <v>1280</v>
      </c>
    </row>
    <row r="5" spans="1:9">
      <c r="A5" s="44" t="s">
        <v>958</v>
      </c>
      <c r="B5" s="44" t="s">
        <v>1350</v>
      </c>
      <c r="C5" s="44" t="s">
        <v>737</v>
      </c>
      <c r="D5" s="44" t="s">
        <v>226</v>
      </c>
      <c r="E5" s="44" t="s">
        <v>830</v>
      </c>
      <c r="F5" s="44" t="s">
        <v>126</v>
      </c>
      <c r="G5" s="44" t="s">
        <v>707</v>
      </c>
    </row>
    <row r="6" spans="1:9" ht="35.1" customHeight="1">
      <c r="A6" s="45" t="s">
        <v>1276</v>
      </c>
      <c r="B6" s="43"/>
      <c r="C6" s="43"/>
      <c r="D6" s="43"/>
      <c r="E6" s="43"/>
      <c r="F6" s="43"/>
      <c r="G6" s="43">
        <f>C6+D6-E6-F6</f>
        <v>0</v>
      </c>
    </row>
    <row r="7" spans="1:9" ht="35.1" customHeight="1">
      <c r="A7" s="35" t="s">
        <v>891</v>
      </c>
      <c r="B7" s="38"/>
      <c r="C7" s="38"/>
      <c r="D7" s="38"/>
      <c r="E7" s="38"/>
      <c r="F7" s="38"/>
      <c r="G7" s="38">
        <f>C7+D7-E7-F7</f>
        <v>0</v>
      </c>
    </row>
    <row r="8" spans="1:9" ht="35.1" customHeight="1">
      <c r="A8" s="35" t="s">
        <v>851</v>
      </c>
      <c r="B8" s="38"/>
      <c r="C8" s="38"/>
      <c r="D8" s="38"/>
      <c r="E8" s="38"/>
      <c r="F8" s="38"/>
      <c r="G8" s="38">
        <f>C8+D8-E8-F8</f>
        <v>0</v>
      </c>
    </row>
    <row r="9" spans="1:9" ht="35.1" customHeight="1">
      <c r="A9" s="35" t="s">
        <v>896</v>
      </c>
      <c r="B9" s="38"/>
      <c r="C9" s="38"/>
      <c r="D9" s="38"/>
      <c r="E9" s="38"/>
      <c r="F9" s="38"/>
      <c r="G9" s="38">
        <f>C9+D9-E9-F9</f>
        <v>0</v>
      </c>
    </row>
    <row r="10" spans="1:9" ht="35.1" customHeight="1">
      <c r="A10" s="36" t="s">
        <v>698</v>
      </c>
      <c r="B10" s="37" t="s">
        <v>623</v>
      </c>
      <c r="C10" s="38">
        <f>SUM(C6:C9)</f>
        <v>0</v>
      </c>
      <c r="D10" s="38">
        <f>SUM(D6:D9)</f>
        <v>0</v>
      </c>
      <c r="E10" s="38">
        <f>SUM(E6:E9)</f>
        <v>0</v>
      </c>
      <c r="F10" s="38">
        <f>SUM(F6:F9)</f>
        <v>0</v>
      </c>
      <c r="G10" s="38">
        <f>SUM(G6:G9)</f>
        <v>0</v>
      </c>
    </row>
    <row r="12" spans="1:9" ht="15.75">
      <c r="A12" s="11" t="s">
        <v>745</v>
      </c>
    </row>
    <row r="13" spans="1:9">
      <c r="A13" s="17"/>
      <c r="B13" s="15"/>
      <c r="C13" s="15"/>
      <c r="D13" s="15"/>
      <c r="E13" s="15"/>
      <c r="F13" s="15"/>
      <c r="G13" s="15"/>
      <c r="H13" s="15"/>
      <c r="I13" s="15"/>
    </row>
    <row r="14" spans="1:9" ht="60" customHeight="1">
      <c r="A14" s="189" t="s">
        <v>910</v>
      </c>
      <c r="B14" s="190"/>
      <c r="C14" s="33" t="s">
        <v>326</v>
      </c>
      <c r="D14" s="33" t="s">
        <v>65</v>
      </c>
      <c r="E14" s="33" t="s">
        <v>155</v>
      </c>
      <c r="F14" s="33" t="s">
        <v>29</v>
      </c>
      <c r="G14" s="33" t="s">
        <v>1280</v>
      </c>
    </row>
    <row r="15" spans="1:9">
      <c r="A15" s="191" t="s">
        <v>958</v>
      </c>
      <c r="B15" s="110"/>
      <c r="C15" s="44" t="s">
        <v>1350</v>
      </c>
      <c r="D15" s="44" t="s">
        <v>737</v>
      </c>
      <c r="E15" s="44" t="s">
        <v>226</v>
      </c>
      <c r="F15" s="44" t="s">
        <v>830</v>
      </c>
      <c r="G15" s="44" t="s">
        <v>126</v>
      </c>
    </row>
    <row r="16" spans="1:9" ht="30" customHeight="1">
      <c r="A16" s="192" t="s">
        <v>1276</v>
      </c>
      <c r="B16" s="193"/>
      <c r="C16" s="43"/>
      <c r="D16" s="43"/>
      <c r="E16" s="43"/>
      <c r="F16" s="43"/>
      <c r="G16" s="43">
        <f>C16+D16-E16-F16</f>
        <v>0</v>
      </c>
    </row>
    <row r="17" spans="1:7" ht="30" customHeight="1">
      <c r="A17" s="187" t="s">
        <v>891</v>
      </c>
      <c r="B17" s="188"/>
      <c r="C17" s="38"/>
      <c r="D17" s="38"/>
      <c r="E17" s="38"/>
      <c r="F17" s="38"/>
      <c r="G17" s="38">
        <f>C17+D17-E17-F17</f>
        <v>0</v>
      </c>
    </row>
    <row r="18" spans="1:7" ht="30" customHeight="1">
      <c r="A18" s="187" t="s">
        <v>851</v>
      </c>
      <c r="B18" s="188"/>
      <c r="C18" s="38"/>
      <c r="D18" s="38"/>
      <c r="E18" s="38"/>
      <c r="F18" s="38"/>
      <c r="G18" s="38">
        <f>C18+D18-E18-F18</f>
        <v>0</v>
      </c>
    </row>
    <row r="19" spans="1:7" ht="30" customHeight="1">
      <c r="A19" s="187" t="s">
        <v>896</v>
      </c>
      <c r="B19" s="188"/>
      <c r="C19" s="38"/>
      <c r="D19" s="38"/>
      <c r="E19" s="38"/>
      <c r="F19" s="38"/>
      <c r="G19" s="38">
        <f>C19+D19-E19-F19</f>
        <v>0</v>
      </c>
    </row>
    <row r="20" spans="1:7" ht="30" customHeight="1">
      <c r="A20" s="198" t="s">
        <v>1236</v>
      </c>
      <c r="B20" s="188"/>
      <c r="C20" s="38">
        <f>SUM(C16:C19)</f>
        <v>0</v>
      </c>
      <c r="D20" s="38">
        <f>SUM(D16:D19)</f>
        <v>0</v>
      </c>
      <c r="E20" s="38">
        <f>SUM(E16:E19)</f>
        <v>0</v>
      </c>
      <c r="F20" s="38">
        <f>SUM(F16:F19)</f>
        <v>0</v>
      </c>
      <c r="G20" s="38">
        <f>SUM(G16:G19)</f>
        <v>0</v>
      </c>
    </row>
    <row r="22" spans="1:7" ht="30" customHeight="1">
      <c r="A22" s="133" t="s">
        <v>978</v>
      </c>
      <c r="B22" s="134"/>
      <c r="C22" s="134"/>
      <c r="D22" s="134"/>
      <c r="E22" s="134"/>
      <c r="F22" s="134"/>
      <c r="G22" s="134"/>
    </row>
    <row r="23" spans="1:7" ht="15.75">
      <c r="A23" s="11"/>
    </row>
    <row r="24" spans="1:7" ht="15" customHeight="1">
      <c r="A24" s="199" t="s">
        <v>44</v>
      </c>
      <c r="B24" s="199"/>
      <c r="C24" s="199"/>
      <c r="D24" s="199" t="s">
        <v>500</v>
      </c>
      <c r="E24" s="199"/>
      <c r="F24" s="199"/>
      <c r="G24" s="200"/>
    </row>
    <row r="25" spans="1:7" ht="24.95" customHeight="1">
      <c r="A25" s="194" t="s">
        <v>134</v>
      </c>
      <c r="B25" s="194"/>
      <c r="C25" s="194"/>
      <c r="D25" s="195"/>
      <c r="E25" s="195"/>
      <c r="F25" s="195"/>
      <c r="G25" s="195"/>
    </row>
    <row r="26" spans="1:7" ht="24.95" customHeight="1">
      <c r="A26" s="196" t="s">
        <v>814</v>
      </c>
      <c r="B26" s="196"/>
      <c r="C26" s="196"/>
      <c r="D26" s="197"/>
      <c r="E26" s="197"/>
      <c r="F26" s="197"/>
      <c r="G26" s="197"/>
    </row>
  </sheetData>
  <sheetProtection sheet="1"/>
  <mergeCells count="14">
    <mergeCell ref="A25:C25"/>
    <mergeCell ref="D25:G25"/>
    <mergeCell ref="A26:C26"/>
    <mergeCell ref="D26:G26"/>
    <mergeCell ref="A22:G22"/>
    <mergeCell ref="A20:B20"/>
    <mergeCell ref="A24:C24"/>
    <mergeCell ref="D24:G24"/>
    <mergeCell ref="A18:B18"/>
    <mergeCell ref="A19:B19"/>
    <mergeCell ref="A14:B14"/>
    <mergeCell ref="A15:B15"/>
    <mergeCell ref="A16:B16"/>
    <mergeCell ref="A17:B17"/>
  </mergeCells>
  <phoneticPr fontId="0" type="noConversion"/>
  <pageMargins left="0.7" right="0.7" top="0.75" bottom="0.75" header="0.3" footer="0.3"/>
  <pageSetup paperSize="9" scale="9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2:H32"/>
  <sheetViews>
    <sheetView workbookViewId="0">
      <selection activeCell="A17" sqref="A17:C17"/>
    </sheetView>
  </sheetViews>
  <sheetFormatPr defaultRowHeight="15"/>
  <cols>
    <col min="1" max="8" width="10.7109375" customWidth="1"/>
  </cols>
  <sheetData>
    <row r="2" spans="1:8" ht="15.75">
      <c r="A2" s="11" t="s">
        <v>560</v>
      </c>
    </row>
    <row r="4" spans="1:8" ht="24.95" customHeight="1">
      <c r="A4" s="204" t="s">
        <v>205</v>
      </c>
      <c r="B4" s="204"/>
      <c r="C4" s="183" t="s">
        <v>1092</v>
      </c>
      <c r="D4" s="183"/>
      <c r="E4" s="215" t="s">
        <v>1187</v>
      </c>
      <c r="F4" s="215"/>
      <c r="G4" s="215"/>
      <c r="H4" s="215"/>
    </row>
    <row r="5" spans="1:8" ht="24.95" customHeight="1">
      <c r="A5" s="205"/>
      <c r="B5" s="205"/>
      <c r="C5" s="199"/>
      <c r="D5" s="199"/>
      <c r="E5" s="205" t="s">
        <v>332</v>
      </c>
      <c r="F5" s="205"/>
      <c r="G5" s="199" t="s">
        <v>198</v>
      </c>
      <c r="H5" s="199"/>
    </row>
    <row r="6" spans="1:8" ht="15" customHeight="1">
      <c r="A6" s="206"/>
      <c r="B6" s="207"/>
      <c r="C6" s="206"/>
      <c r="D6" s="207"/>
      <c r="E6" s="211"/>
      <c r="F6" s="212"/>
      <c r="G6" s="211"/>
      <c r="H6" s="212"/>
    </row>
    <row r="7" spans="1:8" ht="15" customHeight="1">
      <c r="A7" s="209"/>
      <c r="B7" s="210"/>
      <c r="C7" s="209"/>
      <c r="D7" s="210"/>
      <c r="E7" s="213"/>
      <c r="F7" s="214"/>
      <c r="G7" s="213"/>
      <c r="H7" s="214"/>
    </row>
    <row r="9" spans="1:8" ht="15.75">
      <c r="A9" s="11" t="s">
        <v>1043</v>
      </c>
    </row>
    <row r="11" spans="1:8" ht="60">
      <c r="A11" s="183" t="s">
        <v>556</v>
      </c>
      <c r="B11" s="138"/>
      <c r="C11" s="138"/>
      <c r="D11" s="33" t="s">
        <v>934</v>
      </c>
      <c r="E11" s="33" t="s">
        <v>545</v>
      </c>
      <c r="F11" s="33" t="s">
        <v>282</v>
      </c>
      <c r="G11" s="33" t="s">
        <v>450</v>
      </c>
      <c r="H11" s="33" t="s">
        <v>1328</v>
      </c>
    </row>
    <row r="12" spans="1:8">
      <c r="A12" s="208" t="s">
        <v>958</v>
      </c>
      <c r="B12" s="208"/>
      <c r="C12" s="208"/>
      <c r="D12" s="44" t="s">
        <v>1350</v>
      </c>
      <c r="E12" s="44" t="s">
        <v>737</v>
      </c>
      <c r="F12" s="44" t="s">
        <v>226</v>
      </c>
      <c r="G12" s="44" t="s">
        <v>830</v>
      </c>
      <c r="H12" s="44" t="s">
        <v>126</v>
      </c>
    </row>
    <row r="13" spans="1:8" ht="24.95" customHeight="1">
      <c r="A13" s="202" t="s">
        <v>588</v>
      </c>
      <c r="B13" s="202"/>
      <c r="C13" s="202"/>
      <c r="D13" s="43">
        <f>IF(ISERROR(VLOOKUP(322,Suvaha_BO!A:F,4,0)),0,VLOOKUP(322,Suvaha_BO!A:F,4,0))</f>
        <v>0</v>
      </c>
      <c r="E13" s="43">
        <f>IF(ISERROR(VLOOKUP(322,Suvaha_BO!A:F,6,0)),0,VLOOKUP(322,Suvaha_BO!A:F,6,0))</f>
        <v>0</v>
      </c>
      <c r="F13" s="43">
        <f>IF(ISERROR(VLOOKUP(322,Suvaha_BO!A:F,5,0)),0,VLOOKUP(322,Suvaha_BO!A:F,5,0))</f>
        <v>0</v>
      </c>
      <c r="G13" s="43"/>
      <c r="H13" s="43">
        <f t="shared" ref="H13:H19" si="0">D13+E13-F13-G13</f>
        <v>0</v>
      </c>
    </row>
    <row r="14" spans="1:8" ht="24.95" customHeight="1">
      <c r="A14" s="201" t="s">
        <v>853</v>
      </c>
      <c r="B14" s="201"/>
      <c r="C14" s="201"/>
      <c r="D14" s="38">
        <f>IF(ISERROR(VLOOKUP(332,Suvaha_BO!A:F,4,0)),0,VLOOKUP(332,Suvaha_BO!A:F,4,0))</f>
        <v>0</v>
      </c>
      <c r="E14" s="38">
        <f>IF(ISERROR(VLOOKUP(332,Suvaha_BO!A:F,6,0)),0,VLOOKUP(332,Suvaha_BO!A:F,6,0))</f>
        <v>0</v>
      </c>
      <c r="F14" s="38">
        <f>IF(ISERROR(VLOOKUP(332,Suvaha_BO!A:F,5,0)),0,VLOOKUP(332,Suvaha_BO!A:F,5,0))</f>
        <v>0</v>
      </c>
      <c r="G14" s="38"/>
      <c r="H14" s="38">
        <f t="shared" si="0"/>
        <v>0</v>
      </c>
    </row>
    <row r="15" spans="1:8" ht="24.95" customHeight="1">
      <c r="A15" s="201" t="s">
        <v>714</v>
      </c>
      <c r="B15" s="201"/>
      <c r="C15" s="201"/>
      <c r="D15" s="38">
        <f>IF(ISERROR(VLOOKUP(342,Suvaha_BO!A:F,4,0)),0,VLOOKUP(342,Suvaha_BO!A:F,4,0))</f>
        <v>0</v>
      </c>
      <c r="E15" s="38">
        <f>IF(ISERROR(VLOOKUP(342,Suvaha_BO!A:F,6,0)),0,VLOOKUP(342,Suvaha_BO!A:F,6,0))</f>
        <v>0</v>
      </c>
      <c r="F15" s="38">
        <f>IF(ISERROR(VLOOKUP(342,Suvaha_BO!A:F,5,0)),0,VLOOKUP(342,Suvaha_BO!A:F,5,0))</f>
        <v>0</v>
      </c>
      <c r="G15" s="38"/>
      <c r="H15" s="38">
        <f t="shared" si="0"/>
        <v>0</v>
      </c>
    </row>
    <row r="16" spans="1:8" ht="24.95" customHeight="1">
      <c r="A16" s="201" t="s">
        <v>256</v>
      </c>
      <c r="B16" s="201"/>
      <c r="C16" s="201"/>
      <c r="D16" s="38">
        <f>IF(ISERROR(VLOOKUP(352,Suvaha_BO!A:F,4,0)),0,VLOOKUP(352,Suvaha_BO!A:F,4,0))</f>
        <v>0</v>
      </c>
      <c r="E16" s="38">
        <f>IF(ISERROR(VLOOKUP(352,Suvaha_BO!A:F,6,0)),0,VLOOKUP(352,Suvaha_BO!A:F,6,0))</f>
        <v>0</v>
      </c>
      <c r="F16" s="38">
        <f>IF(ISERROR(VLOOKUP(352,Suvaha_BO!A:F,5,0)),0,VLOOKUP(352,Suvaha_BO!A:F,5,0))</f>
        <v>0</v>
      </c>
      <c r="G16" s="38"/>
      <c r="H16" s="38">
        <f t="shared" si="0"/>
        <v>0</v>
      </c>
    </row>
    <row r="17" spans="1:8" ht="24.95" customHeight="1">
      <c r="A17" s="201" t="s">
        <v>844</v>
      </c>
      <c r="B17" s="201"/>
      <c r="C17" s="201"/>
      <c r="D17" s="38">
        <f>IF(ISERROR(VLOOKUP(362,Suvaha_BO!A:F,4,0)),0,VLOOKUP(362,Suvaha_BO!A:F,4,0))</f>
        <v>0</v>
      </c>
      <c r="E17" s="38">
        <f>IF(ISERROR(VLOOKUP(362,Suvaha_BO!A:F,6,0)),0,VLOOKUP(362,Suvaha_BO!A:F,6,0))</f>
        <v>1112225.7799999998</v>
      </c>
      <c r="F17" s="38">
        <f>IF(ISERROR(VLOOKUP(362,Suvaha_BO!A:F,5,0)),0,VLOOKUP(362,Suvaha_BO!A:F,5,0))</f>
        <v>1112225.7799999998</v>
      </c>
      <c r="G17" s="38"/>
      <c r="H17" s="38">
        <f t="shared" si="0"/>
        <v>0</v>
      </c>
    </row>
    <row r="18" spans="1:8" ht="24.95" customHeight="1">
      <c r="A18" s="201" t="s">
        <v>1091</v>
      </c>
      <c r="B18" s="201"/>
      <c r="C18" s="201"/>
      <c r="D18" s="38"/>
      <c r="E18" s="38"/>
      <c r="F18" s="38"/>
      <c r="G18" s="38"/>
      <c r="H18" s="38">
        <f t="shared" si="0"/>
        <v>0</v>
      </c>
    </row>
    <row r="19" spans="1:8" ht="24.95" customHeight="1">
      <c r="A19" s="201" t="s">
        <v>550</v>
      </c>
      <c r="B19" s="201"/>
      <c r="C19" s="201"/>
      <c r="D19" s="38">
        <f>IF(ISERROR(VLOOKUP(372,Suvaha_BO!A:F,4,0)),0,VLOOKUP(372,Suvaha_BO!A:F,4,0))</f>
        <v>0</v>
      </c>
      <c r="E19" s="38">
        <f>IF(ISERROR(VLOOKUP(372,Suvaha_BO!A:F,6,0)),0,VLOOKUP(372,Suvaha_BO!A:F,6,0))</f>
        <v>0</v>
      </c>
      <c r="F19" s="38">
        <f>IF(ISERROR(VLOOKUP(372,Suvaha_BO!A:F,5,0)),0,VLOOKUP(372,Suvaha_BO!A:F,5,0))</f>
        <v>0</v>
      </c>
      <c r="G19" s="38"/>
      <c r="H19" s="38">
        <f t="shared" si="0"/>
        <v>0</v>
      </c>
    </row>
    <row r="20" spans="1:8" ht="24.95" customHeight="1">
      <c r="A20" s="203" t="s">
        <v>1298</v>
      </c>
      <c r="B20" s="203"/>
      <c r="C20" s="203"/>
      <c r="D20" s="40">
        <f>SUM(D13:D19)</f>
        <v>0</v>
      </c>
      <c r="E20" s="40">
        <f>SUM(E13:E19)</f>
        <v>1112225.7799999998</v>
      </c>
      <c r="F20" s="40">
        <f>SUM(F13:F19)</f>
        <v>1112225.7799999998</v>
      </c>
      <c r="G20" s="40">
        <f>SUM(G13:G19)</f>
        <v>0</v>
      </c>
      <c r="H20" s="40">
        <f>SUM(H13:H19)</f>
        <v>0</v>
      </c>
    </row>
    <row r="22" spans="1:8" ht="15.75">
      <c r="A22" s="11" t="s">
        <v>296</v>
      </c>
    </row>
    <row r="24" spans="1:8" ht="24.95" customHeight="1">
      <c r="A24" s="199" t="s">
        <v>1091</v>
      </c>
      <c r="B24" s="199"/>
      <c r="C24" s="199"/>
      <c r="D24" s="199"/>
      <c r="E24" s="199" t="s">
        <v>716</v>
      </c>
      <c r="F24" s="199"/>
      <c r="G24" s="199"/>
      <c r="H24" s="199"/>
    </row>
    <row r="25" spans="1:8" ht="24.95" customHeight="1">
      <c r="A25" s="202" t="s">
        <v>905</v>
      </c>
      <c r="B25" s="202"/>
      <c r="C25" s="202"/>
      <c r="D25" s="202"/>
      <c r="E25" s="195"/>
      <c r="F25" s="195"/>
      <c r="G25" s="195"/>
      <c r="H25" s="195"/>
    </row>
    <row r="26" spans="1:8" ht="24.95" customHeight="1">
      <c r="A26" s="201" t="s">
        <v>1015</v>
      </c>
      <c r="B26" s="201"/>
      <c r="C26" s="201"/>
      <c r="D26" s="201"/>
      <c r="E26" s="197"/>
      <c r="F26" s="197"/>
      <c r="G26" s="197"/>
      <c r="H26" s="197"/>
    </row>
    <row r="28" spans="1:8" ht="30" customHeight="1">
      <c r="A28" s="133" t="s">
        <v>1122</v>
      </c>
      <c r="B28" s="133"/>
      <c r="C28" s="133"/>
      <c r="D28" s="133"/>
      <c r="E28" s="133"/>
      <c r="F28" s="133"/>
      <c r="G28" s="133"/>
      <c r="H28" s="133"/>
    </row>
    <row r="30" spans="1:8" ht="24.95" customHeight="1">
      <c r="A30" s="199" t="s">
        <v>556</v>
      </c>
      <c r="B30" s="199"/>
      <c r="C30" s="199"/>
      <c r="D30" s="199"/>
      <c r="E30" s="199" t="s">
        <v>500</v>
      </c>
      <c r="F30" s="199"/>
      <c r="G30" s="199"/>
      <c r="H30" s="199"/>
    </row>
    <row r="31" spans="1:8" ht="24.95" customHeight="1">
      <c r="A31" s="202" t="s">
        <v>720</v>
      </c>
      <c r="B31" s="202"/>
      <c r="C31" s="202"/>
      <c r="D31" s="202"/>
      <c r="E31" s="195"/>
      <c r="F31" s="195"/>
      <c r="G31" s="195"/>
      <c r="H31" s="195"/>
    </row>
    <row r="32" spans="1:8" ht="24.95" customHeight="1">
      <c r="A32" s="201" t="s">
        <v>645</v>
      </c>
      <c r="B32" s="201"/>
      <c r="C32" s="201"/>
      <c r="D32" s="201"/>
      <c r="E32" s="197"/>
      <c r="F32" s="197"/>
      <c r="G32" s="197"/>
      <c r="H32" s="197"/>
    </row>
  </sheetData>
  <sheetCalcPr fullCalcOnLoad="1"/>
  <sheetProtection sheet="1"/>
  <mergeCells count="36">
    <mergeCell ref="G6:H6"/>
    <mergeCell ref="G7:H7"/>
    <mergeCell ref="E4:H4"/>
    <mergeCell ref="E5:F5"/>
    <mergeCell ref="G5:H5"/>
    <mergeCell ref="E6:F6"/>
    <mergeCell ref="E7:F7"/>
    <mergeCell ref="A4:B5"/>
    <mergeCell ref="C4:D5"/>
    <mergeCell ref="A6:B6"/>
    <mergeCell ref="A12:C12"/>
    <mergeCell ref="A7:B7"/>
    <mergeCell ref="C6:D6"/>
    <mergeCell ref="C7:D7"/>
    <mergeCell ref="A13:C13"/>
    <mergeCell ref="A14:C14"/>
    <mergeCell ref="A15:C15"/>
    <mergeCell ref="A11:C11"/>
    <mergeCell ref="A16:C16"/>
    <mergeCell ref="E30:H30"/>
    <mergeCell ref="A17:C17"/>
    <mergeCell ref="A18:C18"/>
    <mergeCell ref="A19:C19"/>
    <mergeCell ref="A20:C20"/>
    <mergeCell ref="A24:D24"/>
    <mergeCell ref="E24:H24"/>
    <mergeCell ref="A25:D25"/>
    <mergeCell ref="E25:H25"/>
    <mergeCell ref="A31:D31"/>
    <mergeCell ref="E31:H31"/>
    <mergeCell ref="A32:D32"/>
    <mergeCell ref="E32:H32"/>
    <mergeCell ref="A26:D26"/>
    <mergeCell ref="E26:H26"/>
    <mergeCell ref="A28:H28"/>
    <mergeCell ref="A30:D30"/>
  </mergeCells>
  <phoneticPr fontId="0" type="noConversion"/>
  <pageMargins left="0.7" right="0.7" top="0.75" bottom="0.75" header="0.3" footer="0.3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F131"/>
  <sheetViews>
    <sheetView workbookViewId="0"/>
  </sheetViews>
  <sheetFormatPr defaultRowHeight="15"/>
  <cols>
    <col min="1" max="1" width="4.7109375" customWidth="1"/>
    <col min="2" max="2" width="68.42578125" customWidth="1"/>
    <col min="3" max="3" width="49.7109375" customWidth="1"/>
    <col min="4" max="6" width="10.28515625" customWidth="1"/>
  </cols>
  <sheetData>
    <row r="1" spans="1:6">
      <c r="A1" t="s">
        <v>1010</v>
      </c>
      <c r="B1" t="s">
        <v>554</v>
      </c>
      <c r="C1" t="s">
        <v>1354</v>
      </c>
      <c r="D1" t="s">
        <v>97</v>
      </c>
      <c r="E1" t="s">
        <v>479</v>
      </c>
      <c r="F1" t="s">
        <v>1250</v>
      </c>
    </row>
    <row r="2" spans="1:6">
      <c r="A2">
        <v>41</v>
      </c>
      <c r="B2" t="s">
        <v>1050</v>
      </c>
      <c r="C2" t="s">
        <v>982</v>
      </c>
      <c r="D2">
        <v>0</v>
      </c>
      <c r="E2">
        <v>0</v>
      </c>
      <c r="F2">
        <v>0</v>
      </c>
    </row>
    <row r="3" spans="1:6">
      <c r="A3">
        <v>42</v>
      </c>
      <c r="B3" t="s">
        <v>1050</v>
      </c>
      <c r="C3" t="s">
        <v>242</v>
      </c>
      <c r="D3">
        <v>0</v>
      </c>
      <c r="E3">
        <v>0</v>
      </c>
      <c r="F3">
        <v>0</v>
      </c>
    </row>
    <row r="4" spans="1:6">
      <c r="A4">
        <v>43</v>
      </c>
      <c r="B4" t="s">
        <v>1050</v>
      </c>
      <c r="C4" t="s">
        <v>21</v>
      </c>
      <c r="D4">
        <v>0</v>
      </c>
      <c r="E4">
        <v>0</v>
      </c>
      <c r="F4">
        <v>0</v>
      </c>
    </row>
    <row r="5" spans="1:6">
      <c r="A5">
        <v>51</v>
      </c>
      <c r="B5" t="s">
        <v>790</v>
      </c>
      <c r="C5" t="s">
        <v>438</v>
      </c>
      <c r="D5">
        <v>14149.9</v>
      </c>
      <c r="E5">
        <v>0</v>
      </c>
      <c r="F5">
        <v>0</v>
      </c>
    </row>
    <row r="6" spans="1:6">
      <c r="A6">
        <v>52</v>
      </c>
      <c r="B6" t="s">
        <v>790</v>
      </c>
      <c r="C6" t="s">
        <v>1077</v>
      </c>
      <c r="D6">
        <v>14149.9</v>
      </c>
      <c r="E6">
        <v>0</v>
      </c>
      <c r="F6">
        <v>0</v>
      </c>
    </row>
    <row r="7" spans="1:6">
      <c r="A7">
        <v>53</v>
      </c>
      <c r="B7" t="s">
        <v>790</v>
      </c>
      <c r="C7" t="s">
        <v>21</v>
      </c>
      <c r="D7">
        <v>0</v>
      </c>
      <c r="E7">
        <v>0</v>
      </c>
      <c r="F7">
        <v>0</v>
      </c>
    </row>
    <row r="8" spans="1:6">
      <c r="A8">
        <v>61</v>
      </c>
      <c r="B8" t="s">
        <v>369</v>
      </c>
      <c r="C8" t="s">
        <v>153</v>
      </c>
      <c r="D8">
        <v>0</v>
      </c>
      <c r="E8">
        <v>0</v>
      </c>
      <c r="F8">
        <v>0</v>
      </c>
    </row>
    <row r="9" spans="1:6">
      <c r="A9">
        <v>62</v>
      </c>
      <c r="B9" t="s">
        <v>369</v>
      </c>
      <c r="C9" t="s">
        <v>889</v>
      </c>
      <c r="D9">
        <v>0</v>
      </c>
      <c r="E9">
        <v>0</v>
      </c>
      <c r="F9">
        <v>0</v>
      </c>
    </row>
    <row r="10" spans="1:6">
      <c r="A10">
        <v>63</v>
      </c>
      <c r="B10" t="s">
        <v>369</v>
      </c>
      <c r="C10" t="s">
        <v>21</v>
      </c>
      <c r="D10">
        <v>0</v>
      </c>
      <c r="E10">
        <v>0</v>
      </c>
      <c r="F10">
        <v>0</v>
      </c>
    </row>
    <row r="11" spans="1:6">
      <c r="A11">
        <v>71</v>
      </c>
      <c r="B11" t="s">
        <v>489</v>
      </c>
      <c r="C11" t="s">
        <v>988</v>
      </c>
      <c r="D11">
        <v>0</v>
      </c>
      <c r="E11">
        <v>0</v>
      </c>
      <c r="F11">
        <v>0</v>
      </c>
    </row>
    <row r="12" spans="1:6">
      <c r="A12">
        <v>72</v>
      </c>
      <c r="B12" t="s">
        <v>489</v>
      </c>
      <c r="C12" t="s">
        <v>335</v>
      </c>
      <c r="D12">
        <v>0</v>
      </c>
      <c r="E12">
        <v>0</v>
      </c>
      <c r="F12">
        <v>0</v>
      </c>
    </row>
    <row r="13" spans="1:6">
      <c r="A13">
        <v>73</v>
      </c>
      <c r="B13" t="s">
        <v>489</v>
      </c>
      <c r="C13" t="s">
        <v>21</v>
      </c>
      <c r="D13">
        <v>0</v>
      </c>
      <c r="E13">
        <v>0</v>
      </c>
      <c r="F13">
        <v>0</v>
      </c>
    </row>
    <row r="14" spans="1:6">
      <c r="A14">
        <v>81</v>
      </c>
      <c r="B14" t="s">
        <v>595</v>
      </c>
      <c r="C14" t="s">
        <v>1085</v>
      </c>
      <c r="D14">
        <v>0</v>
      </c>
      <c r="E14">
        <v>0</v>
      </c>
      <c r="F14">
        <v>0</v>
      </c>
    </row>
    <row r="15" spans="1:6">
      <c r="A15">
        <v>82</v>
      </c>
      <c r="B15" t="s">
        <v>595</v>
      </c>
      <c r="C15" t="s">
        <v>278</v>
      </c>
      <c r="D15">
        <v>0</v>
      </c>
      <c r="E15">
        <v>0</v>
      </c>
      <c r="F15">
        <v>0</v>
      </c>
    </row>
    <row r="16" spans="1:6">
      <c r="A16">
        <v>91</v>
      </c>
      <c r="B16" t="s">
        <v>1166</v>
      </c>
      <c r="C16" t="s">
        <v>801</v>
      </c>
      <c r="D16">
        <v>0</v>
      </c>
      <c r="E16">
        <v>0</v>
      </c>
      <c r="F16">
        <v>0</v>
      </c>
    </row>
    <row r="17" spans="1:6">
      <c r="A17">
        <v>92</v>
      </c>
      <c r="B17" t="s">
        <v>1166</v>
      </c>
      <c r="C17" t="s">
        <v>672</v>
      </c>
      <c r="D17">
        <v>0</v>
      </c>
      <c r="E17">
        <v>0</v>
      </c>
      <c r="F17">
        <v>0</v>
      </c>
    </row>
    <row r="18" spans="1:6">
      <c r="A18">
        <v>101</v>
      </c>
      <c r="B18" t="s">
        <v>91</v>
      </c>
      <c r="C18" t="s">
        <v>114</v>
      </c>
      <c r="D18">
        <v>0</v>
      </c>
      <c r="E18">
        <v>0</v>
      </c>
      <c r="F18">
        <v>0</v>
      </c>
    </row>
    <row r="19" spans="1:6">
      <c r="A19">
        <v>102</v>
      </c>
      <c r="B19" t="s">
        <v>91</v>
      </c>
      <c r="C19" t="s">
        <v>129</v>
      </c>
      <c r="D19">
        <v>0</v>
      </c>
      <c r="E19">
        <v>0</v>
      </c>
      <c r="F19">
        <v>0</v>
      </c>
    </row>
    <row r="20" spans="1:6">
      <c r="A20">
        <v>121</v>
      </c>
      <c r="B20" t="s">
        <v>909</v>
      </c>
      <c r="C20" t="s">
        <v>762</v>
      </c>
      <c r="D20">
        <v>648442.48</v>
      </c>
      <c r="E20">
        <v>0</v>
      </c>
      <c r="F20">
        <v>0</v>
      </c>
    </row>
    <row r="21" spans="1:6">
      <c r="A21">
        <v>122</v>
      </c>
      <c r="B21" t="s">
        <v>909</v>
      </c>
      <c r="C21" t="s">
        <v>463</v>
      </c>
      <c r="D21">
        <v>0</v>
      </c>
      <c r="E21">
        <v>0</v>
      </c>
      <c r="F21">
        <v>0</v>
      </c>
    </row>
    <row r="22" spans="1:6">
      <c r="A22">
        <v>131</v>
      </c>
      <c r="B22" t="s">
        <v>354</v>
      </c>
      <c r="C22" t="s">
        <v>75</v>
      </c>
      <c r="D22">
        <v>249500.71</v>
      </c>
      <c r="E22">
        <v>0</v>
      </c>
      <c r="F22">
        <v>0</v>
      </c>
    </row>
    <row r="23" spans="1:6">
      <c r="A23">
        <v>132</v>
      </c>
      <c r="B23" t="s">
        <v>354</v>
      </c>
      <c r="C23" t="s">
        <v>723</v>
      </c>
      <c r="D23">
        <v>64648.87</v>
      </c>
      <c r="E23">
        <v>0</v>
      </c>
      <c r="F23">
        <v>12741</v>
      </c>
    </row>
    <row r="24" spans="1:6">
      <c r="A24">
        <v>141</v>
      </c>
      <c r="B24" t="s">
        <v>743</v>
      </c>
      <c r="C24" t="s">
        <v>615</v>
      </c>
      <c r="D24">
        <v>1107655.5999999999</v>
      </c>
      <c r="E24">
        <v>0</v>
      </c>
      <c r="F24">
        <v>217840.53</v>
      </c>
    </row>
    <row r="25" spans="1:6">
      <c r="A25">
        <v>142</v>
      </c>
      <c r="B25" t="s">
        <v>743</v>
      </c>
      <c r="C25" t="s">
        <v>1165</v>
      </c>
      <c r="D25">
        <v>916430.34</v>
      </c>
      <c r="E25">
        <v>217841.18999999997</v>
      </c>
      <c r="F25">
        <v>132942.54999999999</v>
      </c>
    </row>
    <row r="26" spans="1:6">
      <c r="A26">
        <v>151</v>
      </c>
      <c r="B26" t="s">
        <v>1339</v>
      </c>
      <c r="C26" t="s">
        <v>1344</v>
      </c>
      <c r="D26">
        <v>0</v>
      </c>
      <c r="E26">
        <v>0</v>
      </c>
      <c r="F26">
        <v>0</v>
      </c>
    </row>
    <row r="27" spans="1:6">
      <c r="A27">
        <v>152</v>
      </c>
      <c r="B27" t="s">
        <v>1339</v>
      </c>
      <c r="C27" t="s">
        <v>789</v>
      </c>
      <c r="D27">
        <v>0</v>
      </c>
      <c r="E27">
        <v>0</v>
      </c>
      <c r="F27">
        <v>0</v>
      </c>
    </row>
    <row r="28" spans="1:6">
      <c r="A28">
        <v>153</v>
      </c>
      <c r="B28" t="s">
        <v>1339</v>
      </c>
      <c r="C28" t="s">
        <v>463</v>
      </c>
      <c r="D28">
        <v>0</v>
      </c>
      <c r="E28">
        <v>0</v>
      </c>
      <c r="F28">
        <v>0</v>
      </c>
    </row>
    <row r="29" spans="1:6">
      <c r="A29">
        <v>161</v>
      </c>
      <c r="B29" t="s">
        <v>635</v>
      </c>
      <c r="C29" t="s">
        <v>518</v>
      </c>
      <c r="D29">
        <v>0</v>
      </c>
      <c r="E29">
        <v>0</v>
      </c>
      <c r="F29">
        <v>0</v>
      </c>
    </row>
    <row r="30" spans="1:6">
      <c r="A30">
        <v>162</v>
      </c>
      <c r="B30" t="s">
        <v>635</v>
      </c>
      <c r="C30" t="s">
        <v>1248</v>
      </c>
      <c r="D30">
        <v>0</v>
      </c>
      <c r="E30">
        <v>0</v>
      </c>
      <c r="F30">
        <v>0</v>
      </c>
    </row>
    <row r="31" spans="1:6">
      <c r="A31">
        <v>163</v>
      </c>
      <c r="B31" t="s">
        <v>635</v>
      </c>
      <c r="C31" t="s">
        <v>463</v>
      </c>
      <c r="D31">
        <v>0</v>
      </c>
      <c r="E31">
        <v>0</v>
      </c>
      <c r="F31">
        <v>0</v>
      </c>
    </row>
    <row r="32" spans="1:6">
      <c r="A32">
        <v>171</v>
      </c>
      <c r="B32" t="s">
        <v>659</v>
      </c>
      <c r="C32" t="s">
        <v>569</v>
      </c>
      <c r="D32">
        <v>4469.53</v>
      </c>
      <c r="E32">
        <v>0</v>
      </c>
      <c r="F32">
        <v>0</v>
      </c>
    </row>
    <row r="33" spans="1:6">
      <c r="A33">
        <v>172</v>
      </c>
      <c r="B33" t="s">
        <v>659</v>
      </c>
      <c r="C33" t="s">
        <v>1286</v>
      </c>
      <c r="D33">
        <v>0</v>
      </c>
      <c r="E33">
        <v>0</v>
      </c>
      <c r="F33">
        <v>0</v>
      </c>
    </row>
    <row r="34" spans="1:6">
      <c r="A34">
        <v>173</v>
      </c>
      <c r="B34" t="s">
        <v>659</v>
      </c>
      <c r="C34" t="s">
        <v>1215</v>
      </c>
      <c r="D34">
        <v>4469.53</v>
      </c>
      <c r="E34">
        <v>0</v>
      </c>
      <c r="F34">
        <v>0</v>
      </c>
    </row>
    <row r="35" spans="1:6">
      <c r="A35">
        <v>174</v>
      </c>
      <c r="B35" t="s">
        <v>659</v>
      </c>
      <c r="C35" t="s">
        <v>463</v>
      </c>
      <c r="D35">
        <v>0</v>
      </c>
      <c r="E35">
        <v>0</v>
      </c>
      <c r="F35">
        <v>0</v>
      </c>
    </row>
    <row r="36" spans="1:6">
      <c r="A36">
        <v>181</v>
      </c>
      <c r="B36" t="s">
        <v>671</v>
      </c>
      <c r="C36" t="s">
        <v>1259</v>
      </c>
      <c r="D36">
        <v>2207.3799999999997</v>
      </c>
      <c r="E36">
        <v>0</v>
      </c>
      <c r="F36">
        <v>0</v>
      </c>
    </row>
    <row r="37" spans="1:6">
      <c r="A37">
        <v>182</v>
      </c>
      <c r="B37" t="s">
        <v>671</v>
      </c>
      <c r="C37" t="s">
        <v>1301</v>
      </c>
      <c r="D37">
        <v>0</v>
      </c>
      <c r="E37">
        <v>0</v>
      </c>
      <c r="F37">
        <v>0</v>
      </c>
    </row>
    <row r="38" spans="1:6">
      <c r="A38">
        <v>191</v>
      </c>
      <c r="B38" t="s">
        <v>82</v>
      </c>
      <c r="C38" t="s">
        <v>558</v>
      </c>
      <c r="D38">
        <v>0</v>
      </c>
      <c r="E38">
        <v>0</v>
      </c>
      <c r="F38">
        <v>0</v>
      </c>
    </row>
    <row r="39" spans="1:6">
      <c r="A39">
        <v>192</v>
      </c>
      <c r="B39" t="s">
        <v>82</v>
      </c>
      <c r="C39" t="s">
        <v>129</v>
      </c>
      <c r="D39">
        <v>0</v>
      </c>
      <c r="E39">
        <v>0</v>
      </c>
      <c r="F39">
        <v>0</v>
      </c>
    </row>
    <row r="40" spans="1:6">
      <c r="A40">
        <v>202</v>
      </c>
      <c r="B40" t="s">
        <v>393</v>
      </c>
      <c r="C40" t="s">
        <v>90</v>
      </c>
      <c r="D40">
        <v>0</v>
      </c>
      <c r="E40">
        <v>0</v>
      </c>
      <c r="F40">
        <v>0</v>
      </c>
    </row>
    <row r="41" spans="1:6">
      <c r="A41">
        <v>221</v>
      </c>
      <c r="B41" t="s">
        <v>788</v>
      </c>
      <c r="C41" t="s">
        <v>1104</v>
      </c>
      <c r="D41">
        <v>0</v>
      </c>
      <c r="E41">
        <v>0</v>
      </c>
      <c r="F41">
        <v>0</v>
      </c>
    </row>
    <row r="42" spans="1:6">
      <c r="A42">
        <v>222</v>
      </c>
      <c r="B42" t="s">
        <v>788</v>
      </c>
      <c r="C42" t="s">
        <v>563</v>
      </c>
      <c r="D42">
        <v>0</v>
      </c>
      <c r="E42">
        <v>0</v>
      </c>
      <c r="F42">
        <v>0</v>
      </c>
    </row>
    <row r="43" spans="1:6">
      <c r="A43">
        <v>231</v>
      </c>
      <c r="B43" t="s">
        <v>812</v>
      </c>
      <c r="C43" t="s">
        <v>928</v>
      </c>
      <c r="D43">
        <v>0</v>
      </c>
      <c r="E43">
        <v>0</v>
      </c>
      <c r="F43">
        <v>0</v>
      </c>
    </row>
    <row r="44" spans="1:6">
      <c r="A44">
        <v>232</v>
      </c>
      <c r="B44" t="s">
        <v>812</v>
      </c>
      <c r="C44" t="s">
        <v>563</v>
      </c>
      <c r="D44">
        <v>0</v>
      </c>
      <c r="E44">
        <v>0</v>
      </c>
      <c r="F44">
        <v>0</v>
      </c>
    </row>
    <row r="45" spans="1:6">
      <c r="A45">
        <v>241</v>
      </c>
      <c r="B45" t="s">
        <v>941</v>
      </c>
      <c r="C45" t="s">
        <v>314</v>
      </c>
      <c r="D45">
        <v>0</v>
      </c>
      <c r="E45">
        <v>0</v>
      </c>
      <c r="F45">
        <v>0</v>
      </c>
    </row>
    <row r="46" spans="1:6">
      <c r="A46">
        <v>242</v>
      </c>
      <c r="B46" t="s">
        <v>941</v>
      </c>
      <c r="C46" t="s">
        <v>563</v>
      </c>
      <c r="D46">
        <v>0</v>
      </c>
      <c r="E46">
        <v>0</v>
      </c>
      <c r="F46">
        <v>0</v>
      </c>
    </row>
    <row r="47" spans="1:6">
      <c r="A47">
        <v>251</v>
      </c>
      <c r="B47" t="s">
        <v>1034</v>
      </c>
      <c r="C47" t="s">
        <v>839</v>
      </c>
      <c r="D47">
        <v>0</v>
      </c>
      <c r="E47">
        <v>0</v>
      </c>
      <c r="F47">
        <v>0</v>
      </c>
    </row>
    <row r="48" spans="1:6">
      <c r="A48">
        <v>252</v>
      </c>
      <c r="B48" t="s">
        <v>1034</v>
      </c>
      <c r="C48" t="s">
        <v>563</v>
      </c>
      <c r="D48">
        <v>0</v>
      </c>
      <c r="E48">
        <v>0</v>
      </c>
      <c r="F48">
        <v>0</v>
      </c>
    </row>
    <row r="49" spans="1:6">
      <c r="A49">
        <v>261</v>
      </c>
      <c r="B49" t="s">
        <v>1316</v>
      </c>
      <c r="C49" t="s">
        <v>1029</v>
      </c>
      <c r="D49">
        <v>0</v>
      </c>
      <c r="E49">
        <v>0</v>
      </c>
      <c r="F49">
        <v>0</v>
      </c>
    </row>
    <row r="50" spans="1:6">
      <c r="A50">
        <v>262</v>
      </c>
      <c r="B50" t="s">
        <v>1316</v>
      </c>
      <c r="C50" t="s">
        <v>563</v>
      </c>
      <c r="D50">
        <v>0</v>
      </c>
      <c r="E50">
        <v>0</v>
      </c>
      <c r="F50">
        <v>0</v>
      </c>
    </row>
    <row r="51" spans="1:6">
      <c r="A51">
        <v>281</v>
      </c>
      <c r="B51" t="s">
        <v>1157</v>
      </c>
      <c r="C51" t="s">
        <v>81</v>
      </c>
      <c r="D51">
        <v>0</v>
      </c>
      <c r="E51">
        <v>0</v>
      </c>
      <c r="F51">
        <v>0</v>
      </c>
    </row>
    <row r="52" spans="1:6">
      <c r="A52">
        <v>282</v>
      </c>
      <c r="B52" t="s">
        <v>1157</v>
      </c>
      <c r="C52" t="s">
        <v>563</v>
      </c>
      <c r="D52">
        <v>0</v>
      </c>
      <c r="E52">
        <v>0</v>
      </c>
      <c r="F52">
        <v>0</v>
      </c>
    </row>
    <row r="53" spans="1:6">
      <c r="A53">
        <v>291</v>
      </c>
      <c r="B53" t="s">
        <v>551</v>
      </c>
      <c r="C53" t="s">
        <v>759</v>
      </c>
      <c r="D53">
        <v>0</v>
      </c>
      <c r="E53">
        <v>0</v>
      </c>
      <c r="F53">
        <v>0</v>
      </c>
    </row>
    <row r="54" spans="1:6">
      <c r="A54">
        <v>292</v>
      </c>
      <c r="B54" t="s">
        <v>551</v>
      </c>
      <c r="C54" t="s">
        <v>129</v>
      </c>
      <c r="D54">
        <v>0</v>
      </c>
      <c r="E54">
        <v>0</v>
      </c>
      <c r="F54">
        <v>0</v>
      </c>
    </row>
    <row r="55" spans="1:6">
      <c r="A55">
        <v>321</v>
      </c>
      <c r="B55" t="s">
        <v>353</v>
      </c>
      <c r="C55" t="s">
        <v>981</v>
      </c>
      <c r="D55">
        <v>0</v>
      </c>
      <c r="E55">
        <v>0</v>
      </c>
      <c r="F55">
        <v>0</v>
      </c>
    </row>
    <row r="56" spans="1:6">
      <c r="A56">
        <v>322</v>
      </c>
      <c r="B56" t="s">
        <v>353</v>
      </c>
      <c r="C56" t="s">
        <v>1274</v>
      </c>
      <c r="D56">
        <v>0</v>
      </c>
      <c r="E56">
        <v>0</v>
      </c>
      <c r="F56">
        <v>0</v>
      </c>
    </row>
    <row r="57" spans="1:6">
      <c r="A57">
        <v>331</v>
      </c>
      <c r="B57" t="s">
        <v>965</v>
      </c>
      <c r="C57" t="s">
        <v>203</v>
      </c>
      <c r="D57">
        <v>0</v>
      </c>
      <c r="E57">
        <v>0</v>
      </c>
      <c r="F57">
        <v>0</v>
      </c>
    </row>
    <row r="58" spans="1:6">
      <c r="A58">
        <v>332</v>
      </c>
      <c r="B58" t="s">
        <v>965</v>
      </c>
      <c r="C58" t="s">
        <v>1109</v>
      </c>
      <c r="D58">
        <v>0</v>
      </c>
      <c r="E58">
        <v>0</v>
      </c>
      <c r="F58">
        <v>0</v>
      </c>
    </row>
    <row r="59" spans="1:6">
      <c r="A59">
        <v>341</v>
      </c>
      <c r="B59" t="s">
        <v>888</v>
      </c>
      <c r="C59" t="s">
        <v>488</v>
      </c>
      <c r="D59">
        <v>0</v>
      </c>
      <c r="E59">
        <v>0</v>
      </c>
      <c r="F59">
        <v>0</v>
      </c>
    </row>
    <row r="60" spans="1:6">
      <c r="A60">
        <v>342</v>
      </c>
      <c r="B60" t="s">
        <v>888</v>
      </c>
      <c r="C60" t="s">
        <v>1327</v>
      </c>
      <c r="D60">
        <v>0</v>
      </c>
      <c r="E60">
        <v>0</v>
      </c>
      <c r="F60">
        <v>0</v>
      </c>
    </row>
    <row r="61" spans="1:6">
      <c r="A61">
        <v>351</v>
      </c>
      <c r="B61" t="s">
        <v>1271</v>
      </c>
      <c r="C61" t="s">
        <v>101</v>
      </c>
      <c r="D61">
        <v>0</v>
      </c>
      <c r="E61">
        <v>0</v>
      </c>
      <c r="F61">
        <v>0</v>
      </c>
    </row>
    <row r="62" spans="1:6">
      <c r="A62">
        <v>352</v>
      </c>
      <c r="B62" t="s">
        <v>1271</v>
      </c>
      <c r="C62" t="s">
        <v>1172</v>
      </c>
      <c r="D62">
        <v>0</v>
      </c>
      <c r="E62">
        <v>0</v>
      </c>
      <c r="F62">
        <v>0</v>
      </c>
    </row>
    <row r="63" spans="1:6">
      <c r="A63">
        <v>361</v>
      </c>
      <c r="B63" t="s">
        <v>378</v>
      </c>
      <c r="C63" t="s">
        <v>838</v>
      </c>
      <c r="D63">
        <v>424897.00999999995</v>
      </c>
      <c r="E63">
        <v>7501891.8799999999</v>
      </c>
      <c r="F63">
        <v>7545703.5299999993</v>
      </c>
    </row>
    <row r="64" spans="1:6">
      <c r="A64">
        <v>362</v>
      </c>
      <c r="B64" t="s">
        <v>378</v>
      </c>
      <c r="C64" t="s">
        <v>47</v>
      </c>
      <c r="D64">
        <v>0</v>
      </c>
      <c r="E64">
        <v>1112225.7799999998</v>
      </c>
      <c r="F64">
        <v>1112225.7799999998</v>
      </c>
    </row>
    <row r="65" spans="1:6">
      <c r="A65">
        <v>363</v>
      </c>
      <c r="B65" t="s">
        <v>378</v>
      </c>
      <c r="C65" t="s">
        <v>704</v>
      </c>
      <c r="D65">
        <v>0</v>
      </c>
      <c r="E65">
        <v>0</v>
      </c>
      <c r="F65">
        <v>0</v>
      </c>
    </row>
    <row r="66" spans="1:6">
      <c r="A66">
        <v>451</v>
      </c>
      <c r="B66" t="s">
        <v>1203</v>
      </c>
      <c r="C66" t="s">
        <v>148</v>
      </c>
      <c r="D66">
        <v>0</v>
      </c>
      <c r="E66">
        <v>0</v>
      </c>
      <c r="F66">
        <v>0</v>
      </c>
    </row>
    <row r="67" spans="1:6">
      <c r="A67">
        <v>471</v>
      </c>
      <c r="B67" t="s">
        <v>823</v>
      </c>
      <c r="C67" t="s">
        <v>1117</v>
      </c>
      <c r="D67">
        <v>366844.04</v>
      </c>
      <c r="E67">
        <v>3718411.82</v>
      </c>
      <c r="F67">
        <v>3684948.09</v>
      </c>
    </row>
    <row r="68" spans="1:6">
      <c r="A68">
        <v>472</v>
      </c>
      <c r="B68" t="s">
        <v>823</v>
      </c>
      <c r="C68" t="s">
        <v>1326</v>
      </c>
      <c r="D68">
        <v>0</v>
      </c>
      <c r="E68">
        <v>0</v>
      </c>
      <c r="F68">
        <v>0</v>
      </c>
    </row>
    <row r="69" spans="1:6">
      <c r="A69">
        <v>481</v>
      </c>
      <c r="B69" t="s">
        <v>1041</v>
      </c>
      <c r="C69" t="s">
        <v>807</v>
      </c>
      <c r="D69">
        <v>0</v>
      </c>
      <c r="E69">
        <v>0</v>
      </c>
      <c r="F69">
        <v>0</v>
      </c>
    </row>
    <row r="70" spans="1:6">
      <c r="A70">
        <v>501</v>
      </c>
      <c r="B70" t="s">
        <v>644</v>
      </c>
      <c r="C70" t="s">
        <v>33</v>
      </c>
      <c r="D70">
        <v>0</v>
      </c>
      <c r="E70">
        <v>0</v>
      </c>
      <c r="F70">
        <v>0</v>
      </c>
    </row>
    <row r="71" spans="1:6">
      <c r="A71">
        <v>511</v>
      </c>
      <c r="B71" t="s">
        <v>133</v>
      </c>
      <c r="C71" t="s">
        <v>607</v>
      </c>
      <c r="D71">
        <v>0</v>
      </c>
      <c r="E71">
        <v>0</v>
      </c>
      <c r="F71">
        <v>0</v>
      </c>
    </row>
    <row r="72" spans="1:6">
      <c r="A72">
        <v>512</v>
      </c>
      <c r="B72" t="s">
        <v>133</v>
      </c>
      <c r="C72" t="s">
        <v>658</v>
      </c>
      <c r="D72">
        <v>0</v>
      </c>
      <c r="E72">
        <v>0</v>
      </c>
      <c r="F72">
        <v>0</v>
      </c>
    </row>
    <row r="73" spans="1:6">
      <c r="A73">
        <v>521</v>
      </c>
      <c r="B73" t="s">
        <v>603</v>
      </c>
      <c r="C73" t="s">
        <v>1200</v>
      </c>
      <c r="D73">
        <v>-21512.719999999998</v>
      </c>
      <c r="E73">
        <v>108927.01999999999</v>
      </c>
      <c r="F73">
        <v>109345.4</v>
      </c>
    </row>
    <row r="74" spans="1:6">
      <c r="A74">
        <v>531</v>
      </c>
      <c r="B74" t="s">
        <v>1014</v>
      </c>
      <c r="C74" t="s">
        <v>52</v>
      </c>
      <c r="D74">
        <v>102573.65999999999</v>
      </c>
      <c r="E74">
        <v>1562049.38</v>
      </c>
      <c r="F74">
        <v>1584768.15</v>
      </c>
    </row>
    <row r="75" spans="1:6">
      <c r="A75">
        <v>541</v>
      </c>
      <c r="B75" t="s">
        <v>850</v>
      </c>
      <c r="C75" t="s">
        <v>904</v>
      </c>
      <c r="D75">
        <v>2257</v>
      </c>
      <c r="E75">
        <v>2204.6899999999996</v>
      </c>
      <c r="F75">
        <v>863.42</v>
      </c>
    </row>
    <row r="76" spans="1:6">
      <c r="A76">
        <v>542</v>
      </c>
      <c r="B76" t="s">
        <v>850</v>
      </c>
      <c r="C76" t="s">
        <v>422</v>
      </c>
      <c r="D76">
        <v>0</v>
      </c>
      <c r="E76">
        <v>0</v>
      </c>
      <c r="F76">
        <v>0</v>
      </c>
    </row>
    <row r="77" spans="1:6">
      <c r="A77">
        <v>561</v>
      </c>
      <c r="B77" t="s">
        <v>820</v>
      </c>
      <c r="C77" t="s">
        <v>837</v>
      </c>
      <c r="D77">
        <v>459879.63999999996</v>
      </c>
      <c r="E77">
        <v>2647687.15</v>
      </c>
      <c r="F77">
        <v>2900485.3299999996</v>
      </c>
    </row>
    <row r="78" spans="1:6">
      <c r="A78">
        <v>571</v>
      </c>
      <c r="B78" t="s">
        <v>365</v>
      </c>
      <c r="C78" t="s">
        <v>1150</v>
      </c>
      <c r="D78">
        <v>-698291.52999999991</v>
      </c>
      <c r="E78">
        <v>4762076.97</v>
      </c>
      <c r="F78">
        <v>4350743.7699999996</v>
      </c>
    </row>
    <row r="79" spans="1:6">
      <c r="A79">
        <v>572</v>
      </c>
      <c r="B79" t="s">
        <v>365</v>
      </c>
      <c r="C79" t="s">
        <v>208</v>
      </c>
      <c r="D79">
        <v>-201329.18999999997</v>
      </c>
      <c r="E79">
        <v>3318406.3899999997</v>
      </c>
      <c r="F79">
        <v>3116712.5999999996</v>
      </c>
    </row>
    <row r="80" spans="1:6">
      <c r="A80">
        <v>591</v>
      </c>
      <c r="B80" t="s">
        <v>86</v>
      </c>
      <c r="C80" t="s">
        <v>674</v>
      </c>
      <c r="D80">
        <v>0</v>
      </c>
      <c r="E80">
        <v>0</v>
      </c>
      <c r="F80">
        <v>0</v>
      </c>
    </row>
    <row r="81" spans="1:6">
      <c r="A81">
        <v>592</v>
      </c>
      <c r="B81" t="s">
        <v>86</v>
      </c>
      <c r="C81" t="s">
        <v>1300</v>
      </c>
      <c r="D81">
        <v>0</v>
      </c>
      <c r="E81">
        <v>0</v>
      </c>
      <c r="F81">
        <v>0</v>
      </c>
    </row>
    <row r="82" spans="1:6">
      <c r="A82">
        <v>601</v>
      </c>
      <c r="B82" t="s">
        <v>895</v>
      </c>
      <c r="C82" t="s">
        <v>722</v>
      </c>
      <c r="D82">
        <v>0</v>
      </c>
      <c r="E82">
        <v>0</v>
      </c>
      <c r="F82">
        <v>0</v>
      </c>
    </row>
    <row r="83" spans="1:6">
      <c r="A83">
        <v>602</v>
      </c>
      <c r="B83" t="s">
        <v>895</v>
      </c>
      <c r="C83" t="s">
        <v>1300</v>
      </c>
      <c r="D83">
        <v>0</v>
      </c>
      <c r="E83">
        <v>0</v>
      </c>
      <c r="F83">
        <v>0</v>
      </c>
    </row>
    <row r="84" spans="1:6">
      <c r="A84">
        <v>621</v>
      </c>
      <c r="B84" t="s">
        <v>795</v>
      </c>
      <c r="C84" t="s">
        <v>285</v>
      </c>
      <c r="D84">
        <v>3610.54</v>
      </c>
      <c r="E84">
        <v>0</v>
      </c>
      <c r="F84">
        <v>0</v>
      </c>
    </row>
    <row r="85" spans="1:6">
      <c r="A85">
        <v>641</v>
      </c>
      <c r="B85" t="s">
        <v>1007</v>
      </c>
      <c r="C85" t="s">
        <v>742</v>
      </c>
      <c r="D85">
        <v>0</v>
      </c>
      <c r="E85">
        <v>0</v>
      </c>
      <c r="F85">
        <v>0</v>
      </c>
    </row>
    <row r="86" spans="1:6">
      <c r="A86">
        <v>691</v>
      </c>
      <c r="B86" t="s">
        <v>1053</v>
      </c>
      <c r="C86" t="s">
        <v>643</v>
      </c>
      <c r="D86">
        <v>436194</v>
      </c>
      <c r="E86">
        <v>0</v>
      </c>
      <c r="F86">
        <v>0</v>
      </c>
    </row>
    <row r="87" spans="1:6">
      <c r="A87">
        <v>701</v>
      </c>
      <c r="B87" t="s">
        <v>262</v>
      </c>
      <c r="C87" t="s">
        <v>685</v>
      </c>
      <c r="D87">
        <v>0</v>
      </c>
      <c r="E87">
        <v>0</v>
      </c>
      <c r="F87">
        <v>0</v>
      </c>
    </row>
    <row r="88" spans="1:6">
      <c r="A88">
        <v>711</v>
      </c>
      <c r="B88" t="s">
        <v>1349</v>
      </c>
      <c r="C88" t="s">
        <v>94</v>
      </c>
      <c r="D88">
        <v>0</v>
      </c>
      <c r="E88">
        <v>0</v>
      </c>
      <c r="F88">
        <v>0</v>
      </c>
    </row>
    <row r="89" spans="1:6">
      <c r="A89">
        <v>721</v>
      </c>
      <c r="B89" t="s">
        <v>649</v>
      </c>
      <c r="C89" t="s">
        <v>773</v>
      </c>
      <c r="D89">
        <v>0</v>
      </c>
      <c r="E89">
        <v>0</v>
      </c>
      <c r="F89">
        <v>0</v>
      </c>
    </row>
    <row r="90" spans="1:6">
      <c r="A90">
        <v>741</v>
      </c>
      <c r="B90" t="s">
        <v>1019</v>
      </c>
      <c r="C90" t="s">
        <v>46</v>
      </c>
      <c r="D90">
        <v>0</v>
      </c>
      <c r="E90">
        <v>0</v>
      </c>
      <c r="F90">
        <v>0</v>
      </c>
    </row>
    <row r="91" spans="1:6">
      <c r="A91">
        <v>751</v>
      </c>
      <c r="B91" t="s">
        <v>621</v>
      </c>
      <c r="C91" t="s">
        <v>1273</v>
      </c>
      <c r="D91">
        <v>0</v>
      </c>
      <c r="E91">
        <v>0</v>
      </c>
      <c r="F91">
        <v>0</v>
      </c>
    </row>
    <row r="92" spans="1:6">
      <c r="A92">
        <v>761</v>
      </c>
      <c r="B92" t="s">
        <v>351</v>
      </c>
      <c r="C92" t="s">
        <v>185</v>
      </c>
      <c r="D92">
        <v>0</v>
      </c>
      <c r="E92">
        <v>0</v>
      </c>
      <c r="F92">
        <v>0</v>
      </c>
    </row>
    <row r="93" spans="1:6">
      <c r="A93">
        <v>771</v>
      </c>
      <c r="B93" t="s">
        <v>710</v>
      </c>
      <c r="C93" t="s">
        <v>703</v>
      </c>
      <c r="D93">
        <v>0</v>
      </c>
      <c r="E93">
        <v>0</v>
      </c>
      <c r="F93">
        <v>0</v>
      </c>
    </row>
    <row r="94" spans="1:6">
      <c r="A94">
        <v>781</v>
      </c>
      <c r="B94" t="s">
        <v>753</v>
      </c>
      <c r="C94" t="s">
        <v>534</v>
      </c>
      <c r="D94">
        <v>0</v>
      </c>
      <c r="E94">
        <v>0</v>
      </c>
      <c r="F94">
        <v>0</v>
      </c>
    </row>
    <row r="95" spans="1:6">
      <c r="A95">
        <v>791</v>
      </c>
      <c r="B95" t="s">
        <v>1356</v>
      </c>
      <c r="C95" t="s">
        <v>1325</v>
      </c>
      <c r="D95">
        <v>0</v>
      </c>
      <c r="E95">
        <v>0</v>
      </c>
      <c r="F95">
        <v>0</v>
      </c>
    </row>
    <row r="96" spans="1:6">
      <c r="A96">
        <v>811</v>
      </c>
      <c r="B96" t="s">
        <v>385</v>
      </c>
      <c r="C96" t="s">
        <v>954</v>
      </c>
      <c r="D96">
        <v>6030.11</v>
      </c>
      <c r="E96">
        <v>0</v>
      </c>
      <c r="F96">
        <v>0</v>
      </c>
    </row>
    <row r="97" spans="1:6">
      <c r="A97">
        <v>821</v>
      </c>
      <c r="B97" t="s">
        <v>577</v>
      </c>
      <c r="C97" t="s">
        <v>1088</v>
      </c>
      <c r="D97">
        <v>0</v>
      </c>
      <c r="E97">
        <v>0</v>
      </c>
      <c r="F97">
        <v>0</v>
      </c>
    </row>
    <row r="98" spans="1:6">
      <c r="A98">
        <v>831</v>
      </c>
      <c r="B98" t="s">
        <v>826</v>
      </c>
      <c r="C98" t="s">
        <v>1205</v>
      </c>
      <c r="D98">
        <v>0</v>
      </c>
      <c r="E98">
        <v>0</v>
      </c>
      <c r="F98">
        <v>0</v>
      </c>
    </row>
    <row r="99" spans="1:6">
      <c r="A99">
        <v>851</v>
      </c>
      <c r="B99" t="s">
        <v>284</v>
      </c>
      <c r="C99" t="s">
        <v>254</v>
      </c>
      <c r="D99">
        <v>404561.5</v>
      </c>
      <c r="E99">
        <v>0</v>
      </c>
      <c r="F99">
        <v>0</v>
      </c>
    </row>
    <row r="100" spans="1:6">
      <c r="A100">
        <v>852</v>
      </c>
      <c r="B100" t="s">
        <v>284</v>
      </c>
      <c r="C100" t="s">
        <v>247</v>
      </c>
      <c r="D100">
        <v>-154623.04999999999</v>
      </c>
      <c r="E100">
        <v>0</v>
      </c>
      <c r="F100">
        <v>154623.04999999999</v>
      </c>
    </row>
    <row r="101" spans="1:6">
      <c r="A101">
        <v>861</v>
      </c>
      <c r="B101" t="s">
        <v>443</v>
      </c>
      <c r="C101" t="s">
        <v>1135</v>
      </c>
      <c r="D101">
        <v>-442318.25999999995</v>
      </c>
      <c r="E101">
        <v>154623.04999999999</v>
      </c>
      <c r="F101">
        <v>0</v>
      </c>
    </row>
    <row r="102" spans="1:6">
      <c r="A102">
        <v>862</v>
      </c>
      <c r="B102" t="s">
        <v>443</v>
      </c>
      <c r="C102" t="s">
        <v>247</v>
      </c>
      <c r="D102">
        <v>-154623.04999999999</v>
      </c>
      <c r="E102">
        <v>0</v>
      </c>
      <c r="F102">
        <v>154623.04999999999</v>
      </c>
    </row>
    <row r="103" spans="1:6">
      <c r="A103">
        <v>901</v>
      </c>
      <c r="B103" t="s">
        <v>1253</v>
      </c>
      <c r="C103" t="s">
        <v>903</v>
      </c>
      <c r="D103">
        <v>0</v>
      </c>
      <c r="E103">
        <v>0</v>
      </c>
      <c r="F103">
        <v>0</v>
      </c>
    </row>
    <row r="104" spans="1:6">
      <c r="A104">
        <v>911</v>
      </c>
      <c r="B104" t="s">
        <v>980</v>
      </c>
      <c r="C104" t="s">
        <v>751</v>
      </c>
      <c r="D104">
        <v>1500</v>
      </c>
      <c r="E104">
        <v>1500</v>
      </c>
      <c r="F104">
        <v>0</v>
      </c>
    </row>
    <row r="105" spans="1:6">
      <c r="A105">
        <v>921</v>
      </c>
      <c r="B105" t="s">
        <v>538</v>
      </c>
      <c r="C105" t="s">
        <v>1084</v>
      </c>
      <c r="D105">
        <v>0</v>
      </c>
      <c r="E105">
        <v>0</v>
      </c>
      <c r="F105">
        <v>0</v>
      </c>
    </row>
    <row r="106" spans="1:6">
      <c r="A106">
        <v>1001</v>
      </c>
      <c r="B106" t="s">
        <v>350</v>
      </c>
      <c r="C106" t="s">
        <v>1178</v>
      </c>
      <c r="D106">
        <v>0</v>
      </c>
      <c r="E106">
        <v>0</v>
      </c>
      <c r="F106">
        <v>0</v>
      </c>
    </row>
    <row r="107" spans="1:6">
      <c r="A107">
        <v>1021</v>
      </c>
      <c r="B107" t="s">
        <v>507</v>
      </c>
      <c r="C107" t="s">
        <v>1290</v>
      </c>
      <c r="D107">
        <v>0</v>
      </c>
      <c r="E107">
        <v>0</v>
      </c>
      <c r="F107">
        <v>0</v>
      </c>
    </row>
    <row r="108" spans="1:6">
      <c r="A108">
        <v>1022</v>
      </c>
      <c r="B108" t="s">
        <v>507</v>
      </c>
      <c r="C108" t="s">
        <v>638</v>
      </c>
      <c r="D108">
        <v>0</v>
      </c>
      <c r="E108">
        <v>0</v>
      </c>
      <c r="F108">
        <v>0</v>
      </c>
    </row>
    <row r="109" spans="1:6">
      <c r="A109">
        <v>1031</v>
      </c>
      <c r="B109" t="s">
        <v>1334</v>
      </c>
      <c r="C109" t="s">
        <v>777</v>
      </c>
      <c r="D109">
        <v>7000.83</v>
      </c>
      <c r="E109">
        <v>0</v>
      </c>
      <c r="F109">
        <v>0</v>
      </c>
    </row>
    <row r="110" spans="1:6">
      <c r="A110">
        <v>1041</v>
      </c>
      <c r="B110" t="s">
        <v>664</v>
      </c>
      <c r="C110" t="s">
        <v>750</v>
      </c>
      <c r="D110">
        <v>0</v>
      </c>
      <c r="E110">
        <v>0</v>
      </c>
      <c r="F110">
        <v>0</v>
      </c>
    </row>
    <row r="111" spans="1:6">
      <c r="A111">
        <v>1051</v>
      </c>
      <c r="B111" t="s">
        <v>1142</v>
      </c>
      <c r="C111" t="s">
        <v>148</v>
      </c>
      <c r="D111">
        <v>0</v>
      </c>
      <c r="E111">
        <v>0</v>
      </c>
      <c r="F111">
        <v>0</v>
      </c>
    </row>
    <row r="112" spans="1:6">
      <c r="A112">
        <v>1071</v>
      </c>
      <c r="B112" t="s">
        <v>1230</v>
      </c>
      <c r="C112" t="s">
        <v>1049</v>
      </c>
      <c r="D112">
        <v>1010587.25</v>
      </c>
      <c r="E112">
        <v>6602036.0999999996</v>
      </c>
      <c r="F112">
        <v>6497144.21</v>
      </c>
    </row>
    <row r="113" spans="1:6">
      <c r="A113">
        <v>1072</v>
      </c>
      <c r="B113" t="s">
        <v>1230</v>
      </c>
      <c r="C113" t="s">
        <v>583</v>
      </c>
      <c r="D113">
        <v>0</v>
      </c>
      <c r="E113">
        <v>0</v>
      </c>
      <c r="F113">
        <v>0</v>
      </c>
    </row>
    <row r="114" spans="1:6">
      <c r="A114">
        <v>1081</v>
      </c>
      <c r="B114" t="s">
        <v>1041</v>
      </c>
      <c r="C114" t="s">
        <v>807</v>
      </c>
      <c r="D114">
        <v>0</v>
      </c>
      <c r="E114">
        <v>0</v>
      </c>
      <c r="F114">
        <v>0</v>
      </c>
    </row>
    <row r="115" spans="1:6">
      <c r="A115">
        <v>1091</v>
      </c>
      <c r="B115" t="s">
        <v>401</v>
      </c>
      <c r="C115" t="s">
        <v>487</v>
      </c>
      <c r="D115">
        <v>0</v>
      </c>
      <c r="E115">
        <v>0</v>
      </c>
      <c r="F115">
        <v>90</v>
      </c>
    </row>
    <row r="116" spans="1:6">
      <c r="A116">
        <v>1092</v>
      </c>
      <c r="B116" t="s">
        <v>401</v>
      </c>
      <c r="C116" t="s">
        <v>700</v>
      </c>
      <c r="D116">
        <v>0</v>
      </c>
      <c r="E116">
        <v>0</v>
      </c>
      <c r="F116">
        <v>0</v>
      </c>
    </row>
    <row r="117" spans="1:6">
      <c r="A117">
        <v>1101</v>
      </c>
      <c r="B117" t="s">
        <v>167</v>
      </c>
      <c r="C117" t="s">
        <v>1080</v>
      </c>
      <c r="D117">
        <v>0</v>
      </c>
      <c r="E117">
        <v>0</v>
      </c>
      <c r="F117">
        <v>0</v>
      </c>
    </row>
    <row r="118" spans="1:6">
      <c r="A118">
        <v>1102</v>
      </c>
      <c r="B118" t="s">
        <v>167</v>
      </c>
      <c r="C118" t="s">
        <v>1279</v>
      </c>
      <c r="D118">
        <v>0</v>
      </c>
      <c r="E118">
        <v>0</v>
      </c>
      <c r="F118">
        <v>0</v>
      </c>
    </row>
    <row r="119" spans="1:6">
      <c r="A119">
        <v>1121</v>
      </c>
      <c r="B119" t="s">
        <v>1355</v>
      </c>
      <c r="C119" t="s">
        <v>202</v>
      </c>
      <c r="D119">
        <v>0</v>
      </c>
      <c r="E119">
        <v>0</v>
      </c>
      <c r="F119">
        <v>0</v>
      </c>
    </row>
    <row r="120" spans="1:6">
      <c r="A120">
        <v>1122</v>
      </c>
      <c r="B120" t="s">
        <v>1355</v>
      </c>
      <c r="C120" t="s">
        <v>658</v>
      </c>
      <c r="D120">
        <v>0</v>
      </c>
      <c r="E120">
        <v>0</v>
      </c>
      <c r="F120">
        <v>0</v>
      </c>
    </row>
    <row r="121" spans="1:6">
      <c r="A121">
        <v>1131</v>
      </c>
      <c r="B121" t="s">
        <v>1028</v>
      </c>
      <c r="C121" t="s">
        <v>309</v>
      </c>
      <c r="D121">
        <v>19654.829999999998</v>
      </c>
      <c r="E121">
        <v>252327.31999999998</v>
      </c>
      <c r="F121">
        <v>247635.75999999998</v>
      </c>
    </row>
    <row r="122" spans="1:6">
      <c r="A122">
        <v>1141</v>
      </c>
      <c r="B122" t="s">
        <v>225</v>
      </c>
      <c r="C122" t="s">
        <v>1200</v>
      </c>
      <c r="D122">
        <v>21512.719999999998</v>
      </c>
      <c r="E122">
        <v>108927.01999999999</v>
      </c>
      <c r="F122">
        <v>109345.4</v>
      </c>
    </row>
    <row r="123" spans="1:6">
      <c r="A123">
        <v>1151</v>
      </c>
      <c r="B123" t="s">
        <v>637</v>
      </c>
      <c r="C123" t="s">
        <v>667</v>
      </c>
      <c r="D123">
        <v>-102573.65999999999</v>
      </c>
      <c r="E123">
        <v>1562049.38</v>
      </c>
      <c r="F123">
        <v>1584768.15</v>
      </c>
    </row>
    <row r="124" spans="1:6">
      <c r="A124">
        <v>1161</v>
      </c>
      <c r="B124" t="s">
        <v>1027</v>
      </c>
      <c r="C124" t="s">
        <v>1045</v>
      </c>
      <c r="D124">
        <v>0</v>
      </c>
      <c r="E124">
        <v>0</v>
      </c>
      <c r="F124">
        <v>0</v>
      </c>
    </row>
    <row r="125" spans="1:6">
      <c r="A125">
        <v>1162</v>
      </c>
      <c r="B125" t="s">
        <v>1027</v>
      </c>
      <c r="C125" t="s">
        <v>1333</v>
      </c>
      <c r="D125">
        <v>177068.2</v>
      </c>
      <c r="E125">
        <v>150188.18</v>
      </c>
      <c r="F125">
        <v>18741.939999999999</v>
      </c>
    </row>
    <row r="126" spans="1:6">
      <c r="A126">
        <v>1171</v>
      </c>
      <c r="B126" t="s">
        <v>121</v>
      </c>
      <c r="C126" t="s">
        <v>1134</v>
      </c>
      <c r="D126">
        <v>0</v>
      </c>
      <c r="E126">
        <v>0</v>
      </c>
      <c r="F126">
        <v>0</v>
      </c>
    </row>
    <row r="127" spans="1:6">
      <c r="A127">
        <v>1191</v>
      </c>
      <c r="B127" t="s">
        <v>657</v>
      </c>
      <c r="C127" t="s">
        <v>576</v>
      </c>
      <c r="D127">
        <v>0</v>
      </c>
      <c r="E127">
        <v>27142.429999999997</v>
      </c>
      <c r="F127">
        <v>439000</v>
      </c>
    </row>
    <row r="128" spans="1:6">
      <c r="A128">
        <v>1201</v>
      </c>
      <c r="B128" t="s">
        <v>1202</v>
      </c>
      <c r="C128" t="s">
        <v>1150</v>
      </c>
      <c r="D128">
        <v>698291.52999999991</v>
      </c>
      <c r="E128">
        <v>4762076.97</v>
      </c>
      <c r="F128">
        <v>4350743.7699999996</v>
      </c>
    </row>
    <row r="129" spans="1:6">
      <c r="A129">
        <v>1202</v>
      </c>
      <c r="B129" t="s">
        <v>1202</v>
      </c>
      <c r="C129" t="s">
        <v>806</v>
      </c>
      <c r="D129">
        <v>0</v>
      </c>
      <c r="E129">
        <v>0</v>
      </c>
      <c r="F129">
        <v>0</v>
      </c>
    </row>
    <row r="130" spans="1:6">
      <c r="A130">
        <v>1221</v>
      </c>
      <c r="B130" t="s">
        <v>537</v>
      </c>
      <c r="C130" t="s">
        <v>13</v>
      </c>
      <c r="D130">
        <v>0</v>
      </c>
      <c r="E130">
        <v>0</v>
      </c>
      <c r="F130">
        <v>0</v>
      </c>
    </row>
    <row r="131" spans="1:6">
      <c r="A131">
        <v>1241</v>
      </c>
      <c r="B131" t="s">
        <v>471</v>
      </c>
      <c r="C131" t="s">
        <v>1242</v>
      </c>
      <c r="D131">
        <v>0</v>
      </c>
      <c r="E131">
        <v>0</v>
      </c>
      <c r="F131">
        <v>0</v>
      </c>
    </row>
  </sheetData>
  <sheetProtection sheet="1"/>
  <phoneticPr fontId="0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2:I44"/>
  <sheetViews>
    <sheetView topLeftCell="A12" workbookViewId="0"/>
  </sheetViews>
  <sheetFormatPr defaultRowHeight="15"/>
  <sheetData>
    <row r="2" spans="1:9" ht="15" customHeight="1">
      <c r="A2" s="133" t="s">
        <v>417</v>
      </c>
      <c r="B2" s="133"/>
      <c r="C2" s="133"/>
      <c r="D2" s="133"/>
      <c r="E2" s="133"/>
      <c r="F2" s="133"/>
      <c r="G2" s="133"/>
      <c r="H2" s="133"/>
      <c r="I2" s="133"/>
    </row>
    <row r="4" spans="1:9" ht="50.1" customHeight="1">
      <c r="A4" s="183" t="s">
        <v>288</v>
      </c>
      <c r="B4" s="183"/>
      <c r="C4" s="183"/>
      <c r="D4" s="183" t="s">
        <v>1017</v>
      </c>
      <c r="E4" s="183"/>
      <c r="F4" s="183" t="s">
        <v>669</v>
      </c>
      <c r="G4" s="183"/>
      <c r="H4" s="183" t="s">
        <v>660</v>
      </c>
      <c r="I4" s="183"/>
    </row>
    <row r="5" spans="1:9">
      <c r="A5" s="182" t="s">
        <v>958</v>
      </c>
      <c r="B5" s="182"/>
      <c r="C5" s="182"/>
      <c r="D5" s="182" t="s">
        <v>1350</v>
      </c>
      <c r="E5" s="182"/>
      <c r="F5" s="182" t="s">
        <v>737</v>
      </c>
      <c r="G5" s="182"/>
      <c r="H5" s="182" t="s">
        <v>226</v>
      </c>
      <c r="I5" s="182"/>
    </row>
    <row r="6" spans="1:9">
      <c r="A6" s="221" t="s">
        <v>199</v>
      </c>
      <c r="B6" s="221"/>
      <c r="C6" s="221"/>
      <c r="D6" s="222"/>
      <c r="E6" s="222"/>
      <c r="F6" s="222"/>
      <c r="G6" s="222"/>
      <c r="H6" s="222"/>
      <c r="I6" s="222"/>
    </row>
    <row r="7" spans="1:9">
      <c r="A7" s="223" t="s">
        <v>158</v>
      </c>
      <c r="B7" s="223"/>
      <c r="C7" s="223"/>
      <c r="D7" s="224"/>
      <c r="E7" s="224"/>
      <c r="F7" s="224"/>
      <c r="G7" s="224"/>
      <c r="H7" s="224"/>
      <c r="I7" s="224"/>
    </row>
    <row r="8" spans="1:9">
      <c r="A8" s="223" t="s">
        <v>845</v>
      </c>
      <c r="B8" s="223"/>
      <c r="C8" s="223"/>
      <c r="D8" s="224">
        <f>D6-D7</f>
        <v>0</v>
      </c>
      <c r="E8" s="224"/>
      <c r="F8" s="224">
        <f>F6-F7</f>
        <v>0</v>
      </c>
      <c r="G8" s="224"/>
      <c r="H8" s="224">
        <f>H6-H7</f>
        <v>0</v>
      </c>
      <c r="I8" s="224"/>
    </row>
    <row r="10" spans="1:9" ht="15" customHeight="1">
      <c r="A10" s="133" t="s">
        <v>676</v>
      </c>
      <c r="B10" s="133"/>
      <c r="C10" s="133"/>
      <c r="D10" s="133"/>
      <c r="E10" s="133"/>
      <c r="F10" s="133"/>
      <c r="G10" s="133"/>
      <c r="H10" s="133"/>
      <c r="I10" s="133"/>
    </row>
    <row r="12" spans="1:9" ht="39.950000000000003" customHeight="1">
      <c r="A12" s="183" t="s">
        <v>250</v>
      </c>
      <c r="B12" s="183"/>
      <c r="C12" s="183"/>
      <c r="D12" s="189" t="s">
        <v>1017</v>
      </c>
      <c r="E12" s="216"/>
      <c r="F12" s="217"/>
      <c r="G12" s="215" t="s">
        <v>660</v>
      </c>
      <c r="H12" s="215"/>
      <c r="I12" s="215"/>
    </row>
    <row r="13" spans="1:9">
      <c r="A13" s="182" t="s">
        <v>958</v>
      </c>
      <c r="B13" s="182"/>
      <c r="C13" s="182"/>
      <c r="D13" s="218" t="s">
        <v>1350</v>
      </c>
      <c r="E13" s="218"/>
      <c r="F13" s="218"/>
      <c r="G13" s="218" t="s">
        <v>737</v>
      </c>
      <c r="H13" s="218"/>
      <c r="I13" s="218"/>
    </row>
    <row r="14" spans="1:9" ht="39.950000000000003" customHeight="1">
      <c r="A14" s="225" t="s">
        <v>559</v>
      </c>
      <c r="B14" s="226"/>
      <c r="C14" s="227"/>
      <c r="D14" s="220"/>
      <c r="E14" s="220"/>
      <c r="F14" s="220"/>
      <c r="G14" s="220"/>
      <c r="H14" s="220"/>
      <c r="I14" s="220"/>
    </row>
    <row r="15" spans="1:9" ht="39.950000000000003" customHeight="1">
      <c r="A15" s="201" t="s">
        <v>590</v>
      </c>
      <c r="B15" s="201"/>
      <c r="C15" s="201"/>
      <c r="D15" s="219"/>
      <c r="E15" s="219"/>
      <c r="F15" s="219"/>
      <c r="G15" s="219"/>
      <c r="H15" s="219"/>
      <c r="I15" s="219"/>
    </row>
    <row r="16" spans="1:9" ht="30" customHeight="1">
      <c r="A16" s="201" t="s">
        <v>1106</v>
      </c>
      <c r="B16" s="201"/>
      <c r="C16" s="201"/>
      <c r="D16" s="219"/>
      <c r="E16" s="219"/>
      <c r="F16" s="219"/>
      <c r="G16" s="219"/>
      <c r="H16" s="219"/>
      <c r="I16" s="219"/>
    </row>
    <row r="17" spans="1:9" ht="30" customHeight="1">
      <c r="A17" s="201" t="s">
        <v>1306</v>
      </c>
      <c r="B17" s="201"/>
      <c r="C17" s="201"/>
      <c r="D17" s="219"/>
      <c r="E17" s="219"/>
      <c r="F17" s="219"/>
      <c r="G17" s="219"/>
      <c r="H17" s="219"/>
      <c r="I17" s="219"/>
    </row>
    <row r="19" spans="1:9" ht="15.75">
      <c r="A19" s="133" t="s">
        <v>886</v>
      </c>
      <c r="B19" s="133"/>
      <c r="C19" s="133"/>
      <c r="D19" s="133"/>
      <c r="E19" s="133"/>
      <c r="F19" s="133"/>
      <c r="G19" s="133"/>
      <c r="H19" s="133"/>
      <c r="I19" s="133"/>
    </row>
    <row r="21" spans="1:9" ht="60" customHeight="1">
      <c r="A21" s="183" t="s">
        <v>288</v>
      </c>
      <c r="B21" s="183"/>
      <c r="C21" s="183"/>
      <c r="D21" s="183" t="s">
        <v>1017</v>
      </c>
      <c r="E21" s="183"/>
      <c r="F21" s="183" t="s">
        <v>669</v>
      </c>
      <c r="G21" s="183"/>
      <c r="H21" s="183" t="s">
        <v>1099</v>
      </c>
      <c r="I21" s="183"/>
    </row>
    <row r="22" spans="1:9">
      <c r="A22" s="182" t="s">
        <v>958</v>
      </c>
      <c r="B22" s="182"/>
      <c r="C22" s="182"/>
      <c r="D22" s="182" t="s">
        <v>1350</v>
      </c>
      <c r="E22" s="182"/>
      <c r="F22" s="182" t="s">
        <v>737</v>
      </c>
      <c r="G22" s="182"/>
      <c r="H22" s="182" t="s">
        <v>226</v>
      </c>
      <c r="I22" s="182"/>
    </row>
    <row r="23" spans="1:9" ht="24.95" customHeight="1">
      <c r="A23" s="225" t="s">
        <v>856</v>
      </c>
      <c r="B23" s="228"/>
      <c r="C23" s="229"/>
      <c r="D23" s="220"/>
      <c r="E23" s="220"/>
      <c r="F23" s="220"/>
      <c r="G23" s="220"/>
      <c r="H23" s="220"/>
      <c r="I23" s="220"/>
    </row>
    <row r="24" spans="1:9" ht="24.95" customHeight="1">
      <c r="A24" s="230" t="s">
        <v>411</v>
      </c>
      <c r="B24" s="231"/>
      <c r="C24" s="232"/>
      <c r="D24" s="219"/>
      <c r="E24" s="219"/>
      <c r="F24" s="219"/>
      <c r="G24" s="219"/>
      <c r="H24" s="219"/>
      <c r="I24" s="219"/>
    </row>
    <row r="25" spans="1:9" ht="24.95" customHeight="1">
      <c r="A25" s="230" t="s">
        <v>845</v>
      </c>
      <c r="B25" s="231"/>
      <c r="C25" s="232"/>
      <c r="D25" s="219">
        <f>D23-D24</f>
        <v>0</v>
      </c>
      <c r="E25" s="219"/>
      <c r="F25" s="219">
        <f>F23-F24</f>
        <v>0</v>
      </c>
      <c r="G25" s="219"/>
      <c r="H25" s="219">
        <f>H23-H24</f>
        <v>0</v>
      </c>
      <c r="I25" s="219"/>
    </row>
    <row r="26" spans="1:9" ht="15" customHeight="1">
      <c r="A26" s="50"/>
      <c r="B26" s="51"/>
      <c r="C26" s="51"/>
      <c r="D26" s="52"/>
      <c r="E26" s="52"/>
      <c r="F26" s="52"/>
      <c r="G26" s="52"/>
      <c r="H26" s="52"/>
      <c r="I26" s="52"/>
    </row>
    <row r="27" spans="1:9" ht="15" customHeight="1">
      <c r="A27" s="50"/>
      <c r="B27" s="51"/>
      <c r="C27" s="51"/>
      <c r="D27" s="52"/>
      <c r="E27" s="52"/>
      <c r="F27" s="52"/>
      <c r="G27" s="52"/>
      <c r="H27" s="52"/>
      <c r="I27" s="52"/>
    </row>
    <row r="28" spans="1:9" ht="15" customHeight="1">
      <c r="A28" s="50"/>
      <c r="B28" s="51"/>
      <c r="C28" s="51"/>
      <c r="D28" s="52"/>
      <c r="E28" s="52"/>
      <c r="F28" s="52"/>
      <c r="G28" s="52"/>
      <c r="H28" s="52"/>
      <c r="I28" s="52"/>
    </row>
    <row r="29" spans="1:9" ht="15" customHeight="1">
      <c r="A29" s="50"/>
      <c r="B29" s="51"/>
      <c r="C29" s="51"/>
      <c r="D29" s="52"/>
      <c r="E29" s="52"/>
      <c r="F29" s="52"/>
      <c r="G29" s="52"/>
      <c r="H29" s="52"/>
      <c r="I29" s="52"/>
    </row>
    <row r="30" spans="1:9" ht="15" customHeight="1">
      <c r="A30" s="50"/>
      <c r="B30" s="51"/>
      <c r="C30" s="51"/>
      <c r="D30" s="52"/>
      <c r="E30" s="52"/>
      <c r="F30" s="52"/>
      <c r="G30" s="52"/>
      <c r="H30" s="52"/>
      <c r="I30" s="52"/>
    </row>
    <row r="31" spans="1:9" ht="15" customHeight="1">
      <c r="A31" s="50"/>
      <c r="B31" s="51"/>
      <c r="C31" s="51"/>
      <c r="D31" s="52"/>
      <c r="E31" s="52"/>
      <c r="F31" s="52"/>
      <c r="G31" s="52"/>
      <c r="H31" s="52"/>
      <c r="I31" s="52"/>
    </row>
    <row r="32" spans="1:9" ht="15" customHeight="1">
      <c r="A32" s="50"/>
      <c r="B32" s="51"/>
      <c r="C32" s="51"/>
      <c r="D32" s="52"/>
      <c r="E32" s="52"/>
      <c r="F32" s="52"/>
      <c r="G32" s="52"/>
      <c r="H32" s="52"/>
      <c r="I32" s="52"/>
    </row>
    <row r="33" spans="1:9" ht="15" customHeight="1">
      <c r="A33" s="50"/>
      <c r="B33" s="51"/>
      <c r="C33" s="51"/>
      <c r="D33" s="52"/>
      <c r="E33" s="52"/>
      <c r="F33" s="52"/>
      <c r="G33" s="52"/>
      <c r="H33" s="52"/>
      <c r="I33" s="52"/>
    </row>
    <row r="37" spans="1:9" ht="15.75">
      <c r="A37" s="133" t="s">
        <v>224</v>
      </c>
      <c r="B37" s="133"/>
      <c r="C37" s="133"/>
      <c r="D37" s="133"/>
      <c r="E37" s="133"/>
      <c r="F37" s="133"/>
      <c r="G37" s="133"/>
      <c r="H37" s="133"/>
      <c r="I37" s="133"/>
    </row>
    <row r="39" spans="1:9" ht="50.1" customHeight="1">
      <c r="A39" s="183" t="s">
        <v>597</v>
      </c>
      <c r="B39" s="183"/>
      <c r="C39" s="183"/>
      <c r="D39" s="189" t="s">
        <v>1017</v>
      </c>
      <c r="E39" s="216"/>
      <c r="F39" s="217"/>
      <c r="G39" s="215" t="s">
        <v>1099</v>
      </c>
      <c r="H39" s="215"/>
      <c r="I39" s="215"/>
    </row>
    <row r="40" spans="1:9">
      <c r="A40" s="182" t="s">
        <v>958</v>
      </c>
      <c r="B40" s="182"/>
      <c r="C40" s="182"/>
      <c r="D40" s="218" t="s">
        <v>1350</v>
      </c>
      <c r="E40" s="218"/>
      <c r="F40" s="218"/>
      <c r="G40" s="218" t="s">
        <v>737</v>
      </c>
      <c r="H40" s="218"/>
      <c r="I40" s="218"/>
    </row>
    <row r="41" spans="1:9" ht="35.1" customHeight="1">
      <c r="A41" s="225" t="s">
        <v>1317</v>
      </c>
      <c r="B41" s="226"/>
      <c r="C41" s="227"/>
      <c r="D41" s="220"/>
      <c r="E41" s="220"/>
      <c r="F41" s="220"/>
      <c r="G41" s="220"/>
      <c r="H41" s="220"/>
      <c r="I41" s="220"/>
    </row>
    <row r="42" spans="1:9" ht="35.1" customHeight="1">
      <c r="A42" s="201" t="s">
        <v>590</v>
      </c>
      <c r="B42" s="201"/>
      <c r="C42" s="201"/>
      <c r="D42" s="219"/>
      <c r="E42" s="219"/>
      <c r="F42" s="219"/>
      <c r="G42" s="219"/>
      <c r="H42" s="219"/>
      <c r="I42" s="219"/>
    </row>
    <row r="43" spans="1:9" ht="35.1" customHeight="1">
      <c r="A43" s="201" t="s">
        <v>1106</v>
      </c>
      <c r="B43" s="201"/>
      <c r="C43" s="201"/>
      <c r="D43" s="219"/>
      <c r="E43" s="219"/>
      <c r="F43" s="219"/>
      <c r="G43" s="219"/>
      <c r="H43" s="219"/>
      <c r="I43" s="219"/>
    </row>
    <row r="44" spans="1:9" ht="35.1" customHeight="1">
      <c r="A44" s="201" t="s">
        <v>1306</v>
      </c>
      <c r="B44" s="201"/>
      <c r="C44" s="201"/>
      <c r="D44" s="219"/>
      <c r="E44" s="219"/>
      <c r="F44" s="219"/>
      <c r="G44" s="219"/>
      <c r="H44" s="219"/>
      <c r="I44" s="219"/>
    </row>
  </sheetData>
  <sheetProtection sheet="1"/>
  <mergeCells count="80">
    <mergeCell ref="A43:C43"/>
    <mergeCell ref="D43:F43"/>
    <mergeCell ref="G43:I43"/>
    <mergeCell ref="A44:C44"/>
    <mergeCell ref="D44:F44"/>
    <mergeCell ref="G44:I44"/>
    <mergeCell ref="A41:C41"/>
    <mergeCell ref="D41:F41"/>
    <mergeCell ref="G41:I41"/>
    <mergeCell ref="A42:C42"/>
    <mergeCell ref="D42:F42"/>
    <mergeCell ref="G42:I42"/>
    <mergeCell ref="A37:I37"/>
    <mergeCell ref="A39:C39"/>
    <mergeCell ref="D39:F39"/>
    <mergeCell ref="G39:I39"/>
    <mergeCell ref="A40:C40"/>
    <mergeCell ref="D40:F40"/>
    <mergeCell ref="G40:I40"/>
    <mergeCell ref="A24:C24"/>
    <mergeCell ref="D24:E24"/>
    <mergeCell ref="F24:G24"/>
    <mergeCell ref="H24:I24"/>
    <mergeCell ref="A25:C25"/>
    <mergeCell ref="D25:E25"/>
    <mergeCell ref="F25:G25"/>
    <mergeCell ref="H25:I25"/>
    <mergeCell ref="A22:C22"/>
    <mergeCell ref="D22:E22"/>
    <mergeCell ref="F22:G22"/>
    <mergeCell ref="H22:I22"/>
    <mergeCell ref="A23:C23"/>
    <mergeCell ref="D23:E23"/>
    <mergeCell ref="F23:G23"/>
    <mergeCell ref="H23:I23"/>
    <mergeCell ref="A10:I10"/>
    <mergeCell ref="A19:I19"/>
    <mergeCell ref="A21:C21"/>
    <mergeCell ref="D21:E21"/>
    <mergeCell ref="F21:G21"/>
    <mergeCell ref="H21:I21"/>
    <mergeCell ref="A13:C13"/>
    <mergeCell ref="A14:C14"/>
    <mergeCell ref="A15:C15"/>
    <mergeCell ref="A16:C16"/>
    <mergeCell ref="A4:C4"/>
    <mergeCell ref="D4:E4"/>
    <mergeCell ref="F4:G4"/>
    <mergeCell ref="H4:I4"/>
    <mergeCell ref="A5:C5"/>
    <mergeCell ref="D5:E5"/>
    <mergeCell ref="H5:I5"/>
    <mergeCell ref="A8:C8"/>
    <mergeCell ref="D8:E8"/>
    <mergeCell ref="F8:G8"/>
    <mergeCell ref="H8:I8"/>
    <mergeCell ref="A7:C7"/>
    <mergeCell ref="D7:E7"/>
    <mergeCell ref="F7:G7"/>
    <mergeCell ref="H7:I7"/>
    <mergeCell ref="D16:F16"/>
    <mergeCell ref="G15:I15"/>
    <mergeCell ref="G16:I16"/>
    <mergeCell ref="A2:I2"/>
    <mergeCell ref="A12:C12"/>
    <mergeCell ref="A6:C6"/>
    <mergeCell ref="D6:E6"/>
    <mergeCell ref="F6:G6"/>
    <mergeCell ref="H6:I6"/>
    <mergeCell ref="F5:G5"/>
    <mergeCell ref="D12:F12"/>
    <mergeCell ref="G12:I12"/>
    <mergeCell ref="D13:F13"/>
    <mergeCell ref="G13:I13"/>
    <mergeCell ref="A17:C17"/>
    <mergeCell ref="D17:F17"/>
    <mergeCell ref="G17:I17"/>
    <mergeCell ref="D14:F14"/>
    <mergeCell ref="G14:I14"/>
    <mergeCell ref="D15:F15"/>
  </mergeCells>
  <phoneticPr fontId="0" type="noConversion"/>
  <pageMargins left="0.7" right="0.7" top="0.75" bottom="0.75" header="0.3" footer="0.3"/>
  <pageSetup paperSize="9" scale="9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2:I97"/>
  <sheetViews>
    <sheetView topLeftCell="A14" workbookViewId="0">
      <selection activeCell="G39" sqref="G39:I39"/>
    </sheetView>
  </sheetViews>
  <sheetFormatPr defaultRowHeight="15"/>
  <cols>
    <col min="1" max="9" width="9.7109375" customWidth="1"/>
  </cols>
  <sheetData>
    <row r="2" spans="1:9" ht="15.75">
      <c r="A2" s="11" t="s">
        <v>780</v>
      </c>
    </row>
    <row r="4" spans="1:9">
      <c r="A4" s="233" t="s">
        <v>1261</v>
      </c>
      <c r="B4" s="234"/>
      <c r="C4" s="234"/>
      <c r="D4" s="235"/>
      <c r="E4" s="189" t="s">
        <v>332</v>
      </c>
      <c r="F4" s="148"/>
      <c r="G4" s="148"/>
      <c r="H4" s="148"/>
      <c r="I4" s="149"/>
    </row>
    <row r="5" spans="1:9" ht="60">
      <c r="A5" s="236"/>
      <c r="B5" s="237"/>
      <c r="C5" s="237"/>
      <c r="D5" s="238"/>
      <c r="E5" s="33" t="s">
        <v>934</v>
      </c>
      <c r="F5" s="33" t="s">
        <v>545</v>
      </c>
      <c r="G5" s="33" t="s">
        <v>282</v>
      </c>
      <c r="H5" s="33" t="s">
        <v>450</v>
      </c>
      <c r="I5" s="33" t="s">
        <v>1328</v>
      </c>
    </row>
    <row r="6" spans="1:9">
      <c r="A6" s="208" t="s">
        <v>958</v>
      </c>
      <c r="B6" s="208"/>
      <c r="C6" s="208"/>
      <c r="D6" s="208"/>
      <c r="E6" s="44" t="s">
        <v>1350</v>
      </c>
      <c r="F6" s="44" t="s">
        <v>737</v>
      </c>
      <c r="G6" s="44" t="s">
        <v>226</v>
      </c>
      <c r="H6" s="44" t="s">
        <v>830</v>
      </c>
      <c r="I6" s="44" t="s">
        <v>126</v>
      </c>
    </row>
    <row r="7" spans="1:9" ht="24.95" customHeight="1">
      <c r="A7" s="239" t="s">
        <v>709</v>
      </c>
      <c r="B7" s="240"/>
      <c r="C7" s="240"/>
      <c r="D7" s="241"/>
      <c r="E7" s="43">
        <v>8383</v>
      </c>
      <c r="F7" s="43">
        <v>6750</v>
      </c>
      <c r="G7" s="43">
        <f>IF(ISERROR(VLOOKUP(391,Suvaha_BO!A:F,5,0)),0,VLOOKUP(391,Suvaha_BO!A:F,5,0))</f>
        <v>0</v>
      </c>
      <c r="H7" s="43">
        <v>15133</v>
      </c>
      <c r="I7" s="43">
        <f>E7+F7-G7-H7</f>
        <v>0</v>
      </c>
    </row>
    <row r="8" spans="1:9" ht="24.95" customHeight="1">
      <c r="A8" s="187" t="s">
        <v>468</v>
      </c>
      <c r="B8" s="242"/>
      <c r="C8" s="242"/>
      <c r="D8" s="149"/>
      <c r="E8" s="38">
        <f>IF(ISERROR(VLOOKUP(411,Suvaha_BO!A:F,4,0)),0,VLOOKUP(411,Suvaha_BO!A:F,4,0))</f>
        <v>0</v>
      </c>
      <c r="F8" s="38">
        <f>IF(ISERROR(VLOOKUP(411,Suvaha_BO!A:F,6,0)),0,VLOOKUP(411,Suvaha_BO!A:F,6,0))</f>
        <v>0</v>
      </c>
      <c r="G8" s="38">
        <f>IF(ISERROR(VLOOKUP(411,Suvaha_BO!A:F,5,0)),0,VLOOKUP(411,Suvaha_BO!A:F,5,0))</f>
        <v>0</v>
      </c>
      <c r="H8" s="38"/>
      <c r="I8" s="38">
        <f>E8+F8-G8-H8</f>
        <v>0</v>
      </c>
    </row>
    <row r="9" spans="1:9" ht="24.95" customHeight="1">
      <c r="A9" s="187" t="s">
        <v>1297</v>
      </c>
      <c r="B9" s="242"/>
      <c r="C9" s="242"/>
      <c r="D9" s="149"/>
      <c r="E9" s="38">
        <f>IF(ISERROR(VLOOKUP(421,Suvaha_BO!A:F,4,0)),0,VLOOKUP(421,Suvaha_BO!A:F,4,0))</f>
        <v>0</v>
      </c>
      <c r="F9" s="38">
        <f>IF(ISERROR(VLOOKUP(421,Suvaha_BO!A:F,6,0)),0,VLOOKUP(421,Suvaha_BO!A:F,6,0))</f>
        <v>0</v>
      </c>
      <c r="G9" s="38">
        <f>IF(ISERROR(VLOOKUP(342,Suvaha_BO!A:F,5,0)),0,VLOOKUP(342,Suvaha_BO!A:F,5,0))</f>
        <v>0</v>
      </c>
      <c r="H9" s="38"/>
      <c r="I9" s="38">
        <f>E9+F9-G9-H9</f>
        <v>0</v>
      </c>
    </row>
    <row r="10" spans="1:9" ht="24.95" customHeight="1">
      <c r="A10" s="187" t="s">
        <v>116</v>
      </c>
      <c r="B10" s="242"/>
      <c r="C10" s="242"/>
      <c r="D10" s="149"/>
      <c r="E10" s="38">
        <f>IF(ISERROR(VLOOKUP(431,Suvaha_BO!A:F,4,0)),0,VLOOKUP(431,Suvaha_BO!A:F,4,0))</f>
        <v>0</v>
      </c>
      <c r="F10" s="38">
        <f>IF(ISERROR(VLOOKUP(431,Suvaha_BO!A:F,6,0)),0,VLOOKUP(431,Suvaha_BO!A:F,6,0))</f>
        <v>0</v>
      </c>
      <c r="G10" s="38">
        <f>IF(ISERROR(VLOOKUP(431,Suvaha_BO!A:F,5,0)),0,VLOOKUP(431,Suvaha_BO!A:F,5,0))</f>
        <v>0</v>
      </c>
      <c r="H10" s="38"/>
      <c r="I10" s="38">
        <f>E10+F10-G10-H10</f>
        <v>0</v>
      </c>
    </row>
    <row r="11" spans="1:9" ht="24.95" customHeight="1">
      <c r="A11" s="187" t="s">
        <v>342</v>
      </c>
      <c r="B11" s="242"/>
      <c r="C11" s="242"/>
      <c r="D11" s="149"/>
      <c r="E11" s="38">
        <v>0</v>
      </c>
      <c r="F11" s="38">
        <f>IF(ISERROR(VLOOKUP(441,Suvaha_BO!A:F,6,0)),0,VLOOKUP(441,Suvaha_BO!A:F,6,0))</f>
        <v>0</v>
      </c>
      <c r="G11" s="38">
        <f>IF(ISERROR(VLOOKUP(441,Suvaha_BO!A:F,5,0)),0,VLOOKUP(441,Suvaha_BO!A:F,5,0))</f>
        <v>0</v>
      </c>
      <c r="H11" s="38"/>
      <c r="I11" s="38">
        <f>E11+F11-G11-H11</f>
        <v>0</v>
      </c>
    </row>
    <row r="12" spans="1:9" ht="24.95" customHeight="1">
      <c r="A12" s="198" t="s">
        <v>929</v>
      </c>
      <c r="B12" s="243"/>
      <c r="C12" s="243"/>
      <c r="D12" s="149"/>
      <c r="E12" s="40">
        <f>SUM(E7:E11)</f>
        <v>8383</v>
      </c>
      <c r="F12" s="40">
        <f>SUM(F7:F11)</f>
        <v>6750</v>
      </c>
      <c r="G12" s="40">
        <f>SUM(G7:G11)</f>
        <v>0</v>
      </c>
      <c r="H12" s="40">
        <f>SUM(H7:H11)</f>
        <v>15133</v>
      </c>
      <c r="I12" s="40">
        <f>SUM(I7:I11)</f>
        <v>0</v>
      </c>
    </row>
    <row r="14" spans="1:9" ht="15.75">
      <c r="A14" s="133" t="s">
        <v>756</v>
      </c>
      <c r="B14" s="133"/>
      <c r="C14" s="133"/>
      <c r="D14" s="133"/>
      <c r="E14" s="133"/>
      <c r="F14" s="133"/>
      <c r="G14" s="133"/>
      <c r="H14" s="133"/>
      <c r="I14" s="133"/>
    </row>
    <row r="16" spans="1:9" ht="15" customHeight="1">
      <c r="A16" s="183" t="s">
        <v>288</v>
      </c>
      <c r="B16" s="183"/>
      <c r="C16" s="183"/>
      <c r="D16" s="183" t="s">
        <v>616</v>
      </c>
      <c r="E16" s="183"/>
      <c r="F16" s="183" t="s">
        <v>521</v>
      </c>
      <c r="G16" s="183"/>
      <c r="H16" s="183" t="s">
        <v>929</v>
      </c>
      <c r="I16" s="183"/>
    </row>
    <row r="17" spans="1:9">
      <c r="A17" s="182" t="s">
        <v>958</v>
      </c>
      <c r="B17" s="182"/>
      <c r="C17" s="182"/>
      <c r="D17" s="182" t="s">
        <v>1350</v>
      </c>
      <c r="E17" s="182"/>
      <c r="F17" s="182" t="s">
        <v>737</v>
      </c>
      <c r="G17" s="182"/>
      <c r="H17" s="182" t="s">
        <v>226</v>
      </c>
      <c r="I17" s="182"/>
    </row>
    <row r="18" spans="1:9">
      <c r="A18" s="264" t="s">
        <v>1243</v>
      </c>
      <c r="B18" s="265"/>
      <c r="C18" s="265"/>
      <c r="D18" s="265"/>
      <c r="E18" s="265"/>
      <c r="F18" s="265"/>
      <c r="G18" s="265"/>
      <c r="H18" s="265"/>
      <c r="I18" s="266"/>
    </row>
    <row r="19" spans="1:9" ht="24.95" customHeight="1">
      <c r="A19" s="194" t="s">
        <v>709</v>
      </c>
      <c r="B19" s="194"/>
      <c r="C19" s="194"/>
      <c r="D19" s="220"/>
      <c r="E19" s="220"/>
      <c r="F19" s="220"/>
      <c r="G19" s="220"/>
      <c r="H19" s="220">
        <f>D19+F19</f>
        <v>0</v>
      </c>
      <c r="I19" s="220"/>
    </row>
    <row r="20" spans="1:9" ht="24.95" customHeight="1">
      <c r="A20" s="196" t="s">
        <v>468</v>
      </c>
      <c r="B20" s="196"/>
      <c r="C20" s="196"/>
      <c r="D20" s="219"/>
      <c r="E20" s="219"/>
      <c r="F20" s="219"/>
      <c r="G20" s="219"/>
      <c r="H20" s="220">
        <f>D20+F20</f>
        <v>0</v>
      </c>
      <c r="I20" s="220"/>
    </row>
    <row r="21" spans="1:9" ht="24.95" customHeight="1">
      <c r="A21" s="196" t="s">
        <v>1297</v>
      </c>
      <c r="B21" s="196"/>
      <c r="C21" s="196"/>
      <c r="D21" s="220"/>
      <c r="E21" s="220"/>
      <c r="F21" s="220"/>
      <c r="G21" s="220"/>
      <c r="H21" s="220">
        <f>D21+F21</f>
        <v>0</v>
      </c>
      <c r="I21" s="220"/>
    </row>
    <row r="22" spans="1:9" ht="24.95" customHeight="1">
      <c r="A22" s="196" t="s">
        <v>116</v>
      </c>
      <c r="B22" s="196"/>
      <c r="C22" s="196"/>
      <c r="D22" s="219"/>
      <c r="E22" s="219"/>
      <c r="F22" s="219"/>
      <c r="G22" s="219"/>
      <c r="H22" s="220">
        <f>D22+F22</f>
        <v>0</v>
      </c>
      <c r="I22" s="220"/>
    </row>
    <row r="23" spans="1:9" ht="24.95" customHeight="1">
      <c r="A23" s="196" t="s">
        <v>342</v>
      </c>
      <c r="B23" s="196"/>
      <c r="C23" s="196"/>
      <c r="D23" s="219"/>
      <c r="E23" s="219"/>
      <c r="F23" s="219"/>
      <c r="G23" s="219"/>
      <c r="H23" s="220">
        <f>D23+F23</f>
        <v>0</v>
      </c>
      <c r="I23" s="220"/>
    </row>
    <row r="24" spans="1:9" ht="24.95" customHeight="1">
      <c r="A24" s="267" t="s">
        <v>503</v>
      </c>
      <c r="B24" s="268"/>
      <c r="C24" s="269"/>
      <c r="D24" s="270">
        <f>D19+D23</f>
        <v>0</v>
      </c>
      <c r="E24" s="271"/>
      <c r="F24" s="270">
        <f>F19+F23</f>
        <v>0</v>
      </c>
      <c r="G24" s="271"/>
      <c r="H24" s="270">
        <f>H19+H23</f>
        <v>0</v>
      </c>
      <c r="I24" s="271"/>
    </row>
    <row r="25" spans="1:9">
      <c r="A25" s="261" t="s">
        <v>692</v>
      </c>
      <c r="B25" s="262"/>
      <c r="C25" s="262"/>
      <c r="D25" s="262"/>
      <c r="E25" s="262"/>
      <c r="F25" s="262"/>
      <c r="G25" s="262"/>
      <c r="H25" s="262"/>
      <c r="I25" s="263"/>
    </row>
    <row r="26" spans="1:9" ht="24.95" customHeight="1">
      <c r="A26" s="194" t="s">
        <v>709</v>
      </c>
      <c r="B26" s="194"/>
      <c r="C26" s="194"/>
      <c r="D26" s="220">
        <v>262765</v>
      </c>
      <c r="E26" s="220"/>
      <c r="F26" s="220">
        <v>0</v>
      </c>
      <c r="G26" s="220"/>
      <c r="H26" s="220">
        <f>D26+F26</f>
        <v>262765</v>
      </c>
      <c r="I26" s="220"/>
    </row>
    <row r="27" spans="1:9" ht="24.95" customHeight="1">
      <c r="A27" s="196" t="s">
        <v>468</v>
      </c>
      <c r="B27" s="196"/>
      <c r="C27" s="196"/>
      <c r="D27" s="219"/>
      <c r="E27" s="219"/>
      <c r="F27" s="219"/>
      <c r="G27" s="219"/>
      <c r="H27" s="220">
        <f>D27+F27</f>
        <v>0</v>
      </c>
      <c r="I27" s="220"/>
    </row>
    <row r="28" spans="1:9" ht="24.95" customHeight="1">
      <c r="A28" s="196" t="s">
        <v>1297</v>
      </c>
      <c r="B28" s="196"/>
      <c r="C28" s="196"/>
      <c r="D28" s="220"/>
      <c r="E28" s="220"/>
      <c r="F28" s="220"/>
      <c r="G28" s="220"/>
      <c r="H28" s="220">
        <f>D28+F28</f>
        <v>0</v>
      </c>
      <c r="I28" s="220"/>
    </row>
    <row r="29" spans="1:9" ht="24.95" customHeight="1">
      <c r="A29" s="196" t="s">
        <v>116</v>
      </c>
      <c r="B29" s="196"/>
      <c r="C29" s="196"/>
      <c r="D29" s="219"/>
      <c r="E29" s="219"/>
      <c r="F29" s="219"/>
      <c r="G29" s="219"/>
      <c r="H29" s="220">
        <f>D29+F29</f>
        <v>0</v>
      </c>
      <c r="I29" s="220"/>
    </row>
    <row r="30" spans="1:9" ht="24.95" customHeight="1">
      <c r="A30" s="196" t="s">
        <v>770</v>
      </c>
      <c r="B30" s="196"/>
      <c r="C30" s="196"/>
      <c r="D30" s="220"/>
      <c r="E30" s="220"/>
      <c r="F30" s="220"/>
      <c r="G30" s="220"/>
      <c r="H30" s="220">
        <f>D30+F30</f>
        <v>0</v>
      </c>
      <c r="I30" s="220"/>
    </row>
    <row r="31" spans="1:9" ht="24.95" customHeight="1">
      <c r="A31" s="196" t="s">
        <v>609</v>
      </c>
      <c r="B31" s="196"/>
      <c r="C31" s="196"/>
      <c r="D31" s="255" t="s">
        <v>1363</v>
      </c>
      <c r="E31" s="219"/>
      <c r="F31" s="255">
        <v>0</v>
      </c>
      <c r="G31" s="219"/>
      <c r="H31" s="220">
        <v>0</v>
      </c>
      <c r="I31" s="220"/>
    </row>
    <row r="32" spans="1:9" ht="24.95" customHeight="1">
      <c r="A32" s="196" t="s">
        <v>342</v>
      </c>
      <c r="B32" s="196"/>
      <c r="C32" s="196"/>
      <c r="D32" s="255" t="s">
        <v>1363</v>
      </c>
      <c r="E32" s="219"/>
      <c r="F32" s="219">
        <v>0</v>
      </c>
      <c r="G32" s="219"/>
      <c r="H32" s="220">
        <v>0</v>
      </c>
      <c r="I32" s="220"/>
    </row>
    <row r="33" spans="1:9" ht="24.95" customHeight="1">
      <c r="A33" s="256" t="s">
        <v>193</v>
      </c>
      <c r="B33" s="257"/>
      <c r="C33" s="258"/>
      <c r="D33" s="259">
        <v>262765</v>
      </c>
      <c r="E33" s="260"/>
      <c r="F33" s="259">
        <f>F26+F32</f>
        <v>0</v>
      </c>
      <c r="G33" s="260"/>
      <c r="H33" s="259">
        <v>262765</v>
      </c>
      <c r="I33" s="260"/>
    </row>
    <row r="35" spans="1:9" ht="15" customHeight="1">
      <c r="A35" s="133" t="s">
        <v>652</v>
      </c>
      <c r="B35" s="133"/>
      <c r="C35" s="133"/>
      <c r="D35" s="133"/>
      <c r="E35" s="133"/>
      <c r="F35" s="133"/>
      <c r="G35" s="133"/>
      <c r="H35" s="133"/>
      <c r="I35" s="133"/>
    </row>
    <row r="37" spans="1:9" ht="30" customHeight="1">
      <c r="A37" s="183" t="s">
        <v>1207</v>
      </c>
      <c r="B37" s="183"/>
      <c r="C37" s="183"/>
      <c r="D37" s="189" t="s">
        <v>332</v>
      </c>
      <c r="E37" s="216"/>
      <c r="F37" s="217"/>
      <c r="G37" s="189" t="s">
        <v>360</v>
      </c>
      <c r="H37" s="216"/>
      <c r="I37" s="217"/>
    </row>
    <row r="38" spans="1:9">
      <c r="A38" s="182" t="s">
        <v>958</v>
      </c>
      <c r="B38" s="182"/>
      <c r="C38" s="182"/>
      <c r="D38" s="218" t="s">
        <v>1350</v>
      </c>
      <c r="E38" s="218"/>
      <c r="F38" s="218"/>
      <c r="G38" s="218" t="s">
        <v>737</v>
      </c>
      <c r="H38" s="218"/>
      <c r="I38" s="218"/>
    </row>
    <row r="39" spans="1:9" ht="24.95" customHeight="1">
      <c r="A39" s="225" t="s">
        <v>767</v>
      </c>
      <c r="B39" s="226"/>
      <c r="C39" s="227"/>
      <c r="D39" s="254" t="s">
        <v>1363</v>
      </c>
      <c r="E39" s="220"/>
      <c r="F39" s="220"/>
      <c r="G39" s="254" t="s">
        <v>1363</v>
      </c>
      <c r="H39" s="220"/>
      <c r="I39" s="220"/>
    </row>
    <row r="40" spans="1:9" ht="24.95" customHeight="1">
      <c r="A40" s="201" t="s">
        <v>650</v>
      </c>
      <c r="B40" s="201"/>
      <c r="C40" s="201"/>
      <c r="D40" s="219"/>
      <c r="E40" s="219"/>
      <c r="F40" s="219"/>
      <c r="G40" s="219"/>
      <c r="H40" s="219"/>
      <c r="I40" s="219"/>
    </row>
    <row r="41" spans="1:9" ht="24.95" customHeight="1">
      <c r="A41" s="203" t="s">
        <v>193</v>
      </c>
      <c r="B41" s="203"/>
      <c r="C41" s="203"/>
      <c r="D41" s="253" t="s">
        <v>1363</v>
      </c>
      <c r="E41" s="213"/>
      <c r="F41" s="213"/>
      <c r="G41" s="253" t="s">
        <v>1363</v>
      </c>
      <c r="H41" s="213"/>
      <c r="I41" s="213"/>
    </row>
    <row r="42" spans="1:9" ht="24.95" customHeight="1">
      <c r="A42" s="201" t="s">
        <v>775</v>
      </c>
      <c r="B42" s="201"/>
      <c r="C42" s="201"/>
      <c r="D42" s="219"/>
      <c r="E42" s="219"/>
      <c r="F42" s="219"/>
      <c r="G42" s="219"/>
      <c r="H42" s="219"/>
      <c r="I42" s="219"/>
    </row>
    <row r="43" spans="1:9" ht="24.95" customHeight="1">
      <c r="A43" s="201" t="s">
        <v>906</v>
      </c>
      <c r="B43" s="201"/>
      <c r="C43" s="201"/>
      <c r="D43" s="219"/>
      <c r="E43" s="219"/>
      <c r="F43" s="219"/>
      <c r="G43" s="219"/>
      <c r="H43" s="219"/>
      <c r="I43" s="219"/>
    </row>
    <row r="44" spans="1:9" ht="24.95" customHeight="1">
      <c r="A44" s="203" t="s">
        <v>503</v>
      </c>
      <c r="B44" s="203"/>
      <c r="C44" s="203"/>
      <c r="D44" s="213">
        <f>SUM(D42:F43)</f>
        <v>0</v>
      </c>
      <c r="E44" s="213"/>
      <c r="F44" s="213"/>
      <c r="G44" s="213">
        <f>SUM(G42:I43)</f>
        <v>0</v>
      </c>
      <c r="H44" s="213"/>
      <c r="I44" s="213"/>
    </row>
    <row r="46" spans="1:9" ht="15" customHeight="1">
      <c r="A46" s="133" t="s">
        <v>1193</v>
      </c>
      <c r="B46" s="133"/>
      <c r="C46" s="133"/>
      <c r="D46" s="133"/>
      <c r="E46" s="133"/>
      <c r="F46" s="133"/>
      <c r="G46" s="133"/>
      <c r="H46" s="133"/>
      <c r="I46" s="133"/>
    </row>
    <row r="48" spans="1:9" ht="15" customHeight="1">
      <c r="A48" s="233" t="s">
        <v>584</v>
      </c>
      <c r="B48" s="234"/>
      <c r="C48" s="235"/>
      <c r="D48" s="189" t="s">
        <v>332</v>
      </c>
      <c r="E48" s="216"/>
      <c r="F48" s="216"/>
      <c r="G48" s="216"/>
      <c r="H48" s="216"/>
      <c r="I48" s="217"/>
    </row>
    <row r="49" spans="1:9" ht="15" customHeight="1">
      <c r="A49" s="244"/>
      <c r="B49" s="245"/>
      <c r="C49" s="246"/>
      <c r="D49" s="233" t="s">
        <v>1296</v>
      </c>
      <c r="E49" s="234"/>
      <c r="F49" s="235"/>
      <c r="G49" s="233" t="s">
        <v>817</v>
      </c>
      <c r="H49" s="234"/>
      <c r="I49" s="235"/>
    </row>
    <row r="50" spans="1:9" ht="24.95" customHeight="1">
      <c r="A50" s="225" t="s">
        <v>1079</v>
      </c>
      <c r="B50" s="226"/>
      <c r="C50" s="227"/>
      <c r="D50" s="247"/>
      <c r="E50" s="247"/>
      <c r="F50" s="247"/>
      <c r="G50" s="247"/>
      <c r="H50" s="247"/>
      <c r="I50" s="247"/>
    </row>
    <row r="51" spans="1:9" ht="24.95" customHeight="1">
      <c r="A51" s="201" t="s">
        <v>916</v>
      </c>
      <c r="B51" s="201"/>
      <c r="C51" s="201"/>
      <c r="D51" s="219"/>
      <c r="E51" s="219"/>
      <c r="F51" s="219"/>
      <c r="G51" s="219"/>
      <c r="H51" s="219"/>
      <c r="I51" s="219"/>
    </row>
    <row r="52" spans="1:9" ht="24.95" customHeight="1">
      <c r="A52" s="201" t="s">
        <v>1227</v>
      </c>
      <c r="B52" s="201"/>
      <c r="C52" s="201"/>
      <c r="D52" s="219"/>
      <c r="E52" s="219"/>
      <c r="F52" s="219"/>
      <c r="G52" s="219"/>
      <c r="H52" s="219"/>
      <c r="I52" s="219"/>
    </row>
    <row r="53" spans="1:9" ht="15" customHeight="1">
      <c r="A53" s="53"/>
      <c r="B53" s="53"/>
      <c r="C53" s="53"/>
      <c r="D53" s="52"/>
      <c r="E53" s="52"/>
      <c r="F53" s="52"/>
      <c r="G53" s="52"/>
      <c r="H53" s="52"/>
      <c r="I53" s="52"/>
    </row>
    <row r="54" spans="1:9" ht="15" customHeight="1">
      <c r="A54" s="53"/>
      <c r="B54" s="53"/>
      <c r="C54" s="53"/>
      <c r="D54" s="52"/>
      <c r="E54" s="52"/>
      <c r="F54" s="52"/>
      <c r="G54" s="52"/>
      <c r="H54" s="52"/>
      <c r="I54" s="52"/>
    </row>
    <row r="55" spans="1:9" ht="15" customHeight="1">
      <c r="A55" s="53"/>
      <c r="B55" s="53"/>
      <c r="C55" s="53"/>
      <c r="D55" s="52"/>
      <c r="E55" s="52"/>
      <c r="F55" s="52"/>
      <c r="G55" s="52"/>
      <c r="H55" s="52"/>
      <c r="I55" s="52"/>
    </row>
    <row r="56" spans="1:9" ht="15" customHeight="1">
      <c r="A56" s="53"/>
      <c r="B56" s="53"/>
      <c r="C56" s="53"/>
      <c r="D56" s="52"/>
      <c r="E56" s="52"/>
      <c r="F56" s="52"/>
      <c r="G56" s="52"/>
      <c r="H56" s="52"/>
      <c r="I56" s="52"/>
    </row>
    <row r="57" spans="1:9" ht="15" customHeight="1">
      <c r="A57" s="53"/>
      <c r="B57" s="53"/>
      <c r="C57" s="53"/>
      <c r="D57" s="52"/>
      <c r="E57" s="52"/>
      <c r="F57" s="52"/>
      <c r="G57" s="52"/>
      <c r="H57" s="52"/>
      <c r="I57" s="52"/>
    </row>
    <row r="58" spans="1:9" ht="15" customHeight="1">
      <c r="A58" s="53"/>
      <c r="B58" s="53"/>
      <c r="C58" s="53"/>
      <c r="D58" s="52"/>
      <c r="E58" s="52"/>
      <c r="F58" s="52"/>
      <c r="G58" s="52"/>
      <c r="H58" s="52"/>
      <c r="I58" s="52"/>
    </row>
    <row r="59" spans="1:9" ht="15" customHeight="1">
      <c r="A59" s="53"/>
      <c r="B59" s="53"/>
      <c r="C59" s="53"/>
      <c r="D59" s="52"/>
      <c r="E59" s="52"/>
      <c r="F59" s="52"/>
      <c r="G59" s="52"/>
      <c r="H59" s="52"/>
      <c r="I59" s="52"/>
    </row>
    <row r="60" spans="1:9" ht="15" customHeight="1">
      <c r="A60" s="53"/>
      <c r="B60" s="53"/>
      <c r="C60" s="53"/>
      <c r="D60" s="52"/>
      <c r="E60" s="52"/>
      <c r="F60" s="52"/>
      <c r="G60" s="52"/>
      <c r="H60" s="52"/>
      <c r="I60" s="52"/>
    </row>
    <row r="61" spans="1:9" ht="15" customHeight="1">
      <c r="A61" s="53"/>
      <c r="B61" s="53"/>
      <c r="C61" s="53"/>
      <c r="D61" s="52"/>
      <c r="E61" s="52"/>
      <c r="F61" s="52"/>
      <c r="G61" s="52"/>
      <c r="H61" s="52"/>
      <c r="I61" s="52"/>
    </row>
    <row r="62" spans="1:9" ht="15" customHeight="1">
      <c r="A62" s="53"/>
      <c r="B62" s="53"/>
      <c r="C62" s="53"/>
      <c r="D62" s="52"/>
      <c r="E62" s="52"/>
      <c r="F62" s="52"/>
      <c r="G62" s="52"/>
      <c r="H62" s="52"/>
      <c r="I62" s="52"/>
    </row>
    <row r="63" spans="1:9" ht="15" customHeight="1">
      <c r="A63" s="53"/>
      <c r="B63" s="53"/>
      <c r="C63" s="53"/>
      <c r="D63" s="52"/>
      <c r="E63" s="52"/>
      <c r="F63" s="52"/>
      <c r="G63" s="52"/>
      <c r="H63" s="52"/>
      <c r="I63" s="52"/>
    </row>
    <row r="64" spans="1:9" ht="15" customHeight="1">
      <c r="A64" s="53"/>
      <c r="B64" s="53"/>
      <c r="C64" s="53"/>
      <c r="D64" s="52"/>
      <c r="E64" s="52"/>
      <c r="F64" s="52"/>
      <c r="G64" s="52"/>
      <c r="H64" s="52"/>
      <c r="I64" s="52"/>
    </row>
    <row r="65" spans="1:9" ht="15" customHeight="1">
      <c r="A65" s="53"/>
      <c r="B65" s="53"/>
      <c r="C65" s="53"/>
      <c r="D65" s="52"/>
      <c r="E65" s="52"/>
      <c r="F65" s="52"/>
      <c r="G65" s="52"/>
      <c r="H65" s="52"/>
      <c r="I65" s="52"/>
    </row>
    <row r="66" spans="1:9" ht="15" customHeight="1">
      <c r="A66" s="53"/>
      <c r="B66" s="53"/>
      <c r="C66" s="53"/>
      <c r="D66" s="52"/>
      <c r="E66" s="52"/>
      <c r="F66" s="52"/>
      <c r="G66" s="52"/>
      <c r="H66" s="52"/>
      <c r="I66" s="52"/>
    </row>
    <row r="67" spans="1:9" ht="15" customHeight="1">
      <c r="A67" s="53"/>
      <c r="B67" s="53"/>
      <c r="C67" s="53"/>
      <c r="D67" s="52"/>
      <c r="E67" s="52"/>
      <c r="F67" s="52"/>
      <c r="G67" s="52"/>
      <c r="H67" s="52"/>
      <c r="I67" s="52"/>
    </row>
    <row r="68" spans="1:9" ht="15" customHeight="1">
      <c r="A68" s="53"/>
      <c r="B68" s="53"/>
      <c r="C68" s="53"/>
      <c r="D68" s="52"/>
      <c r="E68" s="52"/>
      <c r="F68" s="52"/>
      <c r="G68" s="52"/>
      <c r="H68" s="52"/>
      <c r="I68" s="52"/>
    </row>
    <row r="69" spans="1:9" ht="15" customHeight="1">
      <c r="A69" s="53"/>
      <c r="B69" s="53"/>
      <c r="C69" s="53"/>
      <c r="D69" s="52"/>
      <c r="E69" s="52"/>
      <c r="F69" s="52"/>
      <c r="G69" s="52"/>
      <c r="H69" s="52"/>
      <c r="I69" s="52"/>
    </row>
    <row r="70" spans="1:9" ht="15" customHeight="1">
      <c r="A70" s="53"/>
      <c r="B70" s="53"/>
      <c r="C70" s="53"/>
      <c r="D70" s="52"/>
      <c r="E70" s="52"/>
      <c r="F70" s="52"/>
      <c r="G70" s="52"/>
      <c r="H70" s="52"/>
      <c r="I70" s="52"/>
    </row>
    <row r="71" spans="1:9" ht="15" customHeight="1">
      <c r="A71" s="53"/>
      <c r="B71" s="53"/>
      <c r="C71" s="53"/>
      <c r="D71" s="52"/>
      <c r="E71" s="52"/>
      <c r="F71" s="52"/>
      <c r="G71" s="52"/>
      <c r="H71" s="52"/>
      <c r="I71" s="52"/>
    </row>
    <row r="72" spans="1:9" ht="15" customHeight="1">
      <c r="A72" s="53"/>
      <c r="B72" s="53"/>
      <c r="C72" s="53"/>
      <c r="D72" s="52"/>
      <c r="E72" s="52"/>
      <c r="F72" s="52"/>
      <c r="G72" s="52"/>
      <c r="H72" s="52"/>
      <c r="I72" s="52"/>
    </row>
    <row r="73" spans="1:9" ht="15" customHeight="1">
      <c r="A73" s="53"/>
      <c r="B73" s="53"/>
      <c r="C73" s="53"/>
      <c r="D73" s="52"/>
      <c r="E73" s="52"/>
      <c r="F73" s="52"/>
      <c r="G73" s="52"/>
      <c r="H73" s="52"/>
      <c r="I73" s="52"/>
    </row>
    <row r="74" spans="1:9" ht="15" customHeight="1">
      <c r="A74" s="53"/>
      <c r="B74" s="53"/>
      <c r="C74" s="53"/>
      <c r="D74" s="52"/>
      <c r="E74" s="52"/>
      <c r="F74" s="52"/>
      <c r="G74" s="52"/>
      <c r="H74" s="52"/>
      <c r="I74" s="52"/>
    </row>
    <row r="75" spans="1:9" ht="15" customHeight="1">
      <c r="A75" s="53"/>
      <c r="B75" s="53"/>
      <c r="C75" s="53"/>
      <c r="D75" s="52"/>
      <c r="E75" s="52"/>
      <c r="F75" s="52"/>
      <c r="G75" s="52"/>
      <c r="H75" s="52"/>
      <c r="I75" s="52"/>
    </row>
    <row r="76" spans="1:9" ht="15" customHeight="1">
      <c r="A76" s="53"/>
      <c r="B76" s="53"/>
      <c r="C76" s="53"/>
      <c r="D76" s="52"/>
      <c r="E76" s="52"/>
      <c r="F76" s="52"/>
      <c r="G76" s="52"/>
      <c r="H76" s="52"/>
      <c r="I76" s="52"/>
    </row>
    <row r="78" spans="1:9" ht="15" customHeight="1">
      <c r="A78" s="133" t="s">
        <v>470</v>
      </c>
      <c r="B78" s="133"/>
      <c r="C78" s="133"/>
      <c r="D78" s="133"/>
      <c r="E78" s="133"/>
      <c r="F78" s="133"/>
      <c r="G78" s="133"/>
      <c r="H78" s="133"/>
      <c r="I78" s="133"/>
    </row>
    <row r="80" spans="1:9" ht="30" customHeight="1">
      <c r="A80" s="252" t="s">
        <v>288</v>
      </c>
      <c r="B80" s="252"/>
      <c r="C80" s="252"/>
      <c r="D80" s="233" t="s">
        <v>332</v>
      </c>
      <c r="E80" s="234"/>
      <c r="F80" s="235"/>
      <c r="G80" s="233" t="s">
        <v>360</v>
      </c>
      <c r="H80" s="234"/>
      <c r="I80" s="235"/>
    </row>
    <row r="81" spans="1:9" ht="24.95" customHeight="1">
      <c r="A81" s="248" t="s">
        <v>178</v>
      </c>
      <c r="B81" s="249"/>
      <c r="C81" s="250"/>
      <c r="D81" s="251"/>
      <c r="E81" s="251"/>
      <c r="F81" s="251"/>
      <c r="G81" s="251"/>
      <c r="H81" s="251"/>
      <c r="I81" s="251"/>
    </row>
    <row r="82" spans="1:9" ht="24.95" customHeight="1">
      <c r="A82" s="201" t="s">
        <v>395</v>
      </c>
      <c r="B82" s="201"/>
      <c r="C82" s="201"/>
      <c r="D82" s="219"/>
      <c r="E82" s="219"/>
      <c r="F82" s="219"/>
      <c r="G82" s="219"/>
      <c r="H82" s="219"/>
      <c r="I82" s="219"/>
    </row>
    <row r="83" spans="1:9" ht="24.95" customHeight="1">
      <c r="A83" s="201" t="s">
        <v>995</v>
      </c>
      <c r="B83" s="201"/>
      <c r="C83" s="201"/>
      <c r="D83" s="219"/>
      <c r="E83" s="219"/>
      <c r="F83" s="219"/>
      <c r="G83" s="219"/>
      <c r="H83" s="219"/>
      <c r="I83" s="219"/>
    </row>
    <row r="84" spans="1:9" ht="24.95" customHeight="1">
      <c r="A84" s="203" t="s">
        <v>1347</v>
      </c>
      <c r="B84" s="203"/>
      <c r="C84" s="203"/>
      <c r="D84" s="213"/>
      <c r="E84" s="213"/>
      <c r="F84" s="213"/>
      <c r="G84" s="213"/>
      <c r="H84" s="213"/>
      <c r="I84" s="213"/>
    </row>
    <row r="85" spans="1:9" ht="24.95" customHeight="1">
      <c r="A85" s="201" t="s">
        <v>395</v>
      </c>
      <c r="B85" s="201"/>
      <c r="C85" s="201"/>
      <c r="D85" s="219"/>
      <c r="E85" s="219"/>
      <c r="F85" s="219"/>
      <c r="G85" s="219"/>
      <c r="H85" s="219"/>
      <c r="I85" s="219"/>
    </row>
    <row r="86" spans="1:9" ht="24.95" customHeight="1">
      <c r="A86" s="201" t="s">
        <v>995</v>
      </c>
      <c r="B86" s="201"/>
      <c r="C86" s="201"/>
      <c r="D86" s="219"/>
      <c r="E86" s="219"/>
      <c r="F86" s="219"/>
      <c r="G86" s="219"/>
      <c r="H86" s="219"/>
      <c r="I86" s="219"/>
    </row>
    <row r="87" spans="1:9" ht="24.95" customHeight="1">
      <c r="A87" s="203" t="s">
        <v>885</v>
      </c>
      <c r="B87" s="203"/>
      <c r="C87" s="203"/>
      <c r="D87" s="213"/>
      <c r="E87" s="213"/>
      <c r="F87" s="213"/>
      <c r="G87" s="213"/>
      <c r="H87" s="213"/>
      <c r="I87" s="213"/>
    </row>
    <row r="88" spans="1:9" ht="24.95" customHeight="1">
      <c r="A88" s="203" t="s">
        <v>1206</v>
      </c>
      <c r="B88" s="203"/>
      <c r="C88" s="203"/>
      <c r="D88" s="213"/>
      <c r="E88" s="213"/>
      <c r="F88" s="213"/>
      <c r="G88" s="213"/>
      <c r="H88" s="213"/>
      <c r="I88" s="213"/>
    </row>
    <row r="89" spans="1:9" ht="24.95" customHeight="1">
      <c r="A89" s="203" t="s">
        <v>933</v>
      </c>
      <c r="B89" s="203"/>
      <c r="C89" s="203"/>
      <c r="D89" s="213">
        <v>19</v>
      </c>
      <c r="E89" s="213"/>
      <c r="F89" s="213"/>
      <c r="G89" s="213">
        <v>19</v>
      </c>
      <c r="H89" s="213"/>
      <c r="I89" s="213"/>
    </row>
    <row r="90" spans="1:9" ht="24.95" customHeight="1">
      <c r="A90" s="203" t="s">
        <v>1168</v>
      </c>
      <c r="B90" s="203"/>
      <c r="C90" s="203"/>
      <c r="D90" s="213"/>
      <c r="E90" s="213"/>
      <c r="F90" s="213"/>
      <c r="G90" s="213"/>
      <c r="H90" s="213"/>
      <c r="I90" s="213"/>
    </row>
    <row r="91" spans="1:9" ht="24.95" customHeight="1">
      <c r="A91" s="203" t="s">
        <v>765</v>
      </c>
      <c r="B91" s="203"/>
      <c r="C91" s="203"/>
      <c r="D91" s="213"/>
      <c r="E91" s="213"/>
      <c r="F91" s="213"/>
      <c r="G91" s="213"/>
      <c r="H91" s="213"/>
      <c r="I91" s="213"/>
    </row>
    <row r="92" spans="1:9" ht="24.95" customHeight="1">
      <c r="A92" s="201" t="s">
        <v>764</v>
      </c>
      <c r="B92" s="201"/>
      <c r="C92" s="201"/>
      <c r="D92" s="219"/>
      <c r="E92" s="219"/>
      <c r="F92" s="219"/>
      <c r="G92" s="219"/>
      <c r="H92" s="219"/>
      <c r="I92" s="219"/>
    </row>
    <row r="93" spans="1:9" ht="24.95" customHeight="1">
      <c r="A93" s="201" t="s">
        <v>1186</v>
      </c>
      <c r="B93" s="201"/>
      <c r="C93" s="201"/>
      <c r="D93" s="219"/>
      <c r="E93" s="219"/>
      <c r="F93" s="219"/>
      <c r="G93" s="219"/>
      <c r="H93" s="219"/>
      <c r="I93" s="219"/>
    </row>
    <row r="94" spans="1:9" ht="24.95" customHeight="1">
      <c r="A94" s="203" t="s">
        <v>130</v>
      </c>
      <c r="B94" s="203"/>
      <c r="C94" s="203"/>
      <c r="D94" s="213"/>
      <c r="E94" s="213"/>
      <c r="F94" s="213"/>
      <c r="G94" s="213"/>
      <c r="H94" s="213"/>
      <c r="I94" s="213"/>
    </row>
    <row r="95" spans="1:9" ht="24.95" customHeight="1">
      <c r="A95" s="203" t="s">
        <v>179</v>
      </c>
      <c r="B95" s="203"/>
      <c r="C95" s="203"/>
      <c r="D95" s="213"/>
      <c r="E95" s="213"/>
      <c r="F95" s="213"/>
      <c r="G95" s="213"/>
      <c r="H95" s="213"/>
      <c r="I95" s="213"/>
    </row>
    <row r="96" spans="1:9" ht="24.95" customHeight="1">
      <c r="A96" s="201" t="s">
        <v>866</v>
      </c>
      <c r="B96" s="201"/>
      <c r="C96" s="201"/>
      <c r="D96" s="219"/>
      <c r="E96" s="219"/>
      <c r="F96" s="219"/>
      <c r="G96" s="219"/>
      <c r="H96" s="219"/>
      <c r="I96" s="219"/>
    </row>
    <row r="97" spans="1:9" ht="24.95" customHeight="1">
      <c r="A97" s="201" t="s">
        <v>1186</v>
      </c>
      <c r="B97" s="201"/>
      <c r="C97" s="201"/>
      <c r="D97" s="219"/>
      <c r="E97" s="219"/>
      <c r="F97" s="219"/>
      <c r="G97" s="219"/>
      <c r="H97" s="219"/>
      <c r="I97" s="219"/>
    </row>
  </sheetData>
  <sheetCalcPr fullCalcOnLoad="1"/>
  <mergeCells count="170">
    <mergeCell ref="A14:I14"/>
    <mergeCell ref="A16:C16"/>
    <mergeCell ref="D16:E16"/>
    <mergeCell ref="F16:G16"/>
    <mergeCell ref="H16:I16"/>
    <mergeCell ref="D19:E19"/>
    <mergeCell ref="F19:G19"/>
    <mergeCell ref="H19:I19"/>
    <mergeCell ref="A17:C17"/>
    <mergeCell ref="D17:E17"/>
    <mergeCell ref="F17:G17"/>
    <mergeCell ref="H17:I17"/>
    <mergeCell ref="A18:I18"/>
    <mergeCell ref="A19:C19"/>
    <mergeCell ref="A24:C24"/>
    <mergeCell ref="D24:E24"/>
    <mergeCell ref="F24:G24"/>
    <mergeCell ref="H24:I24"/>
    <mergeCell ref="A21:C21"/>
    <mergeCell ref="D21:E21"/>
    <mergeCell ref="F21:G21"/>
    <mergeCell ref="H21:I21"/>
    <mergeCell ref="A20:C20"/>
    <mergeCell ref="D20:E20"/>
    <mergeCell ref="F20:G20"/>
    <mergeCell ref="H20:I20"/>
    <mergeCell ref="A22:C22"/>
    <mergeCell ref="D22:E22"/>
    <mergeCell ref="F22:G22"/>
    <mergeCell ref="H22:I22"/>
    <mergeCell ref="A23:C23"/>
    <mergeCell ref="D23:E23"/>
    <mergeCell ref="F23:G23"/>
    <mergeCell ref="H23:I23"/>
    <mergeCell ref="A25:I25"/>
    <mergeCell ref="A26:C26"/>
    <mergeCell ref="D26:E26"/>
    <mergeCell ref="F26:G26"/>
    <mergeCell ref="H26:I26"/>
    <mergeCell ref="A27:C27"/>
    <mergeCell ref="D27:E27"/>
    <mergeCell ref="F27:G27"/>
    <mergeCell ref="H27:I27"/>
    <mergeCell ref="A28:C28"/>
    <mergeCell ref="D28:E28"/>
    <mergeCell ref="F28:G28"/>
    <mergeCell ref="H28:I28"/>
    <mergeCell ref="A29:C29"/>
    <mergeCell ref="D29:E29"/>
    <mergeCell ref="F29:G29"/>
    <mergeCell ref="H29:I29"/>
    <mergeCell ref="A32:C32"/>
    <mergeCell ref="D32:E32"/>
    <mergeCell ref="F32:G32"/>
    <mergeCell ref="H32:I32"/>
    <mergeCell ref="A33:C33"/>
    <mergeCell ref="D33:E33"/>
    <mergeCell ref="F33:G33"/>
    <mergeCell ref="H33:I33"/>
    <mergeCell ref="A30:C30"/>
    <mergeCell ref="D30:E30"/>
    <mergeCell ref="F30:G30"/>
    <mergeCell ref="H30:I30"/>
    <mergeCell ref="A31:C31"/>
    <mergeCell ref="D31:E31"/>
    <mergeCell ref="F31:G31"/>
    <mergeCell ref="H31:I31"/>
    <mergeCell ref="A35:I35"/>
    <mergeCell ref="A37:C37"/>
    <mergeCell ref="D37:F37"/>
    <mergeCell ref="G37:I37"/>
    <mergeCell ref="A38:C38"/>
    <mergeCell ref="D38:F38"/>
    <mergeCell ref="G38:I38"/>
    <mergeCell ref="D39:F39"/>
    <mergeCell ref="G39:I39"/>
    <mergeCell ref="A39:C39"/>
    <mergeCell ref="A40:C40"/>
    <mergeCell ref="D40:F40"/>
    <mergeCell ref="G40:I40"/>
    <mergeCell ref="G41:I41"/>
    <mergeCell ref="A41:C41"/>
    <mergeCell ref="D41:F41"/>
    <mergeCell ref="A42:C42"/>
    <mergeCell ref="D42:F42"/>
    <mergeCell ref="G42:I42"/>
    <mergeCell ref="A43:C43"/>
    <mergeCell ref="D43:F43"/>
    <mergeCell ref="G43:I43"/>
    <mergeCell ref="A51:C51"/>
    <mergeCell ref="D51:F51"/>
    <mergeCell ref="G51:I51"/>
    <mergeCell ref="A44:C44"/>
    <mergeCell ref="D44:F44"/>
    <mergeCell ref="G44:I44"/>
    <mergeCell ref="G82:I82"/>
    <mergeCell ref="D48:I48"/>
    <mergeCell ref="A78:I78"/>
    <mergeCell ref="A80:C80"/>
    <mergeCell ref="D80:F80"/>
    <mergeCell ref="G80:I80"/>
    <mergeCell ref="A52:C52"/>
    <mergeCell ref="D52:F52"/>
    <mergeCell ref="G52:I52"/>
    <mergeCell ref="A50:C50"/>
    <mergeCell ref="G85:I85"/>
    <mergeCell ref="A86:C86"/>
    <mergeCell ref="A81:C81"/>
    <mergeCell ref="D81:F81"/>
    <mergeCell ref="G81:I81"/>
    <mergeCell ref="A83:C83"/>
    <mergeCell ref="D83:F83"/>
    <mergeCell ref="G83:I83"/>
    <mergeCell ref="A82:C82"/>
    <mergeCell ref="D82:F82"/>
    <mergeCell ref="A11:D11"/>
    <mergeCell ref="A12:D12"/>
    <mergeCell ref="A84:C84"/>
    <mergeCell ref="D84:F84"/>
    <mergeCell ref="A46:I46"/>
    <mergeCell ref="A48:C49"/>
    <mergeCell ref="D49:F49"/>
    <mergeCell ref="G49:I49"/>
    <mergeCell ref="D50:F50"/>
    <mergeCell ref="G50:I50"/>
    <mergeCell ref="G84:I84"/>
    <mergeCell ref="A92:C92"/>
    <mergeCell ref="D92:F92"/>
    <mergeCell ref="G92:I92"/>
    <mergeCell ref="A85:C85"/>
    <mergeCell ref="D85:F85"/>
    <mergeCell ref="D86:F86"/>
    <mergeCell ref="G86:I86"/>
    <mergeCell ref="A87:C87"/>
    <mergeCell ref="D87:F87"/>
    <mergeCell ref="G87:I87"/>
    <mergeCell ref="A88:C88"/>
    <mergeCell ref="D88:F88"/>
    <mergeCell ref="G88:I88"/>
    <mergeCell ref="A89:C89"/>
    <mergeCell ref="D89:F89"/>
    <mergeCell ref="G89:I89"/>
    <mergeCell ref="A90:C90"/>
    <mergeCell ref="D90:F90"/>
    <mergeCell ref="G90:I90"/>
    <mergeCell ref="A91:C91"/>
    <mergeCell ref="D91:F91"/>
    <mergeCell ref="G91:I91"/>
    <mergeCell ref="A94:C94"/>
    <mergeCell ref="D94:F94"/>
    <mergeCell ref="G94:I94"/>
    <mergeCell ref="A93:C93"/>
    <mergeCell ref="D93:F93"/>
    <mergeCell ref="G93:I93"/>
    <mergeCell ref="A95:C95"/>
    <mergeCell ref="D95:F95"/>
    <mergeCell ref="G95:I95"/>
    <mergeCell ref="A96:C96"/>
    <mergeCell ref="D96:F96"/>
    <mergeCell ref="G96:I96"/>
    <mergeCell ref="A97:C97"/>
    <mergeCell ref="D97:F97"/>
    <mergeCell ref="G97:I97"/>
    <mergeCell ref="E4:I4"/>
    <mergeCell ref="A4:D5"/>
    <mergeCell ref="A6:D6"/>
    <mergeCell ref="A7:D7"/>
    <mergeCell ref="A8:D8"/>
    <mergeCell ref="A9:D9"/>
    <mergeCell ref="A10:D10"/>
  </mergeCells>
  <phoneticPr fontId="0" type="noConversion"/>
  <pageMargins left="0.7" right="0.7" top="0.75" bottom="0.75" header="0.3" footer="0.3"/>
  <pageSetup paperSize="9" scale="9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2:X79"/>
  <sheetViews>
    <sheetView topLeftCell="A48" workbookViewId="0">
      <selection activeCell="S59" sqref="S59:X59"/>
    </sheetView>
  </sheetViews>
  <sheetFormatPr defaultRowHeight="15"/>
  <cols>
    <col min="1" max="24" width="3.5703125" customWidth="1"/>
    <col min="25" max="26" width="3.7109375" customWidth="1"/>
  </cols>
  <sheetData>
    <row r="2" spans="1:24" ht="15" customHeight="1">
      <c r="A2" s="133" t="s">
        <v>854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</row>
    <row r="4" spans="1:24">
      <c r="A4" s="205" t="s">
        <v>288</v>
      </c>
      <c r="B4" s="205"/>
      <c r="C4" s="205"/>
      <c r="D4" s="205"/>
      <c r="E4" s="205"/>
      <c r="F4" s="205"/>
      <c r="G4" s="205"/>
      <c r="H4" s="205"/>
      <c r="I4" s="199" t="s">
        <v>332</v>
      </c>
      <c r="J4" s="199"/>
      <c r="K4" s="199"/>
      <c r="L4" s="199"/>
      <c r="M4" s="199"/>
      <c r="N4" s="199"/>
      <c r="O4" s="199"/>
      <c r="P4" s="199"/>
      <c r="Q4" s="280" t="s">
        <v>267</v>
      </c>
      <c r="R4" s="280"/>
      <c r="S4" s="280"/>
      <c r="T4" s="280"/>
      <c r="U4" s="280"/>
      <c r="V4" s="280"/>
      <c r="W4" s="280"/>
      <c r="X4" s="280"/>
    </row>
    <row r="5" spans="1:24" ht="15" customHeight="1">
      <c r="A5" s="272" t="s">
        <v>1189</v>
      </c>
      <c r="B5" s="272"/>
      <c r="C5" s="272"/>
      <c r="D5" s="272"/>
      <c r="E5" s="272"/>
      <c r="F5" s="272"/>
      <c r="G5" s="272"/>
      <c r="H5" s="272"/>
      <c r="I5" s="277">
        <v>11685</v>
      </c>
      <c r="J5" s="277"/>
      <c r="K5" s="277"/>
      <c r="L5" s="277"/>
      <c r="M5" s="277"/>
      <c r="N5" s="277"/>
      <c r="O5" s="277"/>
      <c r="P5" s="277"/>
      <c r="Q5" s="275">
        <v>13800</v>
      </c>
      <c r="R5" s="275"/>
      <c r="S5" s="275"/>
      <c r="T5" s="275"/>
      <c r="U5" s="275"/>
      <c r="V5" s="275"/>
      <c r="W5" s="275"/>
      <c r="X5" s="275"/>
    </row>
    <row r="6" spans="1:24" ht="15" customHeight="1">
      <c r="A6" s="201" t="s">
        <v>1086</v>
      </c>
      <c r="B6" s="201"/>
      <c r="C6" s="201"/>
      <c r="D6" s="201"/>
      <c r="E6" s="201"/>
      <c r="F6" s="201"/>
      <c r="G6" s="201"/>
      <c r="H6" s="201"/>
      <c r="I6" s="295">
        <v>0</v>
      </c>
      <c r="J6" s="295"/>
      <c r="K6" s="295"/>
      <c r="L6" s="295"/>
      <c r="M6" s="295"/>
      <c r="N6" s="295"/>
      <c r="O6" s="295"/>
      <c r="P6" s="295"/>
      <c r="Q6" s="274">
        <v>0</v>
      </c>
      <c r="R6" s="274"/>
      <c r="S6" s="274"/>
      <c r="T6" s="274"/>
      <c r="U6" s="274"/>
      <c r="V6" s="274"/>
      <c r="W6" s="274"/>
      <c r="X6" s="274"/>
    </row>
    <row r="7" spans="1:24" ht="15" customHeight="1">
      <c r="A7" s="201" t="s">
        <v>1345</v>
      </c>
      <c r="B7" s="201"/>
      <c r="C7" s="201"/>
      <c r="D7" s="201"/>
      <c r="E7" s="201"/>
      <c r="F7" s="201"/>
      <c r="G7" s="201"/>
      <c r="H7" s="201"/>
      <c r="I7" s="295"/>
      <c r="J7" s="295"/>
      <c r="K7" s="295"/>
      <c r="L7" s="295"/>
      <c r="M7" s="295"/>
      <c r="N7" s="295"/>
      <c r="O7" s="295"/>
      <c r="P7" s="295"/>
      <c r="Q7" s="274"/>
      <c r="R7" s="274"/>
      <c r="S7" s="274"/>
      <c r="T7" s="274"/>
      <c r="U7" s="274"/>
      <c r="V7" s="274"/>
      <c r="W7" s="274"/>
      <c r="X7" s="274"/>
    </row>
    <row r="8" spans="1:24" ht="15" customHeight="1">
      <c r="A8" s="201" t="s">
        <v>382</v>
      </c>
      <c r="B8" s="201"/>
      <c r="C8" s="201"/>
      <c r="D8" s="201"/>
      <c r="E8" s="201"/>
      <c r="F8" s="201"/>
      <c r="G8" s="201"/>
      <c r="H8" s="201"/>
      <c r="I8" s="295"/>
      <c r="J8" s="295"/>
      <c r="K8" s="295"/>
      <c r="L8" s="295"/>
      <c r="M8" s="295"/>
      <c r="N8" s="295"/>
      <c r="O8" s="295"/>
      <c r="P8" s="295"/>
      <c r="Q8" s="274"/>
      <c r="R8" s="274"/>
      <c r="S8" s="274"/>
      <c r="T8" s="274"/>
      <c r="U8" s="274"/>
      <c r="V8" s="274"/>
      <c r="W8" s="274"/>
      <c r="X8" s="274"/>
    </row>
    <row r="9" spans="1:24" ht="15" customHeight="1">
      <c r="A9" s="203" t="s">
        <v>461</v>
      </c>
      <c r="B9" s="203"/>
      <c r="C9" s="203"/>
      <c r="D9" s="203"/>
      <c r="E9" s="203"/>
      <c r="F9" s="203"/>
      <c r="G9" s="203"/>
      <c r="H9" s="203"/>
      <c r="I9" s="278">
        <f>SUM(I5:P8)</f>
        <v>11685</v>
      </c>
      <c r="J9" s="278"/>
      <c r="K9" s="278"/>
      <c r="L9" s="278"/>
      <c r="M9" s="278"/>
      <c r="N9" s="278"/>
      <c r="O9" s="278"/>
      <c r="P9" s="278"/>
      <c r="Q9" s="278">
        <f>SUM(Q5:X8)</f>
        <v>13800</v>
      </c>
      <c r="R9" s="278"/>
      <c r="S9" s="278"/>
      <c r="T9" s="278"/>
      <c r="U9" s="278"/>
      <c r="V9" s="278"/>
      <c r="W9" s="278"/>
      <c r="X9" s="278"/>
    </row>
    <row r="11" spans="1:24" ht="15" customHeight="1">
      <c r="A11" s="133" t="s">
        <v>604</v>
      </c>
      <c r="B11" s="133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33"/>
      <c r="V11" s="133"/>
      <c r="W11" s="133"/>
      <c r="X11" s="133"/>
    </row>
    <row r="12" spans="1:24" ht="15.75">
      <c r="A12" s="41"/>
      <c r="B12" s="41"/>
      <c r="C12" s="41"/>
      <c r="D12" s="41"/>
      <c r="E12" s="41"/>
      <c r="F12" s="41"/>
      <c r="G12" s="41"/>
      <c r="H12" s="41"/>
    </row>
    <row r="13" spans="1:24" ht="15" customHeight="1">
      <c r="A13" s="183" t="s">
        <v>437</v>
      </c>
      <c r="B13" s="183"/>
      <c r="C13" s="183"/>
      <c r="D13" s="183"/>
      <c r="E13" s="183"/>
      <c r="F13" s="183"/>
      <c r="G13" s="183"/>
      <c r="H13" s="183"/>
      <c r="I13" s="215" t="s">
        <v>332</v>
      </c>
      <c r="J13" s="215"/>
      <c r="K13" s="215"/>
      <c r="L13" s="215"/>
      <c r="M13" s="215"/>
      <c r="N13" s="215"/>
      <c r="O13" s="215"/>
      <c r="P13" s="215"/>
      <c r="Q13" s="215"/>
      <c r="R13" s="215"/>
      <c r="S13" s="215"/>
      <c r="T13" s="215"/>
      <c r="U13" s="215"/>
      <c r="V13" s="215"/>
      <c r="W13" s="215"/>
      <c r="X13" s="215"/>
    </row>
    <row r="14" spans="1:24" ht="24.95" customHeight="1">
      <c r="A14" s="199"/>
      <c r="B14" s="199"/>
      <c r="C14" s="199"/>
      <c r="D14" s="199"/>
      <c r="E14" s="199"/>
      <c r="F14" s="199"/>
      <c r="G14" s="199"/>
      <c r="H14" s="199"/>
      <c r="I14" s="199" t="s">
        <v>326</v>
      </c>
      <c r="J14" s="199"/>
      <c r="K14" s="199"/>
      <c r="L14" s="199"/>
      <c r="M14" s="279" t="s">
        <v>140</v>
      </c>
      <c r="N14" s="279"/>
      <c r="O14" s="279"/>
      <c r="P14" s="279"/>
      <c r="Q14" s="279" t="s">
        <v>420</v>
      </c>
      <c r="R14" s="279"/>
      <c r="S14" s="279"/>
      <c r="T14" s="279"/>
      <c r="U14" s="279" t="s">
        <v>1280</v>
      </c>
      <c r="V14" s="279"/>
      <c r="W14" s="279"/>
      <c r="X14" s="279"/>
    </row>
    <row r="15" spans="1:24" ht="33" customHeight="1">
      <c r="A15" s="276" t="s">
        <v>993</v>
      </c>
      <c r="B15" s="276"/>
      <c r="C15" s="276"/>
      <c r="D15" s="276"/>
      <c r="E15" s="276"/>
      <c r="F15" s="276"/>
      <c r="G15" s="276"/>
      <c r="H15" s="276"/>
      <c r="I15" s="247"/>
      <c r="J15" s="247"/>
      <c r="K15" s="247"/>
      <c r="L15" s="247"/>
      <c r="M15" s="275"/>
      <c r="N15" s="275"/>
      <c r="O15" s="275"/>
      <c r="P15" s="275"/>
      <c r="Q15" s="275"/>
      <c r="R15" s="275"/>
      <c r="S15" s="275"/>
      <c r="T15" s="275"/>
      <c r="U15" s="275"/>
      <c r="V15" s="275"/>
      <c r="W15" s="275"/>
      <c r="X15" s="275"/>
    </row>
    <row r="16" spans="1:24" ht="33" customHeight="1">
      <c r="A16" s="201" t="s">
        <v>931</v>
      </c>
      <c r="B16" s="201"/>
      <c r="C16" s="201"/>
      <c r="D16" s="201"/>
      <c r="E16" s="201"/>
      <c r="F16" s="201"/>
      <c r="G16" s="201"/>
      <c r="H16" s="201"/>
      <c r="I16" s="219"/>
      <c r="J16" s="219"/>
      <c r="K16" s="219"/>
      <c r="L16" s="219"/>
      <c r="M16" s="274"/>
      <c r="N16" s="274"/>
      <c r="O16" s="274"/>
      <c r="P16" s="274"/>
      <c r="Q16" s="274"/>
      <c r="R16" s="274"/>
      <c r="S16" s="274"/>
      <c r="T16" s="274"/>
      <c r="U16" s="274"/>
      <c r="V16" s="274"/>
      <c r="W16" s="274"/>
      <c r="X16" s="274"/>
    </row>
    <row r="17" spans="1:24" ht="33" customHeight="1">
      <c r="A17" s="201" t="s">
        <v>472</v>
      </c>
      <c r="B17" s="201"/>
      <c r="C17" s="201"/>
      <c r="D17" s="201"/>
      <c r="E17" s="201"/>
      <c r="F17" s="201"/>
      <c r="G17" s="201"/>
      <c r="H17" s="201"/>
      <c r="I17" s="219"/>
      <c r="J17" s="219"/>
      <c r="K17" s="219"/>
      <c r="L17" s="219"/>
      <c r="M17" s="274"/>
      <c r="N17" s="274"/>
      <c r="O17" s="274"/>
      <c r="P17" s="274"/>
      <c r="Q17" s="274"/>
      <c r="R17" s="274"/>
      <c r="S17" s="274"/>
      <c r="T17" s="274"/>
      <c r="U17" s="274"/>
      <c r="V17" s="274"/>
      <c r="W17" s="274"/>
      <c r="X17" s="274"/>
    </row>
    <row r="18" spans="1:24" ht="33" customHeight="1">
      <c r="A18" s="201" t="s">
        <v>605</v>
      </c>
      <c r="B18" s="201"/>
      <c r="C18" s="201"/>
      <c r="D18" s="201"/>
      <c r="E18" s="201"/>
      <c r="F18" s="201"/>
      <c r="G18" s="201"/>
      <c r="H18" s="201"/>
      <c r="I18" s="219"/>
      <c r="J18" s="219"/>
      <c r="K18" s="219"/>
      <c r="L18" s="219"/>
      <c r="M18" s="274"/>
      <c r="N18" s="274"/>
      <c r="O18" s="274"/>
      <c r="P18" s="274"/>
      <c r="Q18" s="274"/>
      <c r="R18" s="274"/>
      <c r="S18" s="274"/>
      <c r="T18" s="274"/>
      <c r="U18" s="274"/>
      <c r="V18" s="274"/>
      <c r="W18" s="274"/>
      <c r="X18" s="274"/>
    </row>
    <row r="19" spans="1:24" ht="33" customHeight="1">
      <c r="A19" s="201" t="s">
        <v>345</v>
      </c>
      <c r="B19" s="201"/>
      <c r="C19" s="201"/>
      <c r="D19" s="201"/>
      <c r="E19" s="201"/>
      <c r="F19" s="201"/>
      <c r="G19" s="201"/>
      <c r="H19" s="201"/>
      <c r="I19" s="219"/>
      <c r="J19" s="219"/>
      <c r="K19" s="219"/>
      <c r="L19" s="219"/>
      <c r="M19" s="274"/>
      <c r="N19" s="274"/>
      <c r="O19" s="274"/>
      <c r="P19" s="274"/>
      <c r="Q19" s="274"/>
      <c r="R19" s="274"/>
      <c r="S19" s="274"/>
      <c r="T19" s="274"/>
      <c r="U19" s="274"/>
      <c r="V19" s="274"/>
      <c r="W19" s="274"/>
      <c r="X19" s="274"/>
    </row>
    <row r="20" spans="1:24" ht="33" customHeight="1">
      <c r="A20" s="201" t="s">
        <v>486</v>
      </c>
      <c r="B20" s="201"/>
      <c r="C20" s="201"/>
      <c r="D20" s="201"/>
      <c r="E20" s="201"/>
      <c r="F20" s="201"/>
      <c r="G20" s="201"/>
      <c r="H20" s="201"/>
      <c r="I20" s="219"/>
      <c r="J20" s="219"/>
      <c r="K20" s="219"/>
      <c r="L20" s="219"/>
      <c r="M20" s="274"/>
      <c r="N20" s="274"/>
      <c r="O20" s="274"/>
      <c r="P20" s="274"/>
      <c r="Q20" s="274"/>
      <c r="R20" s="274"/>
      <c r="S20" s="274"/>
      <c r="T20" s="274"/>
      <c r="U20" s="274"/>
      <c r="V20" s="274"/>
      <c r="W20" s="274"/>
      <c r="X20" s="274"/>
    </row>
    <row r="21" spans="1:24" ht="33" customHeight="1">
      <c r="A21" s="203" t="s">
        <v>143</v>
      </c>
      <c r="B21" s="203"/>
      <c r="C21" s="203"/>
      <c r="D21" s="203"/>
      <c r="E21" s="203"/>
      <c r="F21" s="203"/>
      <c r="G21" s="203"/>
      <c r="H21" s="203"/>
      <c r="I21" s="213">
        <f>SUM(I15:L20)</f>
        <v>0</v>
      </c>
      <c r="J21" s="213"/>
      <c r="K21" s="213"/>
      <c r="L21" s="213"/>
      <c r="M21" s="213">
        <f>SUM(M15:P20)</f>
        <v>0</v>
      </c>
      <c r="N21" s="213"/>
      <c r="O21" s="213"/>
      <c r="P21" s="213"/>
      <c r="Q21" s="213">
        <f>SUM(Q15:T20)</f>
        <v>0</v>
      </c>
      <c r="R21" s="213"/>
      <c r="S21" s="213"/>
      <c r="T21" s="213"/>
      <c r="U21" s="213">
        <f>SUM(U15:X20)</f>
        <v>0</v>
      </c>
      <c r="V21" s="213"/>
      <c r="W21" s="213"/>
      <c r="X21" s="213"/>
    </row>
    <row r="23" spans="1:24" ht="15" customHeight="1">
      <c r="A23" s="133" t="s">
        <v>994</v>
      </c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</row>
    <row r="24" spans="1:24" ht="15.75">
      <c r="A24" s="41"/>
      <c r="B24" s="41"/>
      <c r="C24" s="41"/>
      <c r="D24" s="41"/>
      <c r="E24" s="41"/>
      <c r="F24" s="41"/>
      <c r="G24" s="41"/>
      <c r="H24" s="41"/>
    </row>
    <row r="25" spans="1:24" ht="50.1" customHeight="1">
      <c r="A25" s="189" t="s">
        <v>437</v>
      </c>
      <c r="B25" s="216"/>
      <c r="C25" s="216"/>
      <c r="D25" s="217"/>
      <c r="E25" s="189" t="s">
        <v>11</v>
      </c>
      <c r="F25" s="216"/>
      <c r="G25" s="216"/>
      <c r="H25" s="217"/>
      <c r="I25" s="189" t="s">
        <v>545</v>
      </c>
      <c r="J25" s="216"/>
      <c r="K25" s="216"/>
      <c r="L25" s="217"/>
      <c r="M25" s="189" t="s">
        <v>424</v>
      </c>
      <c r="N25" s="216"/>
      <c r="O25" s="216"/>
      <c r="P25" s="217"/>
      <c r="Q25" s="189" t="s">
        <v>450</v>
      </c>
      <c r="R25" s="216"/>
      <c r="S25" s="216"/>
      <c r="T25" s="217"/>
      <c r="U25" s="189" t="s">
        <v>1280</v>
      </c>
      <c r="V25" s="216"/>
      <c r="W25" s="216"/>
      <c r="X25" s="217"/>
    </row>
    <row r="26" spans="1:24">
      <c r="A26" s="291" t="s">
        <v>958</v>
      </c>
      <c r="B26" s="292"/>
      <c r="C26" s="292"/>
      <c r="D26" s="293"/>
      <c r="E26" s="291" t="s">
        <v>1350</v>
      </c>
      <c r="F26" s="292"/>
      <c r="G26" s="292"/>
      <c r="H26" s="293"/>
      <c r="I26" s="291" t="s">
        <v>737</v>
      </c>
      <c r="J26" s="292"/>
      <c r="K26" s="292"/>
      <c r="L26" s="293"/>
      <c r="M26" s="296" t="s">
        <v>226</v>
      </c>
      <c r="N26" s="297"/>
      <c r="O26" s="297"/>
      <c r="P26" s="298"/>
      <c r="Q26" s="281" t="s">
        <v>830</v>
      </c>
      <c r="R26" s="282"/>
      <c r="S26" s="282"/>
      <c r="T26" s="283"/>
      <c r="U26" s="281" t="s">
        <v>126</v>
      </c>
      <c r="V26" s="282"/>
      <c r="W26" s="282"/>
      <c r="X26" s="283"/>
    </row>
    <row r="27" spans="1:24" ht="35.1" customHeight="1">
      <c r="A27" s="201" t="s">
        <v>345</v>
      </c>
      <c r="B27" s="201"/>
      <c r="C27" s="201"/>
      <c r="D27" s="201"/>
      <c r="E27" s="201"/>
      <c r="F27" s="201"/>
      <c r="G27" s="201"/>
      <c r="H27" s="201"/>
      <c r="I27" s="201"/>
      <c r="J27" s="201"/>
      <c r="K27" s="201"/>
      <c r="L27" s="201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</row>
    <row r="28" spans="1:24" ht="35.1" customHeight="1">
      <c r="A28" s="201" t="s">
        <v>25</v>
      </c>
      <c r="B28" s="201"/>
      <c r="C28" s="201"/>
      <c r="D28" s="201"/>
      <c r="E28" s="201"/>
      <c r="F28" s="201"/>
      <c r="G28" s="201"/>
      <c r="H28" s="201"/>
      <c r="I28" s="201"/>
      <c r="J28" s="201"/>
      <c r="K28" s="201"/>
      <c r="L28" s="201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</row>
    <row r="29" spans="1:24" ht="35.1" customHeight="1">
      <c r="A29" s="203" t="s">
        <v>143</v>
      </c>
      <c r="B29" s="203"/>
      <c r="C29" s="203"/>
      <c r="D29" s="203"/>
      <c r="E29" s="203">
        <f>SUM(E27:H28)</f>
        <v>0</v>
      </c>
      <c r="F29" s="203"/>
      <c r="G29" s="203"/>
      <c r="H29" s="203"/>
      <c r="I29" s="203">
        <f>SUM(I27:L28)</f>
        <v>0</v>
      </c>
      <c r="J29" s="203"/>
      <c r="K29" s="203"/>
      <c r="L29" s="203"/>
      <c r="M29" s="203">
        <f>SUM(M27:P28)</f>
        <v>0</v>
      </c>
      <c r="N29" s="203"/>
      <c r="O29" s="203"/>
      <c r="P29" s="203"/>
      <c r="Q29" s="203">
        <f>SUM(Q27:T28)</f>
        <v>0</v>
      </c>
      <c r="R29" s="203"/>
      <c r="S29" s="203"/>
      <c r="T29" s="203"/>
      <c r="U29" s="203">
        <f>SUM(U27:X28)</f>
        <v>0</v>
      </c>
      <c r="V29" s="203"/>
      <c r="W29" s="203"/>
      <c r="X29" s="203"/>
    </row>
    <row r="30" spans="1:24" ht="15" customHeight="1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</row>
    <row r="31" spans="1:24" ht="15" customHeight="1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</row>
    <row r="32" spans="1:24" ht="15" customHeight="1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</row>
    <row r="33" spans="1:24" ht="15" customHeight="1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</row>
    <row r="34" spans="1:24">
      <c r="Q34" s="294"/>
      <c r="R34" s="294"/>
      <c r="S34" s="294"/>
      <c r="T34" s="294"/>
      <c r="U34" s="294"/>
      <c r="V34" s="294"/>
      <c r="W34" s="294"/>
      <c r="X34" s="294"/>
    </row>
    <row r="35" spans="1:24" ht="30" customHeight="1">
      <c r="A35" s="133" t="s">
        <v>410</v>
      </c>
      <c r="B35" s="133"/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33"/>
      <c r="W35" s="133"/>
      <c r="X35" s="133"/>
    </row>
    <row r="36" spans="1:24" ht="15.75">
      <c r="A36" s="41"/>
      <c r="B36" s="41"/>
      <c r="C36" s="41"/>
      <c r="D36" s="41"/>
      <c r="E36" s="41"/>
      <c r="F36" s="41"/>
      <c r="G36" s="41"/>
      <c r="H36" s="41"/>
    </row>
    <row r="37" spans="1:24" ht="15.75" customHeight="1">
      <c r="A37" s="199" t="s">
        <v>288</v>
      </c>
      <c r="B37" s="199"/>
      <c r="C37" s="199"/>
      <c r="D37" s="199"/>
      <c r="E37" s="199"/>
      <c r="F37" s="199"/>
      <c r="G37" s="199"/>
      <c r="H37" s="199"/>
      <c r="I37" s="199"/>
      <c r="J37" s="199"/>
      <c r="K37" s="199"/>
      <c r="L37" s="199"/>
      <c r="M37" s="199"/>
      <c r="N37" s="199"/>
      <c r="O37" s="199"/>
      <c r="P37" s="199"/>
      <c r="Q37" s="280" t="s">
        <v>500</v>
      </c>
      <c r="R37" s="280"/>
      <c r="S37" s="280"/>
      <c r="T37" s="280"/>
      <c r="U37" s="280"/>
      <c r="V37" s="280"/>
      <c r="W37" s="280"/>
      <c r="X37" s="280"/>
    </row>
    <row r="38" spans="1:24" ht="30" customHeight="1">
      <c r="A38" s="272" t="s">
        <v>1097</v>
      </c>
      <c r="B38" s="272"/>
      <c r="C38" s="272"/>
      <c r="D38" s="272"/>
      <c r="E38" s="272"/>
      <c r="F38" s="272"/>
      <c r="G38" s="272"/>
      <c r="H38" s="272"/>
      <c r="I38" s="272"/>
      <c r="J38" s="272"/>
      <c r="K38" s="272"/>
      <c r="L38" s="272"/>
      <c r="M38" s="272"/>
      <c r="N38" s="272"/>
      <c r="O38" s="272"/>
      <c r="P38" s="272"/>
      <c r="Q38" s="299"/>
      <c r="R38" s="299"/>
      <c r="S38" s="299"/>
      <c r="T38" s="299"/>
      <c r="U38" s="299"/>
      <c r="V38" s="299"/>
      <c r="W38" s="299"/>
      <c r="X38" s="299"/>
    </row>
    <row r="39" spans="1:24" ht="30" customHeight="1">
      <c r="A39" s="201" t="s">
        <v>943</v>
      </c>
      <c r="B39" s="201"/>
      <c r="C39" s="201"/>
      <c r="D39" s="201"/>
      <c r="E39" s="201"/>
      <c r="F39" s="201"/>
      <c r="G39" s="201"/>
      <c r="H39" s="201"/>
      <c r="I39" s="201"/>
      <c r="J39" s="201"/>
      <c r="K39" s="201"/>
      <c r="L39" s="201"/>
      <c r="M39" s="201"/>
      <c r="N39" s="201"/>
      <c r="O39" s="201"/>
      <c r="P39" s="201"/>
      <c r="Q39" s="98"/>
      <c r="R39" s="98"/>
      <c r="S39" s="98"/>
      <c r="T39" s="98"/>
      <c r="U39" s="98"/>
      <c r="V39" s="98"/>
      <c r="W39" s="98"/>
      <c r="X39" s="98"/>
    </row>
    <row r="43" spans="1:24" ht="30" customHeight="1">
      <c r="A43" s="133" t="s">
        <v>754</v>
      </c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  <c r="Q43" s="133"/>
      <c r="R43" s="133"/>
      <c r="S43" s="133"/>
      <c r="T43" s="133"/>
      <c r="U43" s="133"/>
      <c r="V43" s="133"/>
      <c r="W43" s="133"/>
      <c r="X43" s="133"/>
    </row>
    <row r="44" spans="1:24" ht="15.75">
      <c r="A44" s="41"/>
      <c r="B44" s="41"/>
      <c r="C44" s="41"/>
      <c r="D44" s="41"/>
      <c r="E44" s="41"/>
      <c r="F44" s="41"/>
      <c r="G44" s="41"/>
      <c r="H44" s="41"/>
    </row>
    <row r="45" spans="1:24" ht="39.950000000000003" customHeight="1">
      <c r="A45" s="183" t="s">
        <v>437</v>
      </c>
      <c r="B45" s="183"/>
      <c r="C45" s="183"/>
      <c r="D45" s="183"/>
      <c r="E45" s="183"/>
      <c r="F45" s="183"/>
      <c r="G45" s="183" t="s">
        <v>516</v>
      </c>
      <c r="H45" s="183"/>
      <c r="I45" s="183"/>
      <c r="J45" s="183"/>
      <c r="K45" s="183"/>
      <c r="L45" s="183"/>
      <c r="M45" s="183" t="s">
        <v>109</v>
      </c>
      <c r="N45" s="183"/>
      <c r="O45" s="183"/>
      <c r="P45" s="183"/>
      <c r="Q45" s="183"/>
      <c r="R45" s="183"/>
      <c r="S45" s="183" t="s">
        <v>149</v>
      </c>
      <c r="T45" s="183"/>
      <c r="U45" s="183"/>
      <c r="V45" s="183"/>
      <c r="W45" s="183"/>
      <c r="X45" s="183"/>
    </row>
    <row r="46" spans="1:24" ht="15" customHeight="1">
      <c r="A46" s="285" t="s">
        <v>958</v>
      </c>
      <c r="B46" s="285"/>
      <c r="C46" s="285"/>
      <c r="D46" s="285"/>
      <c r="E46" s="285"/>
      <c r="F46" s="285"/>
      <c r="G46" s="285" t="s">
        <v>1350</v>
      </c>
      <c r="H46" s="285"/>
      <c r="I46" s="285"/>
      <c r="J46" s="285"/>
      <c r="K46" s="285"/>
      <c r="L46" s="285"/>
      <c r="M46" s="273" t="s">
        <v>737</v>
      </c>
      <c r="N46" s="273"/>
      <c r="O46" s="273"/>
      <c r="P46" s="273"/>
      <c r="Q46" s="273"/>
      <c r="R46" s="273"/>
      <c r="S46" s="273" t="s">
        <v>226</v>
      </c>
      <c r="T46" s="273"/>
      <c r="U46" s="273"/>
      <c r="V46" s="273"/>
      <c r="W46" s="273"/>
      <c r="X46" s="273"/>
    </row>
    <row r="47" spans="1:24" ht="30" customHeight="1">
      <c r="A47" s="272" t="s">
        <v>993</v>
      </c>
      <c r="B47" s="272"/>
      <c r="C47" s="272"/>
      <c r="D47" s="272"/>
      <c r="E47" s="272"/>
      <c r="F47" s="272"/>
      <c r="G47" s="272"/>
      <c r="H47" s="272"/>
      <c r="I47" s="272"/>
      <c r="J47" s="272"/>
      <c r="K47" s="272"/>
      <c r="L47" s="272"/>
      <c r="M47" s="275"/>
      <c r="N47" s="275"/>
      <c r="O47" s="275"/>
      <c r="P47" s="275"/>
      <c r="Q47" s="275"/>
      <c r="R47" s="275"/>
      <c r="S47" s="299"/>
      <c r="T47" s="299"/>
      <c r="U47" s="299"/>
      <c r="V47" s="299"/>
      <c r="W47" s="299"/>
      <c r="X47" s="299"/>
    </row>
    <row r="48" spans="1:24" ht="30" customHeight="1">
      <c r="A48" s="201" t="s">
        <v>931</v>
      </c>
      <c r="B48" s="201"/>
      <c r="C48" s="201"/>
      <c r="D48" s="201"/>
      <c r="E48" s="201"/>
      <c r="F48" s="201"/>
      <c r="G48" s="201"/>
      <c r="H48" s="201"/>
      <c r="I48" s="201"/>
      <c r="J48" s="201"/>
      <c r="K48" s="201"/>
      <c r="L48" s="201"/>
      <c r="M48" s="274"/>
      <c r="N48" s="274"/>
      <c r="O48" s="274"/>
      <c r="P48" s="274"/>
      <c r="Q48" s="274"/>
      <c r="R48" s="274"/>
      <c r="S48" s="98"/>
      <c r="T48" s="98"/>
      <c r="U48" s="98"/>
      <c r="V48" s="98"/>
      <c r="W48" s="98"/>
      <c r="X48" s="98"/>
    </row>
    <row r="49" spans="1:24" ht="30" customHeight="1">
      <c r="A49" s="201" t="s">
        <v>409</v>
      </c>
      <c r="B49" s="201"/>
      <c r="C49" s="201"/>
      <c r="D49" s="201"/>
      <c r="E49" s="201"/>
      <c r="F49" s="201"/>
      <c r="G49" s="201"/>
      <c r="H49" s="201"/>
      <c r="I49" s="201"/>
      <c r="J49" s="201"/>
      <c r="K49" s="201"/>
      <c r="L49" s="201"/>
      <c r="M49" s="274"/>
      <c r="N49" s="274"/>
      <c r="O49" s="274"/>
      <c r="P49" s="274"/>
      <c r="Q49" s="274"/>
      <c r="R49" s="274"/>
      <c r="S49" s="98"/>
      <c r="T49" s="98"/>
      <c r="U49" s="98"/>
      <c r="V49" s="98"/>
      <c r="W49" s="98"/>
      <c r="X49" s="98"/>
    </row>
    <row r="50" spans="1:24" ht="30" customHeight="1">
      <c r="A50" s="201" t="s">
        <v>345</v>
      </c>
      <c r="B50" s="201"/>
      <c r="C50" s="201"/>
      <c r="D50" s="201"/>
      <c r="E50" s="201"/>
      <c r="F50" s="201"/>
      <c r="G50" s="201"/>
      <c r="H50" s="201"/>
      <c r="I50" s="201"/>
      <c r="J50" s="201"/>
      <c r="K50" s="201"/>
      <c r="L50" s="201"/>
      <c r="M50" s="274"/>
      <c r="N50" s="274"/>
      <c r="O50" s="274"/>
      <c r="P50" s="274"/>
      <c r="Q50" s="274"/>
      <c r="R50" s="274"/>
      <c r="S50" s="98"/>
      <c r="T50" s="98"/>
      <c r="U50" s="98"/>
      <c r="V50" s="98"/>
      <c r="W50" s="98"/>
      <c r="X50" s="98"/>
    </row>
    <row r="51" spans="1:24" ht="30" customHeight="1">
      <c r="A51" s="203" t="s">
        <v>143</v>
      </c>
      <c r="B51" s="203"/>
      <c r="C51" s="203"/>
      <c r="D51" s="203"/>
      <c r="E51" s="203"/>
      <c r="F51" s="203"/>
      <c r="G51" s="203">
        <f>SUM(G47:L50)</f>
        <v>0</v>
      </c>
      <c r="H51" s="203"/>
      <c r="I51" s="203"/>
      <c r="J51" s="203"/>
      <c r="K51" s="203"/>
      <c r="L51" s="203"/>
      <c r="M51" s="203">
        <f>SUM(M47:R50)</f>
        <v>0</v>
      </c>
      <c r="N51" s="203"/>
      <c r="O51" s="203"/>
      <c r="P51" s="203"/>
      <c r="Q51" s="203"/>
      <c r="R51" s="203"/>
      <c r="S51" s="203">
        <f>SUM(S47:X50)</f>
        <v>0</v>
      </c>
      <c r="T51" s="203"/>
      <c r="U51" s="203"/>
      <c r="V51" s="203"/>
      <c r="W51" s="203"/>
      <c r="X51" s="203"/>
    </row>
    <row r="53" spans="1:24" ht="30" customHeight="1">
      <c r="A53" s="133" t="s">
        <v>1232</v>
      </c>
      <c r="B53" s="133"/>
      <c r="C53" s="133"/>
      <c r="D53" s="133"/>
      <c r="E53" s="133"/>
      <c r="F53" s="133"/>
      <c r="G53" s="133"/>
      <c r="H53" s="133"/>
      <c r="I53" s="133"/>
      <c r="J53" s="133"/>
      <c r="K53" s="133"/>
      <c r="L53" s="133"/>
      <c r="M53" s="133"/>
      <c r="N53" s="133"/>
      <c r="O53" s="133"/>
      <c r="P53" s="133"/>
      <c r="Q53" s="133"/>
      <c r="R53" s="133"/>
      <c r="S53" s="133"/>
      <c r="T53" s="133"/>
      <c r="U53" s="133"/>
      <c r="V53" s="133"/>
      <c r="W53" s="133"/>
      <c r="X53" s="133"/>
    </row>
    <row r="55" spans="1:24" ht="39.950000000000003" customHeight="1">
      <c r="A55" s="199" t="s">
        <v>1281</v>
      </c>
      <c r="B55" s="199"/>
      <c r="C55" s="199"/>
      <c r="D55" s="199"/>
      <c r="E55" s="199"/>
      <c r="F55" s="199"/>
      <c r="G55" s="199"/>
      <c r="H55" s="199"/>
      <c r="I55" s="199"/>
      <c r="J55" s="199"/>
      <c r="K55" s="199"/>
      <c r="L55" s="199"/>
      <c r="M55" s="199" t="s">
        <v>332</v>
      </c>
      <c r="N55" s="199"/>
      <c r="O55" s="199"/>
      <c r="P55" s="199"/>
      <c r="Q55" s="199"/>
      <c r="R55" s="199"/>
      <c r="S55" s="199" t="s">
        <v>360</v>
      </c>
      <c r="T55" s="199"/>
      <c r="U55" s="199"/>
      <c r="V55" s="199"/>
      <c r="W55" s="199"/>
      <c r="X55" s="199"/>
    </row>
    <row r="56" spans="1:24" ht="15" customHeight="1">
      <c r="A56" s="272" t="s">
        <v>324</v>
      </c>
      <c r="B56" s="272"/>
      <c r="C56" s="272"/>
      <c r="D56" s="272"/>
      <c r="E56" s="272"/>
      <c r="F56" s="272"/>
      <c r="G56" s="272"/>
      <c r="H56" s="272"/>
      <c r="I56" s="272"/>
      <c r="J56" s="272"/>
      <c r="K56" s="272"/>
      <c r="L56" s="272"/>
      <c r="M56" s="275"/>
      <c r="N56" s="275"/>
      <c r="O56" s="275"/>
      <c r="P56" s="275"/>
      <c r="Q56" s="275"/>
      <c r="R56" s="275"/>
      <c r="S56" s="275"/>
      <c r="T56" s="275"/>
      <c r="U56" s="275"/>
      <c r="V56" s="275"/>
      <c r="W56" s="275"/>
      <c r="X56" s="275"/>
    </row>
    <row r="57" spans="1:24">
      <c r="A57" s="201"/>
      <c r="B57" s="201"/>
      <c r="C57" s="201"/>
      <c r="D57" s="201"/>
      <c r="E57" s="201"/>
      <c r="F57" s="201"/>
      <c r="G57" s="201"/>
      <c r="H57" s="201"/>
      <c r="I57" s="201"/>
      <c r="J57" s="201"/>
      <c r="K57" s="201"/>
      <c r="L57" s="201"/>
      <c r="M57" s="274"/>
      <c r="N57" s="274"/>
      <c r="O57" s="274"/>
      <c r="P57" s="274"/>
      <c r="Q57" s="274"/>
      <c r="R57" s="274"/>
      <c r="S57" s="274"/>
      <c r="T57" s="274"/>
      <c r="U57" s="274"/>
      <c r="V57" s="274"/>
      <c r="W57" s="274"/>
      <c r="X57" s="274"/>
    </row>
    <row r="58" spans="1:24">
      <c r="A58" s="201"/>
      <c r="B58" s="201"/>
      <c r="C58" s="201"/>
      <c r="D58" s="201"/>
      <c r="E58" s="201"/>
      <c r="F58" s="201"/>
      <c r="G58" s="201"/>
      <c r="H58" s="201"/>
      <c r="I58" s="201"/>
      <c r="J58" s="201"/>
      <c r="K58" s="201"/>
      <c r="L58" s="201"/>
      <c r="M58" s="274"/>
      <c r="N58" s="274"/>
      <c r="O58" s="274"/>
      <c r="P58" s="274"/>
      <c r="Q58" s="274"/>
      <c r="R58" s="274"/>
      <c r="S58" s="274"/>
      <c r="T58" s="274"/>
      <c r="U58" s="274"/>
      <c r="V58" s="274"/>
      <c r="W58" s="274"/>
      <c r="X58" s="274"/>
    </row>
    <row r="59" spans="1:24" ht="15" customHeight="1">
      <c r="A59" s="201" t="s">
        <v>61</v>
      </c>
      <c r="B59" s="201"/>
      <c r="C59" s="201"/>
      <c r="D59" s="201"/>
      <c r="E59" s="201"/>
      <c r="F59" s="201"/>
      <c r="G59" s="201"/>
      <c r="H59" s="201"/>
      <c r="I59" s="201"/>
      <c r="J59" s="201"/>
      <c r="K59" s="201"/>
      <c r="L59" s="201"/>
      <c r="M59" s="274" t="s">
        <v>1363</v>
      </c>
      <c r="N59" s="274"/>
      <c r="O59" s="274"/>
      <c r="P59" s="274"/>
      <c r="Q59" s="274"/>
      <c r="R59" s="274"/>
      <c r="S59" s="274" t="s">
        <v>1363</v>
      </c>
      <c r="T59" s="274"/>
      <c r="U59" s="274"/>
      <c r="V59" s="274"/>
      <c r="W59" s="274"/>
      <c r="X59" s="274"/>
    </row>
    <row r="60" spans="1:24">
      <c r="A60" s="201"/>
      <c r="B60" s="201"/>
      <c r="C60" s="201"/>
      <c r="D60" s="201"/>
      <c r="E60" s="201"/>
      <c r="F60" s="201"/>
      <c r="G60" s="201"/>
      <c r="H60" s="201"/>
      <c r="I60" s="201"/>
      <c r="J60" s="201"/>
      <c r="K60" s="201"/>
      <c r="L60" s="201"/>
      <c r="M60" s="274"/>
      <c r="N60" s="274"/>
      <c r="O60" s="274"/>
      <c r="P60" s="274"/>
      <c r="Q60" s="274"/>
      <c r="R60" s="274"/>
      <c r="S60" s="274"/>
      <c r="T60" s="274"/>
      <c r="U60" s="274"/>
      <c r="V60" s="274"/>
      <c r="W60" s="274"/>
      <c r="X60" s="274"/>
    </row>
    <row r="61" spans="1:24">
      <c r="A61" s="201"/>
      <c r="B61" s="201"/>
      <c r="C61" s="201"/>
      <c r="D61" s="201"/>
      <c r="E61" s="201"/>
      <c r="F61" s="201"/>
      <c r="G61" s="201"/>
      <c r="H61" s="201"/>
      <c r="I61" s="201"/>
      <c r="J61" s="201"/>
      <c r="K61" s="201"/>
      <c r="L61" s="201"/>
      <c r="M61" s="274"/>
      <c r="N61" s="274"/>
      <c r="O61" s="274"/>
      <c r="P61" s="274"/>
      <c r="Q61" s="274"/>
      <c r="R61" s="274"/>
      <c r="S61" s="274"/>
      <c r="T61" s="274"/>
      <c r="U61" s="274"/>
      <c r="V61" s="274"/>
      <c r="W61" s="274"/>
      <c r="X61" s="274"/>
    </row>
    <row r="62" spans="1:24" ht="15" customHeight="1">
      <c r="A62" s="201" t="s">
        <v>429</v>
      </c>
      <c r="B62" s="201"/>
      <c r="C62" s="201"/>
      <c r="D62" s="201"/>
      <c r="E62" s="201"/>
      <c r="F62" s="201"/>
      <c r="G62" s="201"/>
      <c r="H62" s="201"/>
      <c r="I62" s="201"/>
      <c r="J62" s="201"/>
      <c r="K62" s="201"/>
      <c r="L62" s="201"/>
      <c r="M62" s="274"/>
      <c r="N62" s="274"/>
      <c r="O62" s="274"/>
      <c r="P62" s="274"/>
      <c r="Q62" s="274"/>
      <c r="R62" s="274"/>
      <c r="S62" s="274"/>
      <c r="T62" s="274"/>
      <c r="U62" s="274"/>
      <c r="V62" s="274"/>
      <c r="W62" s="274"/>
      <c r="X62" s="274"/>
    </row>
    <row r="63" spans="1:24">
      <c r="A63" s="201"/>
      <c r="B63" s="201"/>
      <c r="C63" s="201"/>
      <c r="D63" s="201"/>
      <c r="E63" s="201"/>
      <c r="F63" s="201"/>
      <c r="G63" s="201"/>
      <c r="H63" s="201"/>
      <c r="I63" s="201"/>
      <c r="J63" s="201"/>
      <c r="K63" s="201"/>
      <c r="L63" s="201"/>
      <c r="M63" s="274"/>
      <c r="N63" s="274"/>
      <c r="O63" s="274"/>
      <c r="P63" s="274"/>
      <c r="Q63" s="274"/>
      <c r="R63" s="274"/>
      <c r="S63" s="274"/>
      <c r="T63" s="274"/>
      <c r="U63" s="274"/>
      <c r="V63" s="274"/>
      <c r="W63" s="274"/>
      <c r="X63" s="274"/>
    </row>
    <row r="64" spans="1:24">
      <c r="A64" s="201"/>
      <c r="B64" s="201"/>
      <c r="C64" s="201"/>
      <c r="D64" s="201"/>
      <c r="E64" s="201"/>
      <c r="F64" s="201"/>
      <c r="G64" s="201"/>
      <c r="H64" s="201"/>
      <c r="I64" s="201"/>
      <c r="J64" s="201"/>
      <c r="K64" s="201"/>
      <c r="L64" s="201"/>
      <c r="M64" s="274"/>
      <c r="N64" s="274"/>
      <c r="O64" s="274"/>
      <c r="P64" s="274"/>
      <c r="Q64" s="274"/>
      <c r="R64" s="274"/>
      <c r="S64" s="274"/>
      <c r="T64" s="274"/>
      <c r="U64" s="274"/>
      <c r="V64" s="274"/>
      <c r="W64" s="274"/>
      <c r="X64" s="274"/>
    </row>
    <row r="65" spans="1:24" ht="15" customHeight="1">
      <c r="A65" s="201" t="s">
        <v>570</v>
      </c>
      <c r="B65" s="201"/>
      <c r="C65" s="201"/>
      <c r="D65" s="201"/>
      <c r="E65" s="201"/>
      <c r="F65" s="201"/>
      <c r="G65" s="201"/>
      <c r="H65" s="201"/>
      <c r="I65" s="201"/>
      <c r="J65" s="201"/>
      <c r="K65" s="201"/>
      <c r="L65" s="201"/>
      <c r="M65" s="274"/>
      <c r="N65" s="274"/>
      <c r="O65" s="274"/>
      <c r="P65" s="274"/>
      <c r="Q65" s="274"/>
      <c r="R65" s="274"/>
      <c r="S65" s="274"/>
      <c r="T65" s="274"/>
      <c r="U65" s="274"/>
      <c r="V65" s="274"/>
      <c r="W65" s="274"/>
      <c r="X65" s="274"/>
    </row>
    <row r="66" spans="1:24">
      <c r="A66" s="201"/>
      <c r="B66" s="201"/>
      <c r="C66" s="201"/>
      <c r="D66" s="201"/>
      <c r="E66" s="201"/>
      <c r="F66" s="201"/>
      <c r="G66" s="201"/>
      <c r="H66" s="201"/>
      <c r="I66" s="201"/>
      <c r="J66" s="201"/>
      <c r="K66" s="201"/>
      <c r="L66" s="201"/>
      <c r="M66" s="274"/>
      <c r="N66" s="274"/>
      <c r="O66" s="274"/>
      <c r="P66" s="274"/>
      <c r="Q66" s="274"/>
      <c r="R66" s="274"/>
      <c r="S66" s="274"/>
      <c r="T66" s="274"/>
      <c r="U66" s="274"/>
      <c r="V66" s="274"/>
      <c r="W66" s="274"/>
      <c r="X66" s="274"/>
    </row>
    <row r="67" spans="1:24">
      <c r="A67" s="201"/>
      <c r="B67" s="201"/>
      <c r="C67" s="201"/>
      <c r="D67" s="201"/>
      <c r="E67" s="201"/>
      <c r="F67" s="201"/>
      <c r="G67" s="201"/>
      <c r="H67" s="201"/>
      <c r="I67" s="201"/>
      <c r="J67" s="201"/>
      <c r="K67" s="201"/>
      <c r="L67" s="201"/>
      <c r="M67" s="274"/>
      <c r="N67" s="274"/>
      <c r="O67" s="274"/>
      <c r="P67" s="274"/>
      <c r="Q67" s="274"/>
      <c r="R67" s="274"/>
      <c r="S67" s="274"/>
      <c r="T67" s="274"/>
      <c r="U67" s="274"/>
      <c r="V67" s="274"/>
      <c r="W67" s="274"/>
      <c r="X67" s="274"/>
    </row>
    <row r="71" spans="1:24" ht="15.75">
      <c r="A71" s="133" t="s">
        <v>356</v>
      </c>
      <c r="B71" s="133"/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3"/>
      <c r="Q71" s="133"/>
      <c r="R71" s="133"/>
      <c r="S71" s="133"/>
      <c r="T71" s="133"/>
      <c r="U71" s="133"/>
      <c r="V71" s="133"/>
      <c r="W71" s="133"/>
      <c r="X71" s="133"/>
    </row>
    <row r="73" spans="1:24" ht="30" customHeight="1">
      <c r="A73" s="183" t="s">
        <v>288</v>
      </c>
      <c r="B73" s="183"/>
      <c r="C73" s="183"/>
      <c r="D73" s="183"/>
      <c r="E73" s="183"/>
      <c r="F73" s="183"/>
      <c r="G73" s="183" t="s">
        <v>332</v>
      </c>
      <c r="H73" s="183"/>
      <c r="I73" s="183"/>
      <c r="J73" s="183"/>
      <c r="K73" s="183"/>
      <c r="L73" s="183"/>
      <c r="M73" s="183"/>
      <c r="N73" s="183"/>
      <c r="O73" s="183"/>
      <c r="P73" s="183" t="s">
        <v>360</v>
      </c>
      <c r="Q73" s="183"/>
      <c r="R73" s="183"/>
      <c r="S73" s="183"/>
      <c r="T73" s="183"/>
      <c r="U73" s="183"/>
      <c r="V73" s="183"/>
      <c r="W73" s="183"/>
      <c r="X73" s="183"/>
    </row>
    <row r="74" spans="1:24">
      <c r="A74" s="183"/>
      <c r="B74" s="183"/>
      <c r="C74" s="183"/>
      <c r="D74" s="183"/>
      <c r="E74" s="183"/>
      <c r="F74" s="183"/>
      <c r="G74" s="183" t="s">
        <v>214</v>
      </c>
      <c r="H74" s="183"/>
      <c r="I74" s="183"/>
      <c r="J74" s="183"/>
      <c r="K74" s="183"/>
      <c r="L74" s="183"/>
      <c r="M74" s="183"/>
      <c r="N74" s="183"/>
      <c r="O74" s="183"/>
      <c r="P74" s="183" t="s">
        <v>214</v>
      </c>
      <c r="Q74" s="183"/>
      <c r="R74" s="183"/>
      <c r="S74" s="183"/>
      <c r="T74" s="183"/>
      <c r="U74" s="183"/>
      <c r="V74" s="183"/>
      <c r="W74" s="183"/>
      <c r="X74" s="183"/>
    </row>
    <row r="75" spans="1:24" ht="50.1" customHeight="1">
      <c r="A75" s="183"/>
      <c r="B75" s="183"/>
      <c r="C75" s="183"/>
      <c r="D75" s="183"/>
      <c r="E75" s="183"/>
      <c r="F75" s="183"/>
      <c r="G75" s="183" t="s">
        <v>813</v>
      </c>
      <c r="H75" s="183"/>
      <c r="I75" s="183"/>
      <c r="J75" s="183" t="s">
        <v>1254</v>
      </c>
      <c r="K75" s="183"/>
      <c r="L75" s="183"/>
      <c r="M75" s="183" t="s">
        <v>268</v>
      </c>
      <c r="N75" s="183"/>
      <c r="O75" s="183"/>
      <c r="P75" s="183" t="s">
        <v>813</v>
      </c>
      <c r="Q75" s="183"/>
      <c r="R75" s="183"/>
      <c r="S75" s="183" t="s">
        <v>1254</v>
      </c>
      <c r="T75" s="183"/>
      <c r="U75" s="183"/>
      <c r="V75" s="183" t="s">
        <v>813</v>
      </c>
      <c r="W75" s="183"/>
      <c r="X75" s="183"/>
    </row>
    <row r="76" spans="1:24">
      <c r="A76" s="285" t="s">
        <v>958</v>
      </c>
      <c r="B76" s="285"/>
      <c r="C76" s="285"/>
      <c r="D76" s="285"/>
      <c r="E76" s="285"/>
      <c r="F76" s="285"/>
      <c r="G76" s="285" t="s">
        <v>1350</v>
      </c>
      <c r="H76" s="285"/>
      <c r="I76" s="285"/>
      <c r="J76" s="285" t="s">
        <v>737</v>
      </c>
      <c r="K76" s="285"/>
      <c r="L76" s="285"/>
      <c r="M76" s="285" t="s">
        <v>226</v>
      </c>
      <c r="N76" s="285"/>
      <c r="O76" s="285"/>
      <c r="P76" s="290" t="s">
        <v>830</v>
      </c>
      <c r="Q76" s="290"/>
      <c r="R76" s="290"/>
      <c r="S76" s="290" t="s">
        <v>126</v>
      </c>
      <c r="T76" s="290"/>
      <c r="U76" s="290"/>
      <c r="V76" s="290" t="s">
        <v>707</v>
      </c>
      <c r="W76" s="290"/>
      <c r="X76" s="290"/>
    </row>
    <row r="77" spans="1:24">
      <c r="A77" s="289" t="s">
        <v>490</v>
      </c>
      <c r="B77" s="289"/>
      <c r="C77" s="289"/>
      <c r="D77" s="289"/>
      <c r="E77" s="289"/>
      <c r="F77" s="289"/>
      <c r="G77" s="286"/>
      <c r="H77" s="286"/>
      <c r="I77" s="286"/>
      <c r="J77" s="286"/>
      <c r="K77" s="286"/>
      <c r="L77" s="286"/>
      <c r="M77" s="286"/>
      <c r="N77" s="286"/>
      <c r="O77" s="286"/>
      <c r="P77" s="286"/>
      <c r="Q77" s="286"/>
      <c r="R77" s="286"/>
      <c r="S77" s="286"/>
      <c r="T77" s="286"/>
      <c r="U77" s="286"/>
      <c r="V77" s="286"/>
      <c r="W77" s="286"/>
      <c r="X77" s="286"/>
    </row>
    <row r="78" spans="1:24">
      <c r="A78" s="223" t="s">
        <v>907</v>
      </c>
      <c r="B78" s="223"/>
      <c r="C78" s="223"/>
      <c r="D78" s="223"/>
      <c r="E78" s="223"/>
      <c r="F78" s="223"/>
      <c r="G78" s="287"/>
      <c r="H78" s="287"/>
      <c r="I78" s="287"/>
      <c r="J78" s="287"/>
      <c r="K78" s="287"/>
      <c r="L78" s="287"/>
      <c r="M78" s="287"/>
      <c r="N78" s="287"/>
      <c r="O78" s="287"/>
      <c r="P78" s="287"/>
      <c r="Q78" s="287"/>
      <c r="R78" s="287"/>
      <c r="S78" s="287"/>
      <c r="T78" s="287"/>
      <c r="U78" s="287"/>
      <c r="V78" s="287"/>
      <c r="W78" s="287"/>
      <c r="X78" s="287"/>
    </row>
    <row r="79" spans="1:24">
      <c r="A79" s="284" t="s">
        <v>461</v>
      </c>
      <c r="B79" s="284"/>
      <c r="C79" s="284"/>
      <c r="D79" s="284"/>
      <c r="E79" s="284"/>
      <c r="F79" s="284"/>
      <c r="G79" s="288">
        <f>SUM(G77:I78)</f>
        <v>0</v>
      </c>
      <c r="H79" s="288"/>
      <c r="I79" s="288"/>
      <c r="J79" s="288">
        <f>SUM(J77:L78)</f>
        <v>0</v>
      </c>
      <c r="K79" s="288"/>
      <c r="L79" s="288"/>
      <c r="M79" s="288">
        <f>SUM(M77:O78)</f>
        <v>0</v>
      </c>
      <c r="N79" s="288"/>
      <c r="O79" s="288"/>
      <c r="P79" s="288">
        <f>SUM(P77:R78)</f>
        <v>0</v>
      </c>
      <c r="Q79" s="288"/>
      <c r="R79" s="288"/>
      <c r="S79" s="288">
        <f>SUM(S77:U78)</f>
        <v>0</v>
      </c>
      <c r="T79" s="288"/>
      <c r="U79" s="288"/>
      <c r="V79" s="288">
        <f>SUM(V77:X78)</f>
        <v>0</v>
      </c>
      <c r="W79" s="288"/>
      <c r="X79" s="288"/>
    </row>
  </sheetData>
  <mergeCells count="210">
    <mergeCell ref="A50:F50"/>
    <mergeCell ref="S51:X51"/>
    <mergeCell ref="S48:X48"/>
    <mergeCell ref="S47:X47"/>
    <mergeCell ref="S50:X50"/>
    <mergeCell ref="M50:R50"/>
    <mergeCell ref="M48:R48"/>
    <mergeCell ref="S49:X49"/>
    <mergeCell ref="M51:R51"/>
    <mergeCell ref="M49:R49"/>
    <mergeCell ref="A47:F47"/>
    <mergeCell ref="A48:F48"/>
    <mergeCell ref="A49:F49"/>
    <mergeCell ref="G46:L46"/>
    <mergeCell ref="M45:R45"/>
    <mergeCell ref="M46:R46"/>
    <mergeCell ref="M47:R47"/>
    <mergeCell ref="G45:L45"/>
    <mergeCell ref="A45:F45"/>
    <mergeCell ref="I26:L26"/>
    <mergeCell ref="M26:P26"/>
    <mergeCell ref="Q29:T29"/>
    <mergeCell ref="A46:F46"/>
    <mergeCell ref="A38:P38"/>
    <mergeCell ref="S45:X45"/>
    <mergeCell ref="A43:X43"/>
    <mergeCell ref="Q38:X38"/>
    <mergeCell ref="Q28:T28"/>
    <mergeCell ref="U28:X28"/>
    <mergeCell ref="Q7:X7"/>
    <mergeCell ref="U16:X16"/>
    <mergeCell ref="U19:X19"/>
    <mergeCell ref="Q8:X8"/>
    <mergeCell ref="Q9:X9"/>
    <mergeCell ref="U17:X17"/>
    <mergeCell ref="Q15:T15"/>
    <mergeCell ref="Q19:T19"/>
    <mergeCell ref="Q34:T34"/>
    <mergeCell ref="M27:P27"/>
    <mergeCell ref="Q39:X39"/>
    <mergeCell ref="I6:P6"/>
    <mergeCell ref="I7:P7"/>
    <mergeCell ref="I8:P8"/>
    <mergeCell ref="M28:P28"/>
    <mergeCell ref="M29:P29"/>
    <mergeCell ref="A39:P39"/>
    <mergeCell ref="Q6:X6"/>
    <mergeCell ref="A25:D25"/>
    <mergeCell ref="I29:L29"/>
    <mergeCell ref="E29:H29"/>
    <mergeCell ref="A29:D29"/>
    <mergeCell ref="A35:X35"/>
    <mergeCell ref="A27:D27"/>
    <mergeCell ref="Q26:T26"/>
    <mergeCell ref="Q27:T27"/>
    <mergeCell ref="U27:X27"/>
    <mergeCell ref="U34:X34"/>
    <mergeCell ref="A21:H21"/>
    <mergeCell ref="I28:L28"/>
    <mergeCell ref="E28:H28"/>
    <mergeCell ref="A28:D28"/>
    <mergeCell ref="I27:L27"/>
    <mergeCell ref="E27:H27"/>
    <mergeCell ref="I21:L21"/>
    <mergeCell ref="E26:H26"/>
    <mergeCell ref="A26:D26"/>
    <mergeCell ref="E25:H25"/>
    <mergeCell ref="V77:X77"/>
    <mergeCell ref="U29:X29"/>
    <mergeCell ref="V78:X78"/>
    <mergeCell ref="S61:X61"/>
    <mergeCell ref="S62:X62"/>
    <mergeCell ref="S63:X63"/>
    <mergeCell ref="S67:X67"/>
    <mergeCell ref="P73:X73"/>
    <mergeCell ref="A53:X53"/>
    <mergeCell ref="M78:O78"/>
    <mergeCell ref="P78:R78"/>
    <mergeCell ref="S76:U76"/>
    <mergeCell ref="S77:U77"/>
    <mergeCell ref="S78:U78"/>
    <mergeCell ref="V79:X79"/>
    <mergeCell ref="P74:X74"/>
    <mergeCell ref="P79:R79"/>
    <mergeCell ref="S79:U79"/>
    <mergeCell ref="V75:X75"/>
    <mergeCell ref="S75:U75"/>
    <mergeCell ref="V76:X76"/>
    <mergeCell ref="M79:O79"/>
    <mergeCell ref="J76:L76"/>
    <mergeCell ref="J77:L77"/>
    <mergeCell ref="J78:L78"/>
    <mergeCell ref="J79:L79"/>
    <mergeCell ref="M76:O76"/>
    <mergeCell ref="M77:O77"/>
    <mergeCell ref="P76:R76"/>
    <mergeCell ref="P77:R77"/>
    <mergeCell ref="A79:F79"/>
    <mergeCell ref="G76:I76"/>
    <mergeCell ref="G77:I77"/>
    <mergeCell ref="G78:I78"/>
    <mergeCell ref="G79:I79"/>
    <mergeCell ref="A76:F76"/>
    <mergeCell ref="A77:F77"/>
    <mergeCell ref="A78:F78"/>
    <mergeCell ref="Q4:X4"/>
    <mergeCell ref="Q5:X5"/>
    <mergeCell ref="U26:X26"/>
    <mergeCell ref="A66:L66"/>
    <mergeCell ref="A64:L64"/>
    <mergeCell ref="A65:L65"/>
    <mergeCell ref="A62:L62"/>
    <mergeCell ref="A61:L61"/>
    <mergeCell ref="A51:F51"/>
    <mergeCell ref="Q37:X37"/>
    <mergeCell ref="G75:I75"/>
    <mergeCell ref="A71:X71"/>
    <mergeCell ref="A67:L67"/>
    <mergeCell ref="A73:F75"/>
    <mergeCell ref="G73:O73"/>
    <mergeCell ref="G74:O74"/>
    <mergeCell ref="M75:O75"/>
    <mergeCell ref="J75:L75"/>
    <mergeCell ref="M67:R67"/>
    <mergeCell ref="P75:R75"/>
    <mergeCell ref="A7:H7"/>
    <mergeCell ref="A8:H8"/>
    <mergeCell ref="A63:L63"/>
    <mergeCell ref="A2:X2"/>
    <mergeCell ref="A11:X11"/>
    <mergeCell ref="A23:X23"/>
    <mergeCell ref="G49:L49"/>
    <mergeCell ref="G50:L50"/>
    <mergeCell ref="G47:L47"/>
    <mergeCell ref="G48:L48"/>
    <mergeCell ref="A13:H14"/>
    <mergeCell ref="A9:H9"/>
    <mergeCell ref="I9:P9"/>
    <mergeCell ref="I13:X13"/>
    <mergeCell ref="I14:L14"/>
    <mergeCell ref="M14:P14"/>
    <mergeCell ref="U14:X14"/>
    <mergeCell ref="Q14:T14"/>
    <mergeCell ref="I4:P4"/>
    <mergeCell ref="A4:H4"/>
    <mergeCell ref="A5:H5"/>
    <mergeCell ref="A6:H6"/>
    <mergeCell ref="I5:P5"/>
    <mergeCell ref="U25:X25"/>
    <mergeCell ref="Q25:T25"/>
    <mergeCell ref="M25:P25"/>
    <mergeCell ref="I25:L25"/>
    <mergeCell ref="U15:X15"/>
    <mergeCell ref="M15:P15"/>
    <mergeCell ref="M16:P16"/>
    <mergeCell ref="M17:P17"/>
    <mergeCell ref="M18:P18"/>
    <mergeCell ref="Q18:T18"/>
    <mergeCell ref="U18:X18"/>
    <mergeCell ref="Q16:T16"/>
    <mergeCell ref="Q17:T17"/>
    <mergeCell ref="I15:L15"/>
    <mergeCell ref="I16:L16"/>
    <mergeCell ref="A15:H15"/>
    <mergeCell ref="A16:H16"/>
    <mergeCell ref="A17:H17"/>
    <mergeCell ref="A18:H18"/>
    <mergeCell ref="I17:L17"/>
    <mergeCell ref="S55:X55"/>
    <mergeCell ref="I19:L19"/>
    <mergeCell ref="I20:L20"/>
    <mergeCell ref="Q20:T20"/>
    <mergeCell ref="A19:H19"/>
    <mergeCell ref="A20:H20"/>
    <mergeCell ref="M19:P19"/>
    <mergeCell ref="Q21:T21"/>
    <mergeCell ref="U21:X21"/>
    <mergeCell ref="A37:P37"/>
    <mergeCell ref="S57:X57"/>
    <mergeCell ref="I18:L18"/>
    <mergeCell ref="M55:R55"/>
    <mergeCell ref="M56:R56"/>
    <mergeCell ref="M57:R57"/>
    <mergeCell ref="M20:P20"/>
    <mergeCell ref="M21:P21"/>
    <mergeCell ref="U20:X20"/>
    <mergeCell ref="G51:L51"/>
    <mergeCell ref="S56:X56"/>
    <mergeCell ref="M60:R60"/>
    <mergeCell ref="S58:X58"/>
    <mergeCell ref="S59:X59"/>
    <mergeCell ref="S60:X60"/>
    <mergeCell ref="M58:R58"/>
    <mergeCell ref="M59:R59"/>
    <mergeCell ref="S46:X46"/>
    <mergeCell ref="M64:R64"/>
    <mergeCell ref="M65:R65"/>
    <mergeCell ref="M66:R66"/>
    <mergeCell ref="S64:X64"/>
    <mergeCell ref="S65:X65"/>
    <mergeCell ref="S66:X66"/>
    <mergeCell ref="M61:R61"/>
    <mergeCell ref="M62:R62"/>
    <mergeCell ref="M63:R63"/>
    <mergeCell ref="A55:L55"/>
    <mergeCell ref="A56:L56"/>
    <mergeCell ref="A57:L57"/>
    <mergeCell ref="A58:L58"/>
    <mergeCell ref="A59:L59"/>
    <mergeCell ref="A60:L60"/>
  </mergeCells>
  <phoneticPr fontId="0" type="noConversion"/>
  <pageMargins left="0.7" right="0.7" top="0.75" bottom="0.75" header="0.3" footer="0.3"/>
  <pageSetup paperSize="9" scale="9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2:X86"/>
  <sheetViews>
    <sheetView topLeftCell="A76" workbookViewId="0">
      <selection activeCell="I68" sqref="I68:J68"/>
    </sheetView>
  </sheetViews>
  <sheetFormatPr defaultRowHeight="15"/>
  <cols>
    <col min="1" max="14" width="6" customWidth="1"/>
  </cols>
  <sheetData>
    <row r="2" spans="1:24" ht="15.75" customHeight="1">
      <c r="A2" s="334" t="s">
        <v>286</v>
      </c>
      <c r="B2" s="334"/>
      <c r="C2" s="334"/>
      <c r="D2" s="334"/>
      <c r="E2" s="334"/>
      <c r="F2" s="334"/>
      <c r="G2" s="334"/>
      <c r="H2" s="334"/>
      <c r="I2" s="334"/>
      <c r="J2" s="334"/>
      <c r="K2" s="334"/>
      <c r="L2" s="334"/>
      <c r="M2" s="334"/>
      <c r="N2" s="334"/>
    </row>
    <row r="4" spans="1:24" ht="15.75" customHeight="1">
      <c r="A4" s="303" t="s">
        <v>999</v>
      </c>
      <c r="B4" s="303"/>
      <c r="C4" s="303"/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41"/>
      <c r="P4" s="41"/>
      <c r="Q4" s="41"/>
      <c r="R4" s="41"/>
      <c r="S4" s="41"/>
      <c r="T4" s="41"/>
      <c r="U4" s="41"/>
      <c r="V4" s="41"/>
      <c r="W4" s="41"/>
      <c r="X4" s="41"/>
    </row>
    <row r="6" spans="1:24" ht="39.950000000000003" customHeight="1">
      <c r="A6" s="199" t="s">
        <v>288</v>
      </c>
      <c r="B6" s="199"/>
      <c r="C6" s="199"/>
      <c r="D6" s="199"/>
      <c r="E6" s="199"/>
      <c r="F6" s="199"/>
      <c r="G6" s="199"/>
      <c r="H6" s="199"/>
      <c r="I6" s="199" t="s">
        <v>332</v>
      </c>
      <c r="J6" s="199"/>
      <c r="K6" s="199"/>
      <c r="L6" s="199" t="s">
        <v>360</v>
      </c>
      <c r="M6" s="199"/>
      <c r="N6" s="199"/>
    </row>
    <row r="7" spans="1:24">
      <c r="A7" s="330" t="s">
        <v>515</v>
      </c>
      <c r="B7" s="330"/>
      <c r="C7" s="330"/>
      <c r="D7" s="330"/>
      <c r="E7" s="330"/>
      <c r="F7" s="330"/>
      <c r="G7" s="330"/>
      <c r="H7" s="330"/>
      <c r="I7" s="333">
        <v>6639</v>
      </c>
      <c r="J7" s="333"/>
      <c r="K7" s="333"/>
      <c r="L7" s="333">
        <v>6639</v>
      </c>
      <c r="M7" s="333"/>
      <c r="N7" s="333"/>
    </row>
    <row r="8" spans="1:24">
      <c r="A8" s="311" t="s">
        <v>251</v>
      </c>
      <c r="B8" s="311"/>
      <c r="C8" s="311"/>
      <c r="D8" s="311"/>
      <c r="E8" s="311"/>
      <c r="F8" s="311"/>
      <c r="G8" s="311"/>
      <c r="H8" s="311"/>
      <c r="I8" s="185"/>
      <c r="J8" s="185"/>
      <c r="K8" s="185"/>
      <c r="L8" s="185"/>
      <c r="M8" s="185"/>
      <c r="N8" s="185"/>
    </row>
    <row r="9" spans="1:24">
      <c r="A9" s="311" t="s">
        <v>599</v>
      </c>
      <c r="B9" s="311"/>
      <c r="C9" s="311"/>
      <c r="D9" s="311"/>
      <c r="E9" s="311"/>
      <c r="F9" s="311"/>
      <c r="G9" s="311"/>
      <c r="H9" s="311"/>
      <c r="I9" s="185"/>
      <c r="J9" s="185"/>
      <c r="K9" s="185"/>
      <c r="L9" s="185"/>
      <c r="M9" s="185"/>
      <c r="N9" s="185"/>
    </row>
    <row r="10" spans="1:24" ht="24.95" customHeight="1">
      <c r="A10" s="311" t="s">
        <v>828</v>
      </c>
      <c r="B10" s="311"/>
      <c r="C10" s="311"/>
      <c r="D10" s="311"/>
      <c r="E10" s="311"/>
      <c r="F10" s="311"/>
      <c r="G10" s="311"/>
      <c r="H10" s="311"/>
      <c r="I10" s="185"/>
      <c r="J10" s="185"/>
      <c r="K10" s="185"/>
      <c r="L10" s="185"/>
      <c r="M10" s="185"/>
      <c r="N10" s="185"/>
    </row>
    <row r="11" spans="1:24">
      <c r="A11" s="311" t="s">
        <v>1359</v>
      </c>
      <c r="B11" s="311"/>
      <c r="C11" s="311"/>
      <c r="D11" s="311"/>
      <c r="E11" s="311"/>
      <c r="F11" s="311"/>
      <c r="G11" s="311"/>
      <c r="H11" s="311"/>
      <c r="I11" s="185"/>
      <c r="J11" s="185"/>
      <c r="K11" s="185"/>
      <c r="L11" s="185"/>
      <c r="M11" s="185"/>
      <c r="N11" s="185"/>
    </row>
    <row r="12" spans="1:24">
      <c r="A12" s="311" t="s">
        <v>1359</v>
      </c>
      <c r="B12" s="311"/>
      <c r="C12" s="311"/>
      <c r="D12" s="311"/>
      <c r="E12" s="311"/>
      <c r="F12" s="311"/>
      <c r="G12" s="311"/>
      <c r="H12" s="311"/>
      <c r="I12" s="185"/>
      <c r="J12" s="185"/>
      <c r="K12" s="185"/>
      <c r="L12" s="185"/>
      <c r="M12" s="185"/>
      <c r="N12" s="185"/>
    </row>
    <row r="13" spans="1:24">
      <c r="A13" s="311" t="s">
        <v>640</v>
      </c>
      <c r="B13" s="311"/>
      <c r="C13" s="311"/>
      <c r="D13" s="311"/>
      <c r="E13" s="311"/>
      <c r="F13" s="311"/>
      <c r="G13" s="311"/>
      <c r="H13" s="311"/>
      <c r="I13" s="185"/>
      <c r="J13" s="185"/>
      <c r="K13" s="185"/>
      <c r="L13" s="185"/>
      <c r="M13" s="185"/>
      <c r="N13" s="185"/>
    </row>
    <row r="14" spans="1:24">
      <c r="A14" s="311" t="s">
        <v>430</v>
      </c>
      <c r="B14" s="311"/>
      <c r="C14" s="311"/>
      <c r="D14" s="311"/>
      <c r="E14" s="311"/>
      <c r="F14" s="311"/>
      <c r="G14" s="311"/>
      <c r="H14" s="311"/>
      <c r="I14" s="185"/>
      <c r="J14" s="185"/>
      <c r="K14" s="185"/>
      <c r="L14" s="185"/>
      <c r="M14" s="185"/>
      <c r="N14" s="185"/>
    </row>
    <row r="15" spans="1:24">
      <c r="A15" s="311" t="s">
        <v>386</v>
      </c>
      <c r="B15" s="311"/>
      <c r="C15" s="311"/>
      <c r="D15" s="311"/>
      <c r="E15" s="311"/>
      <c r="F15" s="311"/>
      <c r="G15" s="311"/>
      <c r="H15" s="311"/>
      <c r="I15" s="185">
        <v>6639</v>
      </c>
      <c r="J15" s="185"/>
      <c r="K15" s="185"/>
      <c r="L15" s="185">
        <v>6639</v>
      </c>
      <c r="M15" s="185"/>
      <c r="N15" s="185"/>
    </row>
    <row r="16" spans="1:24" ht="39.950000000000003" customHeight="1">
      <c r="A16" s="311" t="s">
        <v>5</v>
      </c>
      <c r="B16" s="311"/>
      <c r="C16" s="311"/>
      <c r="D16" s="311"/>
      <c r="E16" s="311"/>
      <c r="F16" s="311"/>
      <c r="G16" s="311"/>
      <c r="H16" s="311"/>
      <c r="I16" s="185"/>
      <c r="J16" s="185"/>
      <c r="K16" s="185"/>
      <c r="L16" s="185"/>
      <c r="M16" s="185"/>
      <c r="N16" s="185"/>
    </row>
    <row r="18" spans="1:14" ht="15.75">
      <c r="A18" s="303" t="s">
        <v>598</v>
      </c>
      <c r="B18" s="303"/>
      <c r="C18" s="303"/>
      <c r="D18" s="303"/>
      <c r="E18" s="303"/>
      <c r="F18" s="303"/>
      <c r="G18" s="303"/>
      <c r="H18" s="303"/>
      <c r="I18" s="303"/>
      <c r="J18" s="303"/>
      <c r="K18" s="303"/>
      <c r="L18" s="303"/>
      <c r="M18" s="303"/>
      <c r="N18" s="303"/>
    </row>
    <row r="20" spans="1:14" ht="15.75" customHeight="1">
      <c r="A20" s="199" t="s">
        <v>288</v>
      </c>
      <c r="B20" s="199"/>
      <c r="C20" s="199"/>
      <c r="D20" s="199"/>
      <c r="E20" s="199"/>
      <c r="F20" s="199"/>
      <c r="G20" s="199"/>
      <c r="H20" s="199"/>
      <c r="I20" s="318" t="s">
        <v>360</v>
      </c>
      <c r="J20" s="319"/>
      <c r="K20" s="319"/>
      <c r="L20" s="319"/>
      <c r="M20" s="319"/>
      <c r="N20" s="320"/>
    </row>
    <row r="21" spans="1:14">
      <c r="A21" s="328" t="s">
        <v>142</v>
      </c>
      <c r="B21" s="328"/>
      <c r="C21" s="328"/>
      <c r="D21" s="328"/>
      <c r="E21" s="328"/>
      <c r="F21" s="328"/>
      <c r="G21" s="328"/>
      <c r="H21" s="328"/>
      <c r="I21" s="321">
        <v>37625</v>
      </c>
      <c r="J21" s="322"/>
      <c r="K21" s="322"/>
      <c r="L21" s="322"/>
      <c r="M21" s="322"/>
      <c r="N21" s="323"/>
    </row>
    <row r="22" spans="1:14">
      <c r="A22" s="306" t="s">
        <v>713</v>
      </c>
      <c r="B22" s="306"/>
      <c r="C22" s="306"/>
      <c r="D22" s="306"/>
      <c r="E22" s="306"/>
      <c r="F22" s="306"/>
      <c r="G22" s="306"/>
      <c r="H22" s="306"/>
      <c r="I22" s="308" t="s">
        <v>332</v>
      </c>
      <c r="J22" s="309"/>
      <c r="K22" s="309"/>
      <c r="L22" s="309"/>
      <c r="M22" s="309"/>
      <c r="N22" s="310"/>
    </row>
    <row r="23" spans="1:14">
      <c r="A23" s="329" t="s">
        <v>27</v>
      </c>
      <c r="B23" s="329"/>
      <c r="C23" s="329"/>
      <c r="D23" s="329"/>
      <c r="E23" s="329"/>
      <c r="F23" s="329"/>
      <c r="G23" s="329"/>
      <c r="H23" s="329"/>
      <c r="I23" s="324"/>
      <c r="J23" s="325"/>
      <c r="K23" s="325"/>
      <c r="L23" s="325"/>
      <c r="M23" s="325"/>
      <c r="N23" s="326"/>
    </row>
    <row r="24" spans="1:14">
      <c r="A24" s="311" t="s">
        <v>587</v>
      </c>
      <c r="B24" s="311"/>
      <c r="C24" s="311"/>
      <c r="D24" s="311"/>
      <c r="E24" s="311"/>
      <c r="F24" s="311"/>
      <c r="G24" s="311"/>
      <c r="H24" s="311"/>
      <c r="I24" s="312"/>
      <c r="J24" s="313"/>
      <c r="K24" s="313"/>
      <c r="L24" s="313"/>
      <c r="M24" s="313"/>
      <c r="N24" s="314"/>
    </row>
    <row r="25" spans="1:14">
      <c r="A25" s="311" t="s">
        <v>1101</v>
      </c>
      <c r="B25" s="311"/>
      <c r="C25" s="311"/>
      <c r="D25" s="311"/>
      <c r="E25" s="311"/>
      <c r="F25" s="311"/>
      <c r="G25" s="311"/>
      <c r="H25" s="311"/>
      <c r="I25" s="312"/>
      <c r="J25" s="313"/>
      <c r="K25" s="313"/>
      <c r="L25" s="313"/>
      <c r="M25" s="313"/>
      <c r="N25" s="314"/>
    </row>
    <row r="26" spans="1:14">
      <c r="A26" s="311" t="s">
        <v>555</v>
      </c>
      <c r="B26" s="311"/>
      <c r="C26" s="311"/>
      <c r="D26" s="311"/>
      <c r="E26" s="311"/>
      <c r="F26" s="311"/>
      <c r="G26" s="311"/>
      <c r="H26" s="311"/>
      <c r="I26" s="312"/>
      <c r="J26" s="313"/>
      <c r="K26" s="313"/>
      <c r="L26" s="313"/>
      <c r="M26" s="313"/>
      <c r="N26" s="314"/>
    </row>
    <row r="27" spans="1:14">
      <c r="A27" s="311" t="s">
        <v>1154</v>
      </c>
      <c r="B27" s="311"/>
      <c r="C27" s="311"/>
      <c r="D27" s="311"/>
      <c r="E27" s="311"/>
      <c r="F27" s="311"/>
      <c r="G27" s="311"/>
      <c r="H27" s="311"/>
      <c r="I27" s="312"/>
      <c r="J27" s="313"/>
      <c r="K27" s="313"/>
      <c r="L27" s="313"/>
      <c r="M27" s="313"/>
      <c r="N27" s="314"/>
    </row>
    <row r="28" spans="1:14">
      <c r="A28" s="311" t="s">
        <v>1353</v>
      </c>
      <c r="B28" s="311"/>
      <c r="C28" s="311"/>
      <c r="D28" s="311"/>
      <c r="E28" s="311"/>
      <c r="F28" s="311"/>
      <c r="G28" s="311"/>
      <c r="H28" s="311"/>
      <c r="I28" s="312">
        <v>37625</v>
      </c>
      <c r="J28" s="313"/>
      <c r="K28" s="313"/>
      <c r="L28" s="313"/>
      <c r="M28" s="313"/>
      <c r="N28" s="314"/>
    </row>
    <row r="29" spans="1:14">
      <c r="A29" s="311" t="s">
        <v>1129</v>
      </c>
      <c r="B29" s="311"/>
      <c r="C29" s="311"/>
      <c r="D29" s="311"/>
      <c r="E29" s="311"/>
      <c r="F29" s="311"/>
      <c r="G29" s="311"/>
      <c r="H29" s="311"/>
      <c r="I29" s="312"/>
      <c r="J29" s="313"/>
      <c r="K29" s="313"/>
      <c r="L29" s="313"/>
      <c r="M29" s="313"/>
      <c r="N29" s="314"/>
    </row>
    <row r="30" spans="1:14">
      <c r="A30" s="311" t="s">
        <v>423</v>
      </c>
      <c r="B30" s="311"/>
      <c r="C30" s="311"/>
      <c r="D30" s="311"/>
      <c r="E30" s="311"/>
      <c r="F30" s="311"/>
      <c r="G30" s="311"/>
      <c r="H30" s="311"/>
      <c r="I30" s="312"/>
      <c r="J30" s="313"/>
      <c r="K30" s="313"/>
      <c r="L30" s="313"/>
      <c r="M30" s="313"/>
      <c r="N30" s="314"/>
    </row>
    <row r="31" spans="1:14">
      <c r="A31" s="307" t="s">
        <v>461</v>
      </c>
      <c r="B31" s="307"/>
      <c r="C31" s="307"/>
      <c r="D31" s="307"/>
      <c r="E31" s="307"/>
      <c r="F31" s="307"/>
      <c r="G31" s="307"/>
      <c r="H31" s="307"/>
      <c r="I31" s="315">
        <f>SUM(I23:N30)</f>
        <v>37625</v>
      </c>
      <c r="J31" s="316"/>
      <c r="K31" s="316"/>
      <c r="L31" s="316"/>
      <c r="M31" s="316"/>
      <c r="N31" s="317"/>
    </row>
    <row r="33" spans="1:14" ht="15.75">
      <c r="A33" s="303" t="s">
        <v>626</v>
      </c>
      <c r="B33" s="303"/>
      <c r="C33" s="303"/>
      <c r="D33" s="303"/>
      <c r="E33" s="303"/>
      <c r="F33" s="303"/>
      <c r="G33" s="303"/>
      <c r="H33" s="303"/>
      <c r="I33" s="303"/>
      <c r="J33" s="303"/>
      <c r="K33" s="303"/>
      <c r="L33" s="303"/>
      <c r="M33" s="303"/>
      <c r="N33" s="303"/>
    </row>
    <row r="35" spans="1:14">
      <c r="A35" s="199" t="s">
        <v>288</v>
      </c>
      <c r="B35" s="199"/>
      <c r="C35" s="199"/>
      <c r="D35" s="199"/>
      <c r="E35" s="199"/>
      <c r="F35" s="199"/>
      <c r="G35" s="199"/>
      <c r="H35" s="199"/>
      <c r="I35" s="318" t="s">
        <v>360</v>
      </c>
      <c r="J35" s="319"/>
      <c r="K35" s="319"/>
      <c r="L35" s="319"/>
      <c r="M35" s="319"/>
      <c r="N35" s="320"/>
    </row>
    <row r="36" spans="1:14">
      <c r="A36" s="328" t="s">
        <v>45</v>
      </c>
      <c r="B36" s="328"/>
      <c r="C36" s="328"/>
      <c r="D36" s="328"/>
      <c r="E36" s="328"/>
      <c r="F36" s="328"/>
      <c r="G36" s="328"/>
      <c r="H36" s="328"/>
      <c r="I36" s="327" t="s">
        <v>1363</v>
      </c>
      <c r="J36" s="322"/>
      <c r="K36" s="322"/>
      <c r="L36" s="322"/>
      <c r="M36" s="322"/>
      <c r="N36" s="323"/>
    </row>
    <row r="37" spans="1:14">
      <c r="A37" s="306" t="s">
        <v>445</v>
      </c>
      <c r="B37" s="306"/>
      <c r="C37" s="306"/>
      <c r="D37" s="306"/>
      <c r="E37" s="306"/>
      <c r="F37" s="306"/>
      <c r="G37" s="306"/>
      <c r="H37" s="306"/>
      <c r="I37" s="308" t="s">
        <v>332</v>
      </c>
      <c r="J37" s="309"/>
      <c r="K37" s="309"/>
      <c r="L37" s="309"/>
      <c r="M37" s="309"/>
      <c r="N37" s="310"/>
    </row>
    <row r="38" spans="1:14">
      <c r="A38" s="329" t="s">
        <v>1264</v>
      </c>
      <c r="B38" s="329"/>
      <c r="C38" s="329"/>
      <c r="D38" s="329"/>
      <c r="E38" s="329"/>
      <c r="F38" s="329"/>
      <c r="G38" s="329"/>
      <c r="H38" s="329"/>
      <c r="I38" s="324"/>
      <c r="J38" s="325"/>
      <c r="K38" s="325"/>
      <c r="L38" s="325"/>
      <c r="M38" s="325"/>
      <c r="N38" s="326"/>
    </row>
    <row r="39" spans="1:14">
      <c r="A39" s="311" t="s">
        <v>859</v>
      </c>
      <c r="B39" s="311"/>
      <c r="C39" s="311"/>
      <c r="D39" s="311"/>
      <c r="E39" s="311"/>
      <c r="F39" s="311"/>
      <c r="G39" s="311"/>
      <c r="H39" s="311"/>
      <c r="I39" s="312"/>
      <c r="J39" s="313"/>
      <c r="K39" s="313"/>
      <c r="L39" s="313"/>
      <c r="M39" s="313"/>
      <c r="N39" s="314"/>
    </row>
    <row r="40" spans="1:14">
      <c r="A40" s="311" t="s">
        <v>784</v>
      </c>
      <c r="B40" s="311"/>
      <c r="C40" s="311"/>
      <c r="D40" s="311"/>
      <c r="E40" s="311"/>
      <c r="F40" s="311"/>
      <c r="G40" s="311"/>
      <c r="H40" s="311"/>
      <c r="I40" s="312"/>
      <c r="J40" s="313"/>
      <c r="K40" s="313"/>
      <c r="L40" s="313"/>
      <c r="M40" s="313"/>
      <c r="N40" s="314"/>
    </row>
    <row r="41" spans="1:14">
      <c r="A41" s="311" t="s">
        <v>204</v>
      </c>
      <c r="B41" s="311"/>
      <c r="C41" s="311"/>
      <c r="D41" s="311"/>
      <c r="E41" s="311"/>
      <c r="F41" s="311"/>
      <c r="G41" s="311"/>
      <c r="H41" s="311"/>
      <c r="I41" s="312"/>
      <c r="J41" s="313"/>
      <c r="K41" s="313"/>
      <c r="L41" s="313"/>
      <c r="M41" s="313"/>
      <c r="N41" s="314"/>
    </row>
    <row r="42" spans="1:14">
      <c r="A42" s="311" t="s">
        <v>542</v>
      </c>
      <c r="B42" s="311"/>
      <c r="C42" s="311"/>
      <c r="D42" s="311"/>
      <c r="E42" s="311"/>
      <c r="F42" s="311"/>
      <c r="G42" s="311"/>
      <c r="H42" s="311"/>
      <c r="I42" s="116" t="s">
        <v>1363</v>
      </c>
      <c r="J42" s="313"/>
      <c r="K42" s="313"/>
      <c r="L42" s="313"/>
      <c r="M42" s="313"/>
      <c r="N42" s="314"/>
    </row>
    <row r="43" spans="1:14">
      <c r="A43" s="311" t="s">
        <v>423</v>
      </c>
      <c r="B43" s="311"/>
      <c r="C43" s="311"/>
      <c r="D43" s="311"/>
      <c r="E43" s="311"/>
      <c r="F43" s="311"/>
      <c r="G43" s="311"/>
      <c r="H43" s="311"/>
      <c r="I43" s="312"/>
      <c r="J43" s="313"/>
      <c r="K43" s="313"/>
      <c r="L43" s="313"/>
      <c r="M43" s="313"/>
      <c r="N43" s="314"/>
    </row>
    <row r="44" spans="1:14">
      <c r="A44" s="307" t="s">
        <v>461</v>
      </c>
      <c r="B44" s="307"/>
      <c r="C44" s="307"/>
      <c r="D44" s="307"/>
      <c r="E44" s="307"/>
      <c r="F44" s="307"/>
      <c r="G44" s="307"/>
      <c r="H44" s="307"/>
      <c r="I44" s="332" t="s">
        <v>1363</v>
      </c>
      <c r="J44" s="316"/>
      <c r="K44" s="316"/>
      <c r="L44" s="316"/>
      <c r="M44" s="316"/>
      <c r="N44" s="317"/>
    </row>
    <row r="48" spans="1:14" ht="30" customHeight="1">
      <c r="A48" s="133" t="s">
        <v>374</v>
      </c>
      <c r="B48" s="133"/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</row>
    <row r="50" spans="1:14" ht="39.950000000000003" customHeight="1">
      <c r="A50" s="199" t="s">
        <v>288</v>
      </c>
      <c r="B50" s="199"/>
      <c r="C50" s="199"/>
      <c r="D50" s="199"/>
      <c r="E50" s="199"/>
      <c r="F50" s="199"/>
      <c r="G50" s="199"/>
      <c r="H50" s="199"/>
      <c r="I50" s="199" t="s">
        <v>332</v>
      </c>
      <c r="J50" s="199"/>
      <c r="K50" s="199"/>
      <c r="L50" s="199" t="s">
        <v>360</v>
      </c>
      <c r="M50" s="199"/>
      <c r="N50" s="199"/>
    </row>
    <row r="51" spans="1:14">
      <c r="A51" s="330" t="s">
        <v>1009</v>
      </c>
      <c r="B51" s="330"/>
      <c r="C51" s="330"/>
      <c r="D51" s="330"/>
      <c r="E51" s="330"/>
      <c r="F51" s="330"/>
      <c r="G51" s="330"/>
      <c r="H51" s="330"/>
      <c r="I51" s="331"/>
      <c r="J51" s="331"/>
      <c r="K51" s="331"/>
      <c r="L51" s="331"/>
      <c r="M51" s="331"/>
      <c r="N51" s="331"/>
    </row>
    <row r="52" spans="1:14" ht="24.95" customHeight="1">
      <c r="A52" s="311" t="s">
        <v>103</v>
      </c>
      <c r="B52" s="311"/>
      <c r="C52" s="311"/>
      <c r="D52" s="311"/>
      <c r="E52" s="311"/>
      <c r="F52" s="311"/>
      <c r="G52" s="311"/>
      <c r="H52" s="311"/>
      <c r="I52" s="224"/>
      <c r="J52" s="224"/>
      <c r="K52" s="224"/>
      <c r="L52" s="224"/>
      <c r="M52" s="224"/>
      <c r="N52" s="224"/>
    </row>
    <row r="53" spans="1:14">
      <c r="A53" s="311" t="s">
        <v>483</v>
      </c>
      <c r="B53" s="311"/>
      <c r="C53" s="311"/>
      <c r="D53" s="311"/>
      <c r="E53" s="311"/>
      <c r="F53" s="311"/>
      <c r="G53" s="311"/>
      <c r="H53" s="311"/>
      <c r="I53" s="224"/>
      <c r="J53" s="224"/>
      <c r="K53" s="224"/>
      <c r="L53" s="224"/>
      <c r="M53" s="224"/>
      <c r="N53" s="224"/>
    </row>
    <row r="54" spans="1:14">
      <c r="A54" s="311"/>
      <c r="B54" s="311"/>
      <c r="C54" s="311"/>
      <c r="D54" s="311"/>
      <c r="E54" s="311"/>
      <c r="F54" s="311"/>
      <c r="G54" s="311"/>
      <c r="H54" s="311"/>
      <c r="I54" s="224"/>
      <c r="J54" s="224"/>
      <c r="K54" s="224"/>
      <c r="L54" s="224"/>
      <c r="M54" s="224"/>
      <c r="N54" s="224"/>
    </row>
    <row r="55" spans="1:14">
      <c r="A55" s="307" t="s">
        <v>461</v>
      </c>
      <c r="B55" s="307"/>
      <c r="C55" s="307"/>
      <c r="D55" s="307"/>
      <c r="E55" s="307"/>
      <c r="F55" s="307"/>
      <c r="G55" s="307"/>
      <c r="H55" s="307"/>
      <c r="I55" s="304">
        <f>SUM(I51:K54)</f>
        <v>0</v>
      </c>
      <c r="J55" s="304"/>
      <c r="K55" s="304"/>
      <c r="L55" s="304">
        <f>SUM(L51:N54)</f>
        <v>0</v>
      </c>
      <c r="M55" s="304"/>
      <c r="N55" s="304"/>
    </row>
    <row r="57" spans="1:14" ht="15.75">
      <c r="A57" s="303" t="s">
        <v>580</v>
      </c>
      <c r="B57" s="303"/>
      <c r="C57" s="303"/>
      <c r="D57" s="303"/>
      <c r="E57" s="303"/>
      <c r="F57" s="303"/>
      <c r="G57" s="303"/>
      <c r="H57" s="303"/>
      <c r="I57" s="303"/>
      <c r="J57" s="303"/>
      <c r="K57" s="303"/>
      <c r="L57" s="303"/>
      <c r="M57" s="303"/>
      <c r="N57" s="303"/>
    </row>
    <row r="59" spans="1:14">
      <c r="A59" s="183" t="s">
        <v>288</v>
      </c>
      <c r="B59" s="183"/>
      <c r="C59" s="183"/>
      <c r="D59" s="183"/>
      <c r="E59" s="183" t="s">
        <v>332</v>
      </c>
      <c r="F59" s="183"/>
      <c r="G59" s="183"/>
      <c r="H59" s="183"/>
      <c r="I59" s="183"/>
      <c r="J59" s="183"/>
      <c r="K59" s="183"/>
      <c r="L59" s="183"/>
      <c r="M59" s="183"/>
      <c r="N59" s="183"/>
    </row>
    <row r="60" spans="1:14" ht="48" customHeight="1">
      <c r="A60" s="183"/>
      <c r="B60" s="183"/>
      <c r="C60" s="183"/>
      <c r="D60" s="183"/>
      <c r="E60" s="183" t="s">
        <v>326</v>
      </c>
      <c r="F60" s="183"/>
      <c r="G60" s="183" t="s">
        <v>399</v>
      </c>
      <c r="H60" s="183"/>
      <c r="I60" s="183" t="s">
        <v>913</v>
      </c>
      <c r="J60" s="183"/>
      <c r="K60" s="183" t="s">
        <v>627</v>
      </c>
      <c r="L60" s="183"/>
      <c r="M60" s="183" t="s">
        <v>1280</v>
      </c>
      <c r="N60" s="183"/>
    </row>
    <row r="61" spans="1:14">
      <c r="A61" s="182" t="s">
        <v>958</v>
      </c>
      <c r="B61" s="182"/>
      <c r="C61" s="182"/>
      <c r="D61" s="182"/>
      <c r="E61" s="182" t="s">
        <v>1350</v>
      </c>
      <c r="F61" s="182"/>
      <c r="G61" s="182" t="s">
        <v>737</v>
      </c>
      <c r="H61" s="182"/>
      <c r="I61" s="182" t="s">
        <v>226</v>
      </c>
      <c r="J61" s="182"/>
      <c r="K61" s="182" t="s">
        <v>830</v>
      </c>
      <c r="L61" s="182"/>
      <c r="M61" s="182" t="s">
        <v>126</v>
      </c>
      <c r="N61" s="182"/>
    </row>
    <row r="62" spans="1:14">
      <c r="A62" s="305" t="s">
        <v>746</v>
      </c>
      <c r="B62" s="305"/>
      <c r="C62" s="305"/>
      <c r="D62" s="305"/>
      <c r="E62" s="286"/>
      <c r="F62" s="286"/>
      <c r="G62" s="286"/>
      <c r="H62" s="286"/>
      <c r="I62" s="286"/>
      <c r="J62" s="286"/>
      <c r="K62" s="286"/>
      <c r="L62" s="286"/>
      <c r="M62" s="286"/>
      <c r="N62" s="286"/>
    </row>
    <row r="63" spans="1:14">
      <c r="A63" s="287"/>
      <c r="B63" s="287"/>
      <c r="C63" s="287"/>
      <c r="D63" s="287"/>
      <c r="E63" s="287"/>
      <c r="F63" s="287"/>
      <c r="G63" s="287"/>
      <c r="H63" s="287"/>
      <c r="I63" s="287"/>
      <c r="J63" s="287"/>
      <c r="K63" s="287"/>
      <c r="L63" s="287"/>
      <c r="M63" s="300">
        <f>E63+G63-I63-K63</f>
        <v>0</v>
      </c>
      <c r="N63" s="301"/>
    </row>
    <row r="64" spans="1:14">
      <c r="A64" s="287"/>
      <c r="B64" s="287"/>
      <c r="C64" s="287"/>
      <c r="D64" s="287"/>
      <c r="E64" s="287"/>
      <c r="F64" s="287"/>
      <c r="G64" s="287"/>
      <c r="H64" s="287"/>
      <c r="I64" s="287"/>
      <c r="J64" s="287"/>
      <c r="K64" s="287"/>
      <c r="L64" s="287"/>
      <c r="M64" s="300">
        <f>E64+G64-I64-K64</f>
        <v>0</v>
      </c>
      <c r="N64" s="301"/>
    </row>
    <row r="65" spans="1:14">
      <c r="A65" s="287"/>
      <c r="B65" s="287"/>
      <c r="C65" s="287"/>
      <c r="D65" s="287"/>
      <c r="E65" s="287"/>
      <c r="F65" s="287"/>
      <c r="G65" s="287"/>
      <c r="H65" s="287"/>
      <c r="I65" s="287"/>
      <c r="J65" s="287"/>
      <c r="K65" s="287"/>
      <c r="L65" s="287"/>
      <c r="M65" s="300">
        <f>E65+G65-I65-K65</f>
        <v>0</v>
      </c>
      <c r="N65" s="301"/>
    </row>
    <row r="66" spans="1:14">
      <c r="A66" s="287"/>
      <c r="B66" s="287"/>
      <c r="C66" s="287"/>
      <c r="D66" s="287"/>
      <c r="E66" s="287"/>
      <c r="F66" s="287"/>
      <c r="G66" s="287"/>
      <c r="H66" s="287"/>
      <c r="I66" s="287"/>
      <c r="J66" s="287"/>
      <c r="K66" s="287"/>
      <c r="L66" s="287"/>
      <c r="M66" s="300">
        <f>E66+G66-I66-K66</f>
        <v>0</v>
      </c>
      <c r="N66" s="301"/>
    </row>
    <row r="67" spans="1:14">
      <c r="A67" s="287"/>
      <c r="B67" s="287"/>
      <c r="C67" s="287"/>
      <c r="D67" s="287"/>
      <c r="E67" s="287"/>
      <c r="F67" s="287"/>
      <c r="G67" s="287"/>
      <c r="H67" s="287"/>
      <c r="I67" s="287"/>
      <c r="J67" s="287"/>
      <c r="K67" s="287"/>
      <c r="L67" s="287"/>
      <c r="M67" s="300">
        <f>E67+G67-I67-K67</f>
        <v>0</v>
      </c>
      <c r="N67" s="301"/>
    </row>
    <row r="68" spans="1:14">
      <c r="A68" s="288" t="s">
        <v>379</v>
      </c>
      <c r="B68" s="288"/>
      <c r="C68" s="288"/>
      <c r="D68" s="288"/>
      <c r="E68" s="302" t="s">
        <v>1363</v>
      </c>
      <c r="F68" s="287"/>
      <c r="G68" s="287"/>
      <c r="H68" s="287"/>
      <c r="I68" s="302" t="s">
        <v>1363</v>
      </c>
      <c r="J68" s="287"/>
      <c r="K68" s="287"/>
      <c r="L68" s="287"/>
      <c r="M68" s="300">
        <v>0</v>
      </c>
      <c r="N68" s="301"/>
    </row>
    <row r="69" spans="1:14">
      <c r="A69" s="287"/>
      <c r="B69" s="287"/>
      <c r="C69" s="287"/>
      <c r="D69" s="287"/>
      <c r="E69" s="287"/>
      <c r="F69" s="287"/>
      <c r="G69" s="287"/>
      <c r="H69" s="287"/>
      <c r="I69" s="287"/>
      <c r="J69" s="287"/>
      <c r="K69" s="287"/>
      <c r="L69" s="287"/>
      <c r="M69" s="300">
        <f>E69+G69-I69-K69</f>
        <v>0</v>
      </c>
      <c r="N69" s="301"/>
    </row>
    <row r="70" spans="1:14">
      <c r="A70" s="287"/>
      <c r="B70" s="287"/>
      <c r="C70" s="287"/>
      <c r="D70" s="287"/>
      <c r="E70" s="287"/>
      <c r="F70" s="287"/>
      <c r="G70" s="287"/>
      <c r="H70" s="287"/>
      <c r="I70" s="287"/>
      <c r="J70" s="287"/>
      <c r="K70" s="287"/>
      <c r="L70" s="287"/>
      <c r="M70" s="300">
        <f>E70+G70-I70-K70</f>
        <v>0</v>
      </c>
      <c r="N70" s="301"/>
    </row>
    <row r="71" spans="1:14">
      <c r="A71" s="287"/>
      <c r="B71" s="287"/>
      <c r="C71" s="287"/>
      <c r="D71" s="287"/>
      <c r="E71" s="287"/>
      <c r="F71" s="287"/>
      <c r="G71" s="287"/>
      <c r="H71" s="287"/>
      <c r="I71" s="287"/>
      <c r="J71" s="287"/>
      <c r="K71" s="287"/>
      <c r="L71" s="287"/>
      <c r="M71" s="300">
        <f>E71+G71-I71-K71</f>
        <v>0</v>
      </c>
      <c r="N71" s="301"/>
    </row>
    <row r="72" spans="1:14">
      <c r="A72" s="287"/>
      <c r="B72" s="287"/>
      <c r="C72" s="287"/>
      <c r="D72" s="287"/>
      <c r="E72" s="287"/>
      <c r="F72" s="287"/>
      <c r="G72" s="287"/>
      <c r="H72" s="287"/>
      <c r="I72" s="287"/>
      <c r="J72" s="287"/>
      <c r="K72" s="287"/>
      <c r="L72" s="287"/>
      <c r="M72" s="300">
        <f>E72+G72-I72-K72</f>
        <v>0</v>
      </c>
      <c r="N72" s="301"/>
    </row>
    <row r="73" spans="1:14">
      <c r="A73" s="287"/>
      <c r="B73" s="287"/>
      <c r="C73" s="287"/>
      <c r="D73" s="287"/>
      <c r="E73" s="287"/>
      <c r="F73" s="287"/>
      <c r="G73" s="287"/>
      <c r="H73" s="287"/>
      <c r="I73" s="287"/>
      <c r="J73" s="287"/>
      <c r="K73" s="287"/>
      <c r="L73" s="287"/>
      <c r="M73" s="300">
        <f>E73+G73-I73-K73</f>
        <v>0</v>
      </c>
      <c r="N73" s="301"/>
    </row>
    <row r="75" spans="1:14" ht="15.75">
      <c r="A75" s="303" t="s">
        <v>124</v>
      </c>
      <c r="B75" s="303"/>
      <c r="C75" s="303"/>
      <c r="D75" s="303"/>
      <c r="E75" s="303"/>
      <c r="F75" s="303"/>
      <c r="G75" s="303"/>
      <c r="H75" s="303"/>
      <c r="I75" s="303"/>
      <c r="J75" s="303"/>
      <c r="K75" s="303"/>
      <c r="L75" s="303"/>
      <c r="M75" s="303"/>
      <c r="N75" s="303"/>
    </row>
    <row r="77" spans="1:14">
      <c r="A77" s="183" t="s">
        <v>288</v>
      </c>
      <c r="B77" s="183"/>
      <c r="C77" s="183"/>
      <c r="D77" s="183"/>
      <c r="E77" s="183" t="s">
        <v>360</v>
      </c>
      <c r="F77" s="183"/>
      <c r="G77" s="183"/>
      <c r="H77" s="183"/>
      <c r="I77" s="183"/>
      <c r="J77" s="183"/>
      <c r="K77" s="183"/>
      <c r="L77" s="183"/>
      <c r="M77" s="183"/>
      <c r="N77" s="183"/>
    </row>
    <row r="78" spans="1:14" ht="48" customHeight="1">
      <c r="A78" s="183"/>
      <c r="B78" s="183"/>
      <c r="C78" s="183"/>
      <c r="D78" s="183"/>
      <c r="E78" s="183" t="s">
        <v>326</v>
      </c>
      <c r="F78" s="183"/>
      <c r="G78" s="183" t="s">
        <v>399</v>
      </c>
      <c r="H78" s="183"/>
      <c r="I78" s="183" t="s">
        <v>913</v>
      </c>
      <c r="J78" s="183"/>
      <c r="K78" s="183" t="s">
        <v>627</v>
      </c>
      <c r="L78" s="183"/>
      <c r="M78" s="183" t="s">
        <v>1280</v>
      </c>
      <c r="N78" s="183"/>
    </row>
    <row r="79" spans="1:14">
      <c r="A79" s="182" t="s">
        <v>958</v>
      </c>
      <c r="B79" s="182"/>
      <c r="C79" s="182"/>
      <c r="D79" s="182"/>
      <c r="E79" s="182" t="s">
        <v>1350</v>
      </c>
      <c r="F79" s="182"/>
      <c r="G79" s="182" t="s">
        <v>737</v>
      </c>
      <c r="H79" s="182"/>
      <c r="I79" s="182" t="s">
        <v>226</v>
      </c>
      <c r="J79" s="182"/>
      <c r="K79" s="182" t="s">
        <v>830</v>
      </c>
      <c r="L79" s="182"/>
      <c r="M79" s="182" t="s">
        <v>126</v>
      </c>
      <c r="N79" s="182"/>
    </row>
    <row r="80" spans="1:14">
      <c r="A80" s="305" t="s">
        <v>746</v>
      </c>
      <c r="B80" s="305"/>
      <c r="C80" s="305"/>
      <c r="D80" s="305"/>
      <c r="E80" s="286"/>
      <c r="F80" s="286"/>
      <c r="G80" s="286"/>
      <c r="H80" s="286"/>
      <c r="I80" s="286"/>
      <c r="J80" s="286"/>
      <c r="K80" s="286"/>
      <c r="L80" s="286"/>
      <c r="M80" s="286"/>
      <c r="N80" s="286"/>
    </row>
    <row r="81" spans="1:14">
      <c r="A81" s="287"/>
      <c r="B81" s="287"/>
      <c r="C81" s="287"/>
      <c r="D81" s="287"/>
      <c r="E81" s="287"/>
      <c r="F81" s="287"/>
      <c r="G81" s="287"/>
      <c r="H81" s="287"/>
      <c r="I81" s="287"/>
      <c r="J81" s="287"/>
      <c r="K81" s="287"/>
      <c r="L81" s="287"/>
      <c r="M81" s="300">
        <f>E81+G81-I81-K81</f>
        <v>0</v>
      </c>
      <c r="N81" s="301"/>
    </row>
    <row r="82" spans="1:14">
      <c r="A82" s="287"/>
      <c r="B82" s="287"/>
      <c r="C82" s="287"/>
      <c r="D82" s="287"/>
      <c r="E82" s="287"/>
      <c r="F82" s="287"/>
      <c r="G82" s="287"/>
      <c r="H82" s="287"/>
      <c r="I82" s="287"/>
      <c r="J82" s="287"/>
      <c r="K82" s="287"/>
      <c r="L82" s="287"/>
      <c r="M82" s="300">
        <f>E82+G82-I82-K82</f>
        <v>0</v>
      </c>
      <c r="N82" s="301"/>
    </row>
    <row r="83" spans="1:14">
      <c r="A83" s="288" t="s">
        <v>379</v>
      </c>
      <c r="B83" s="288"/>
      <c r="C83" s="288"/>
      <c r="D83" s="288"/>
      <c r="E83" s="287"/>
      <c r="F83" s="287"/>
      <c r="G83" s="287"/>
      <c r="H83" s="287"/>
      <c r="I83" s="287"/>
      <c r="J83" s="287"/>
      <c r="K83" s="287"/>
      <c r="L83" s="287"/>
      <c r="M83" s="300"/>
      <c r="N83" s="301"/>
    </row>
    <row r="84" spans="1:14">
      <c r="A84" s="287"/>
      <c r="B84" s="287"/>
      <c r="C84" s="287"/>
      <c r="D84" s="287"/>
      <c r="E84" s="287"/>
      <c r="F84" s="287"/>
      <c r="G84" s="287"/>
      <c r="H84" s="287"/>
      <c r="I84" s="287"/>
      <c r="J84" s="287"/>
      <c r="K84" s="287"/>
      <c r="L84" s="287"/>
      <c r="M84" s="300">
        <f>E84+G84-I84-K84</f>
        <v>0</v>
      </c>
      <c r="N84" s="301"/>
    </row>
    <row r="85" spans="1:14">
      <c r="A85" s="287"/>
      <c r="B85" s="287"/>
      <c r="C85" s="287"/>
      <c r="D85" s="287"/>
      <c r="E85" s="287"/>
      <c r="F85" s="287"/>
      <c r="G85" s="287"/>
      <c r="H85" s="287"/>
      <c r="I85" s="287"/>
      <c r="J85" s="287"/>
      <c r="K85" s="287"/>
      <c r="L85" s="287"/>
      <c r="M85" s="300">
        <f>E85+G85-I85-K85</f>
        <v>0</v>
      </c>
      <c r="N85" s="301"/>
    </row>
    <row r="86" spans="1:14">
      <c r="A86" s="287"/>
      <c r="B86" s="287"/>
      <c r="C86" s="287"/>
      <c r="D86" s="287"/>
      <c r="E86" s="287"/>
      <c r="F86" s="287"/>
      <c r="G86" s="287"/>
      <c r="H86" s="287"/>
      <c r="I86" s="287"/>
      <c r="J86" s="287"/>
      <c r="K86" s="287"/>
      <c r="L86" s="287"/>
      <c r="M86" s="300">
        <f>E86+G86-I86-K86</f>
        <v>0</v>
      </c>
      <c r="N86" s="301"/>
    </row>
  </sheetData>
  <mergeCells count="242">
    <mergeCell ref="A12:H12"/>
    <mergeCell ref="A14:H14"/>
    <mergeCell ref="A15:H15"/>
    <mergeCell ref="A16:H16"/>
    <mergeCell ref="A13:H13"/>
    <mergeCell ref="A2:N2"/>
    <mergeCell ref="A4:N4"/>
    <mergeCell ref="L6:N6"/>
    <mergeCell ref="I6:K6"/>
    <mergeCell ref="A6:H6"/>
    <mergeCell ref="I11:K11"/>
    <mergeCell ref="A7:H7"/>
    <mergeCell ref="A8:H8"/>
    <mergeCell ref="A9:H9"/>
    <mergeCell ref="I10:K10"/>
    <mergeCell ref="A10:H10"/>
    <mergeCell ref="A11:H11"/>
    <mergeCell ref="L10:N10"/>
    <mergeCell ref="L11:N11"/>
    <mergeCell ref="I7:K7"/>
    <mergeCell ref="I12:K12"/>
    <mergeCell ref="L12:N12"/>
    <mergeCell ref="L7:N7"/>
    <mergeCell ref="I8:K8"/>
    <mergeCell ref="L8:N8"/>
    <mergeCell ref="I9:K9"/>
    <mergeCell ref="L9:N9"/>
    <mergeCell ref="L13:N13"/>
    <mergeCell ref="I14:K14"/>
    <mergeCell ref="L14:N14"/>
    <mergeCell ref="I13:K13"/>
    <mergeCell ref="L15:N15"/>
    <mergeCell ref="I15:K15"/>
    <mergeCell ref="I16:K16"/>
    <mergeCell ref="L16:N16"/>
    <mergeCell ref="A18:N18"/>
    <mergeCell ref="A43:H43"/>
    <mergeCell ref="I43:N43"/>
    <mergeCell ref="A20:H20"/>
    <mergeCell ref="A21:H21"/>
    <mergeCell ref="A42:H42"/>
    <mergeCell ref="I42:N42"/>
    <mergeCell ref="A40:H40"/>
    <mergeCell ref="A22:H22"/>
    <mergeCell ref="A23:H23"/>
    <mergeCell ref="I81:J81"/>
    <mergeCell ref="K81:L81"/>
    <mergeCell ref="M81:N81"/>
    <mergeCell ref="A80:D80"/>
    <mergeCell ref="A81:D81"/>
    <mergeCell ref="E81:F81"/>
    <mergeCell ref="G81:H81"/>
    <mergeCell ref="I44:N44"/>
    <mergeCell ref="K80:L80"/>
    <mergeCell ref="L52:N52"/>
    <mergeCell ref="A53:H53"/>
    <mergeCell ref="I53:K53"/>
    <mergeCell ref="L53:N53"/>
    <mergeCell ref="I52:K52"/>
    <mergeCell ref="M79:N79"/>
    <mergeCell ref="A54:H54"/>
    <mergeCell ref="I54:K54"/>
    <mergeCell ref="L54:N54"/>
    <mergeCell ref="A36:H36"/>
    <mergeCell ref="M80:N80"/>
    <mergeCell ref="A41:H41"/>
    <mergeCell ref="I41:N41"/>
    <mergeCell ref="A38:H38"/>
    <mergeCell ref="I38:N38"/>
    <mergeCell ref="A51:H51"/>
    <mergeCell ref="I51:K51"/>
    <mergeCell ref="L51:N51"/>
    <mergeCell ref="A52:H52"/>
    <mergeCell ref="I36:N36"/>
    <mergeCell ref="A26:H26"/>
    <mergeCell ref="A27:H27"/>
    <mergeCell ref="I27:N27"/>
    <mergeCell ref="I30:N30"/>
    <mergeCell ref="A31:H31"/>
    <mergeCell ref="A35:H35"/>
    <mergeCell ref="I35:N35"/>
    <mergeCell ref="I26:N26"/>
    <mergeCell ref="A28:H28"/>
    <mergeCell ref="I20:N20"/>
    <mergeCell ref="I21:N21"/>
    <mergeCell ref="I22:N22"/>
    <mergeCell ref="I23:N23"/>
    <mergeCell ref="I24:N24"/>
    <mergeCell ref="I25:N25"/>
    <mergeCell ref="I31:N31"/>
    <mergeCell ref="A33:N33"/>
    <mergeCell ref="A30:H30"/>
    <mergeCell ref="A24:H24"/>
    <mergeCell ref="A25:H25"/>
    <mergeCell ref="A29:H29"/>
    <mergeCell ref="I28:N28"/>
    <mergeCell ref="I29:N29"/>
    <mergeCell ref="I37:N37"/>
    <mergeCell ref="A50:H50"/>
    <mergeCell ref="I50:K50"/>
    <mergeCell ref="L50:N50"/>
    <mergeCell ref="A39:H39"/>
    <mergeCell ref="I39:N39"/>
    <mergeCell ref="I40:N40"/>
    <mergeCell ref="A48:N48"/>
    <mergeCell ref="A44:H44"/>
    <mergeCell ref="E79:F79"/>
    <mergeCell ref="A62:D62"/>
    <mergeCell ref="A77:D78"/>
    <mergeCell ref="E64:F64"/>
    <mergeCell ref="A63:D63"/>
    <mergeCell ref="A37:H37"/>
    <mergeCell ref="A68:D68"/>
    <mergeCell ref="E68:F68"/>
    <mergeCell ref="A55:H55"/>
    <mergeCell ref="A64:D64"/>
    <mergeCell ref="I55:K55"/>
    <mergeCell ref="L55:N55"/>
    <mergeCell ref="M78:N78"/>
    <mergeCell ref="A70:D70"/>
    <mergeCell ref="A71:D71"/>
    <mergeCell ref="E71:F71"/>
    <mergeCell ref="E70:F70"/>
    <mergeCell ref="A69:D69"/>
    <mergeCell ref="E69:F69"/>
    <mergeCell ref="K78:L78"/>
    <mergeCell ref="A75:N75"/>
    <mergeCell ref="G64:H64"/>
    <mergeCell ref="I64:J64"/>
    <mergeCell ref="K64:L64"/>
    <mergeCell ref="M64:N64"/>
    <mergeCell ref="A65:D65"/>
    <mergeCell ref="M68:N68"/>
    <mergeCell ref="M67:N67"/>
    <mergeCell ref="G68:H68"/>
    <mergeCell ref="K67:L67"/>
    <mergeCell ref="A61:D61"/>
    <mergeCell ref="E61:F61"/>
    <mergeCell ref="M63:N63"/>
    <mergeCell ref="E60:F60"/>
    <mergeCell ref="A59:D60"/>
    <mergeCell ref="E59:N59"/>
    <mergeCell ref="G79:H79"/>
    <mergeCell ref="I79:J79"/>
    <mergeCell ref="E67:F67"/>
    <mergeCell ref="K79:L79"/>
    <mergeCell ref="E77:N77"/>
    <mergeCell ref="E78:F78"/>
    <mergeCell ref="K68:L68"/>
    <mergeCell ref="M62:N62"/>
    <mergeCell ref="G61:H61"/>
    <mergeCell ref="I61:J61"/>
    <mergeCell ref="A67:D67"/>
    <mergeCell ref="G63:H63"/>
    <mergeCell ref="A57:N57"/>
    <mergeCell ref="M60:N60"/>
    <mergeCell ref="K60:L60"/>
    <mergeCell ref="I60:J60"/>
    <mergeCell ref="G60:H60"/>
    <mergeCell ref="I65:J65"/>
    <mergeCell ref="I63:J63"/>
    <mergeCell ref="K63:L63"/>
    <mergeCell ref="E63:F63"/>
    <mergeCell ref="K61:L61"/>
    <mergeCell ref="M61:N61"/>
    <mergeCell ref="E62:F62"/>
    <mergeCell ref="G62:H62"/>
    <mergeCell ref="I62:J62"/>
    <mergeCell ref="K62:L62"/>
    <mergeCell ref="M65:N65"/>
    <mergeCell ref="A66:D66"/>
    <mergeCell ref="E66:F66"/>
    <mergeCell ref="G66:H66"/>
    <mergeCell ref="I66:J66"/>
    <mergeCell ref="K66:L66"/>
    <mergeCell ref="M66:N66"/>
    <mergeCell ref="K65:L65"/>
    <mergeCell ref="E65:F65"/>
    <mergeCell ref="G65:H65"/>
    <mergeCell ref="I68:J68"/>
    <mergeCell ref="G67:H67"/>
    <mergeCell ref="I67:J67"/>
    <mergeCell ref="K71:L71"/>
    <mergeCell ref="M71:N71"/>
    <mergeCell ref="G69:H69"/>
    <mergeCell ref="I69:J69"/>
    <mergeCell ref="K69:L69"/>
    <mergeCell ref="M69:N69"/>
    <mergeCell ref="G70:H70"/>
    <mergeCell ref="I70:J70"/>
    <mergeCell ref="K70:L70"/>
    <mergeCell ref="M70:N70"/>
    <mergeCell ref="K73:L73"/>
    <mergeCell ref="M73:N73"/>
    <mergeCell ref="G71:H71"/>
    <mergeCell ref="I71:J71"/>
    <mergeCell ref="K72:L72"/>
    <mergeCell ref="M72:N72"/>
    <mergeCell ref="A72:D72"/>
    <mergeCell ref="E72:F72"/>
    <mergeCell ref="A73:D73"/>
    <mergeCell ref="E73:F73"/>
    <mergeCell ref="G73:H73"/>
    <mergeCell ref="I73:J73"/>
    <mergeCell ref="G72:H72"/>
    <mergeCell ref="I72:J72"/>
    <mergeCell ref="A82:D82"/>
    <mergeCell ref="E82:F82"/>
    <mergeCell ref="G82:H82"/>
    <mergeCell ref="I82:J82"/>
    <mergeCell ref="G78:H78"/>
    <mergeCell ref="I78:J78"/>
    <mergeCell ref="E80:F80"/>
    <mergeCell ref="G80:H80"/>
    <mergeCell ref="I80:J80"/>
    <mergeCell ref="A79:D79"/>
    <mergeCell ref="A83:D83"/>
    <mergeCell ref="E83:F83"/>
    <mergeCell ref="G83:H83"/>
    <mergeCell ref="I83:J83"/>
    <mergeCell ref="A84:D84"/>
    <mergeCell ref="E84:F84"/>
    <mergeCell ref="K82:L82"/>
    <mergeCell ref="M82:N82"/>
    <mergeCell ref="K83:L83"/>
    <mergeCell ref="M83:N83"/>
    <mergeCell ref="K85:L85"/>
    <mergeCell ref="M85:N85"/>
    <mergeCell ref="K84:L84"/>
    <mergeCell ref="M84:N84"/>
    <mergeCell ref="A85:D85"/>
    <mergeCell ref="E85:F85"/>
    <mergeCell ref="G85:H85"/>
    <mergeCell ref="I85:J85"/>
    <mergeCell ref="G84:H84"/>
    <mergeCell ref="I84:J84"/>
    <mergeCell ref="K86:L86"/>
    <mergeCell ref="M86:N86"/>
    <mergeCell ref="A86:D86"/>
    <mergeCell ref="E86:F86"/>
    <mergeCell ref="G86:H86"/>
    <mergeCell ref="I86:J86"/>
  </mergeCells>
  <phoneticPr fontId="0" type="noConversion"/>
  <pageMargins left="0.7" right="0.7" top="0.75" bottom="0.75" header="0.3" footer="0.3"/>
  <pageSetup paperSize="9" scale="85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N88"/>
  <sheetViews>
    <sheetView topLeftCell="A28" workbookViewId="0">
      <selection activeCell="A42" sqref="A42:IV42"/>
    </sheetView>
  </sheetViews>
  <sheetFormatPr defaultRowHeight="15"/>
  <cols>
    <col min="1" max="14" width="6" customWidth="1"/>
  </cols>
  <sheetData>
    <row r="1" spans="1:14" ht="15.75">
      <c r="A1" s="133" t="s">
        <v>1120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</row>
    <row r="3" spans="1:14" ht="30" customHeight="1">
      <c r="A3" s="337" t="s">
        <v>288</v>
      </c>
      <c r="B3" s="337"/>
      <c r="C3" s="337"/>
      <c r="D3" s="337"/>
      <c r="E3" s="337"/>
      <c r="F3" s="337"/>
      <c r="G3" s="337" t="s">
        <v>332</v>
      </c>
      <c r="H3" s="337"/>
      <c r="I3" s="337"/>
      <c r="J3" s="337"/>
      <c r="K3" s="337" t="s">
        <v>360</v>
      </c>
      <c r="L3" s="337"/>
      <c r="M3" s="337"/>
      <c r="N3" s="337"/>
    </row>
    <row r="4" spans="1:14">
      <c r="A4" s="335" t="s">
        <v>347</v>
      </c>
      <c r="B4" s="335"/>
      <c r="C4" s="335"/>
      <c r="D4" s="335"/>
      <c r="E4" s="335"/>
      <c r="F4" s="335"/>
      <c r="G4" s="115" t="s">
        <v>1363</v>
      </c>
      <c r="H4" s="335"/>
      <c r="I4" s="335"/>
      <c r="J4" s="335"/>
      <c r="K4" s="125">
        <v>118805</v>
      </c>
      <c r="L4" s="336"/>
      <c r="M4" s="336"/>
      <c r="N4" s="336"/>
    </row>
    <row r="5" spans="1:14" ht="24.95" customHeight="1">
      <c r="A5" s="338" t="s">
        <v>321</v>
      </c>
      <c r="B5" s="338"/>
      <c r="C5" s="338"/>
      <c r="D5" s="338"/>
      <c r="E5" s="338"/>
      <c r="F5" s="338"/>
      <c r="G5" s="121" t="s">
        <v>1363</v>
      </c>
      <c r="H5" s="338"/>
      <c r="I5" s="338"/>
      <c r="J5" s="338"/>
      <c r="K5" s="97" t="s">
        <v>1363</v>
      </c>
      <c r="L5" s="180"/>
      <c r="M5" s="180"/>
      <c r="N5" s="180"/>
    </row>
    <row r="6" spans="1:14">
      <c r="A6" s="339" t="s">
        <v>1182</v>
      </c>
      <c r="B6" s="339"/>
      <c r="C6" s="339"/>
      <c r="D6" s="339"/>
      <c r="E6" s="339"/>
      <c r="F6" s="339"/>
      <c r="G6" s="339">
        <v>65978</v>
      </c>
      <c r="H6" s="339"/>
      <c r="I6" s="339"/>
      <c r="J6" s="339"/>
      <c r="K6" s="339">
        <v>310054</v>
      </c>
      <c r="L6" s="339"/>
      <c r="M6" s="339"/>
      <c r="N6" s="339"/>
    </row>
    <row r="7" spans="1:14" ht="24.95" customHeight="1">
      <c r="A7" s="338" t="s">
        <v>572</v>
      </c>
      <c r="B7" s="338"/>
      <c r="C7" s="338"/>
      <c r="D7" s="338"/>
      <c r="E7" s="338"/>
      <c r="F7" s="338"/>
      <c r="G7" s="338"/>
      <c r="H7" s="338"/>
      <c r="I7" s="338"/>
      <c r="J7" s="338"/>
      <c r="K7" s="180"/>
      <c r="L7" s="180"/>
      <c r="M7" s="180"/>
      <c r="N7" s="180"/>
    </row>
    <row r="8" spans="1:14" ht="24.95" customHeight="1">
      <c r="A8" s="338" t="s">
        <v>440</v>
      </c>
      <c r="B8" s="338"/>
      <c r="C8" s="338"/>
      <c r="D8" s="338"/>
      <c r="E8" s="338"/>
      <c r="F8" s="338"/>
      <c r="G8" s="338"/>
      <c r="H8" s="338"/>
      <c r="I8" s="338"/>
      <c r="J8" s="338"/>
      <c r="K8" s="180"/>
      <c r="L8" s="180"/>
      <c r="M8" s="180"/>
      <c r="N8" s="180"/>
    </row>
    <row r="9" spans="1:14">
      <c r="A9" s="339" t="s">
        <v>766</v>
      </c>
      <c r="B9" s="339"/>
      <c r="C9" s="339"/>
      <c r="D9" s="339"/>
      <c r="E9" s="339"/>
      <c r="F9" s="339"/>
      <c r="G9" s="340" t="s">
        <v>1363</v>
      </c>
      <c r="H9" s="186"/>
      <c r="I9" s="186"/>
      <c r="J9" s="186"/>
      <c r="K9" s="186">
        <f>SUM(L4:N7)</f>
        <v>0</v>
      </c>
      <c r="L9" s="186"/>
      <c r="M9" s="186"/>
      <c r="N9" s="186"/>
    </row>
    <row r="11" spans="1:14" ht="15.75">
      <c r="A11" s="133" t="s">
        <v>961</v>
      </c>
      <c r="B11" s="133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</row>
    <row r="13" spans="1:14">
      <c r="A13" s="204" t="s">
        <v>858</v>
      </c>
      <c r="B13" s="204"/>
      <c r="C13" s="204"/>
      <c r="D13" s="204"/>
      <c r="E13" s="204"/>
      <c r="F13" s="204"/>
      <c r="G13" s="204" t="s">
        <v>975</v>
      </c>
      <c r="H13" s="204"/>
      <c r="I13" s="204"/>
      <c r="J13" s="204"/>
      <c r="K13" s="204"/>
      <c r="L13" s="204"/>
      <c r="M13" s="204"/>
      <c r="N13" s="204"/>
    </row>
    <row r="14" spans="1:14">
      <c r="A14" s="205"/>
      <c r="B14" s="205"/>
      <c r="C14" s="205"/>
      <c r="D14" s="205"/>
      <c r="E14" s="205"/>
      <c r="F14" s="205"/>
      <c r="G14" s="199" t="s">
        <v>402</v>
      </c>
      <c r="H14" s="199"/>
      <c r="I14" s="199"/>
      <c r="J14" s="199"/>
      <c r="K14" s="199" t="s">
        <v>578</v>
      </c>
      <c r="L14" s="199"/>
      <c r="M14" s="199"/>
      <c r="N14" s="199"/>
    </row>
    <row r="15" spans="1:14">
      <c r="A15" s="335"/>
      <c r="B15" s="335"/>
      <c r="C15" s="335"/>
      <c r="D15" s="335"/>
      <c r="E15" s="335"/>
      <c r="F15" s="335"/>
      <c r="G15" s="335"/>
      <c r="H15" s="335"/>
      <c r="I15" s="335"/>
      <c r="J15" s="335"/>
      <c r="K15" s="336"/>
      <c r="L15" s="336"/>
      <c r="M15" s="336"/>
      <c r="N15" s="336"/>
    </row>
    <row r="16" spans="1:14">
      <c r="A16" s="338"/>
      <c r="B16" s="338"/>
      <c r="C16" s="338"/>
      <c r="D16" s="338"/>
      <c r="E16" s="338"/>
      <c r="F16" s="338"/>
      <c r="G16" s="338"/>
      <c r="H16" s="338"/>
      <c r="I16" s="338"/>
      <c r="J16" s="338"/>
      <c r="K16" s="180"/>
      <c r="L16" s="180"/>
      <c r="M16" s="180"/>
      <c r="N16" s="180"/>
    </row>
    <row r="17" spans="1:14">
      <c r="A17" s="339"/>
      <c r="B17" s="339"/>
      <c r="C17" s="339"/>
      <c r="D17" s="339"/>
      <c r="E17" s="339"/>
      <c r="F17" s="339"/>
      <c r="G17" s="339"/>
      <c r="H17" s="339"/>
      <c r="I17" s="339"/>
      <c r="J17" s="339"/>
      <c r="K17" s="339"/>
      <c r="L17" s="339"/>
      <c r="M17" s="339"/>
      <c r="N17" s="339"/>
    </row>
    <row r="18" spans="1:14">
      <c r="A18" s="338"/>
      <c r="B18" s="338"/>
      <c r="C18" s="338"/>
      <c r="D18" s="338"/>
      <c r="E18" s="338"/>
      <c r="F18" s="338"/>
      <c r="G18" s="338"/>
      <c r="H18" s="338"/>
      <c r="I18" s="338"/>
      <c r="J18" s="338"/>
      <c r="K18" s="180"/>
      <c r="L18" s="180"/>
      <c r="M18" s="180"/>
      <c r="N18" s="180"/>
    </row>
    <row r="19" spans="1:14">
      <c r="A19" s="338"/>
      <c r="B19" s="338"/>
      <c r="C19" s="338"/>
      <c r="D19" s="338"/>
      <c r="E19" s="338"/>
      <c r="F19" s="338"/>
      <c r="G19" s="338"/>
      <c r="H19" s="338"/>
      <c r="I19" s="338"/>
      <c r="J19" s="338"/>
      <c r="K19" s="180"/>
      <c r="L19" s="180"/>
      <c r="M19" s="180"/>
      <c r="N19" s="180"/>
    </row>
    <row r="21" spans="1:14" ht="15.75">
      <c r="A21" s="133" t="s">
        <v>541</v>
      </c>
      <c r="B21" s="133"/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</row>
    <row r="23" spans="1:14" ht="24.95" customHeight="1">
      <c r="A23" s="205" t="s">
        <v>288</v>
      </c>
      <c r="B23" s="205"/>
      <c r="C23" s="205"/>
      <c r="D23" s="205"/>
      <c r="E23" s="205"/>
      <c r="F23" s="205"/>
      <c r="G23" s="199" t="s">
        <v>332</v>
      </c>
      <c r="H23" s="199"/>
      <c r="I23" s="199"/>
      <c r="J23" s="199"/>
      <c r="K23" s="199" t="s">
        <v>360</v>
      </c>
      <c r="L23" s="199"/>
      <c r="M23" s="199"/>
      <c r="N23" s="199"/>
    </row>
    <row r="24" spans="1:14" ht="24.95" customHeight="1">
      <c r="A24" s="341" t="s">
        <v>178</v>
      </c>
      <c r="B24" s="341"/>
      <c r="C24" s="341"/>
      <c r="D24" s="341"/>
      <c r="E24" s="341"/>
      <c r="F24" s="341"/>
      <c r="G24" s="335"/>
      <c r="H24" s="335"/>
      <c r="I24" s="335"/>
      <c r="J24" s="335"/>
      <c r="K24" s="336"/>
      <c r="L24" s="336"/>
      <c r="M24" s="336"/>
      <c r="N24" s="336"/>
    </row>
    <row r="25" spans="1:14">
      <c r="A25" s="338" t="s">
        <v>395</v>
      </c>
      <c r="B25" s="338"/>
      <c r="C25" s="338"/>
      <c r="D25" s="338"/>
      <c r="E25" s="338"/>
      <c r="F25" s="338"/>
      <c r="G25" s="338"/>
      <c r="H25" s="338"/>
      <c r="I25" s="338"/>
      <c r="J25" s="338"/>
      <c r="K25" s="180"/>
      <c r="L25" s="180"/>
      <c r="M25" s="180"/>
      <c r="N25" s="180"/>
    </row>
    <row r="26" spans="1:14">
      <c r="A26" s="338" t="s">
        <v>995</v>
      </c>
      <c r="B26" s="338"/>
      <c r="C26" s="338"/>
      <c r="D26" s="338"/>
      <c r="E26" s="338"/>
      <c r="F26" s="338"/>
      <c r="G26" s="339"/>
      <c r="H26" s="339"/>
      <c r="I26" s="339"/>
      <c r="J26" s="339"/>
      <c r="K26" s="339"/>
      <c r="L26" s="339"/>
      <c r="M26" s="339"/>
      <c r="N26" s="339"/>
    </row>
    <row r="27" spans="1:14" ht="24.95" customHeight="1">
      <c r="A27" s="339" t="s">
        <v>1347</v>
      </c>
      <c r="B27" s="339"/>
      <c r="C27" s="339"/>
      <c r="D27" s="339"/>
      <c r="E27" s="339"/>
      <c r="F27" s="339"/>
      <c r="G27" s="338"/>
      <c r="H27" s="338"/>
      <c r="I27" s="338"/>
      <c r="J27" s="338"/>
      <c r="K27" s="180"/>
      <c r="L27" s="180"/>
      <c r="M27" s="180"/>
      <c r="N27" s="180"/>
    </row>
    <row r="28" spans="1:14">
      <c r="A28" s="338" t="s">
        <v>395</v>
      </c>
      <c r="B28" s="338"/>
      <c r="C28" s="338"/>
      <c r="D28" s="338"/>
      <c r="E28" s="338"/>
      <c r="F28" s="338"/>
      <c r="G28" s="338"/>
      <c r="H28" s="338"/>
      <c r="I28" s="338"/>
      <c r="J28" s="338"/>
      <c r="K28" s="180"/>
      <c r="L28" s="180"/>
      <c r="M28" s="180"/>
      <c r="N28" s="180"/>
    </row>
    <row r="29" spans="1:14">
      <c r="A29" s="338" t="s">
        <v>995</v>
      </c>
      <c r="B29" s="338"/>
      <c r="C29" s="338"/>
      <c r="D29" s="338"/>
      <c r="E29" s="338"/>
      <c r="F29" s="338"/>
      <c r="G29" s="339"/>
      <c r="H29" s="339"/>
      <c r="I29" s="339"/>
      <c r="J29" s="339"/>
      <c r="K29" s="339"/>
      <c r="L29" s="339"/>
      <c r="M29" s="339"/>
      <c r="N29" s="339"/>
    </row>
    <row r="30" spans="1:14">
      <c r="A30" s="339" t="s">
        <v>885</v>
      </c>
      <c r="B30" s="339"/>
      <c r="C30" s="339"/>
      <c r="D30" s="339"/>
      <c r="E30" s="339"/>
      <c r="F30" s="339"/>
      <c r="G30" s="338"/>
      <c r="H30" s="338"/>
      <c r="I30" s="338"/>
      <c r="J30" s="338"/>
      <c r="K30" s="180"/>
      <c r="L30" s="180"/>
      <c r="M30" s="180"/>
      <c r="N30" s="180"/>
    </row>
    <row r="31" spans="1:14">
      <c r="A31" s="339" t="s">
        <v>1206</v>
      </c>
      <c r="B31" s="339"/>
      <c r="C31" s="339"/>
      <c r="D31" s="339"/>
      <c r="E31" s="339"/>
      <c r="F31" s="339"/>
      <c r="G31" s="338"/>
      <c r="H31" s="338"/>
      <c r="I31" s="338"/>
      <c r="J31" s="338"/>
      <c r="K31" s="180"/>
      <c r="L31" s="180"/>
      <c r="M31" s="180"/>
      <c r="N31" s="180"/>
    </row>
    <row r="32" spans="1:14">
      <c r="A32" s="339" t="s">
        <v>933</v>
      </c>
      <c r="B32" s="339"/>
      <c r="C32" s="339"/>
      <c r="D32" s="339"/>
      <c r="E32" s="339"/>
      <c r="F32" s="339"/>
      <c r="G32" s="338"/>
      <c r="H32" s="338"/>
      <c r="I32" s="338"/>
      <c r="J32" s="338"/>
      <c r="K32" s="180"/>
      <c r="L32" s="180"/>
      <c r="M32" s="180"/>
      <c r="N32" s="180"/>
    </row>
    <row r="33" spans="1:14">
      <c r="A33" s="339" t="s">
        <v>1168</v>
      </c>
      <c r="B33" s="339"/>
      <c r="C33" s="339"/>
      <c r="D33" s="339"/>
      <c r="E33" s="339"/>
      <c r="F33" s="339"/>
      <c r="G33" s="339"/>
      <c r="H33" s="339"/>
      <c r="I33" s="339"/>
      <c r="J33" s="339"/>
      <c r="K33" s="339"/>
      <c r="L33" s="339"/>
      <c r="M33" s="339"/>
      <c r="N33" s="339"/>
    </row>
    <row r="34" spans="1:14">
      <c r="A34" s="339" t="s">
        <v>765</v>
      </c>
      <c r="B34" s="339"/>
      <c r="C34" s="339"/>
      <c r="D34" s="339"/>
      <c r="E34" s="339"/>
      <c r="F34" s="339"/>
      <c r="G34" s="338"/>
      <c r="H34" s="338"/>
      <c r="I34" s="338"/>
      <c r="J34" s="338"/>
      <c r="K34" s="180"/>
      <c r="L34" s="180"/>
      <c r="M34" s="180"/>
      <c r="N34" s="180"/>
    </row>
    <row r="35" spans="1:14">
      <c r="A35" s="338" t="s">
        <v>764</v>
      </c>
      <c r="B35" s="338"/>
      <c r="C35" s="338"/>
      <c r="D35" s="338"/>
      <c r="E35" s="338"/>
      <c r="F35" s="338"/>
      <c r="G35" s="338"/>
      <c r="H35" s="338"/>
      <c r="I35" s="338"/>
      <c r="J35" s="338"/>
      <c r="K35" s="180"/>
      <c r="L35" s="180"/>
      <c r="M35" s="180"/>
      <c r="N35" s="180"/>
    </row>
    <row r="36" spans="1:14">
      <c r="A36" s="338" t="s">
        <v>1186</v>
      </c>
      <c r="B36" s="338"/>
      <c r="C36" s="338"/>
      <c r="D36" s="338"/>
      <c r="E36" s="338"/>
      <c r="F36" s="338"/>
      <c r="G36" s="339"/>
      <c r="H36" s="339"/>
      <c r="I36" s="339"/>
      <c r="J36" s="339"/>
      <c r="K36" s="339"/>
      <c r="L36" s="339"/>
      <c r="M36" s="339"/>
      <c r="N36" s="339"/>
    </row>
    <row r="37" spans="1:14">
      <c r="A37" s="339" t="s">
        <v>22</v>
      </c>
      <c r="B37" s="339"/>
      <c r="C37" s="339"/>
      <c r="D37" s="339"/>
      <c r="E37" s="339"/>
      <c r="F37" s="339"/>
      <c r="G37" s="338"/>
      <c r="H37" s="338"/>
      <c r="I37" s="338"/>
      <c r="J37" s="338"/>
      <c r="K37" s="180"/>
      <c r="L37" s="180"/>
      <c r="M37" s="180"/>
      <c r="N37" s="180"/>
    </row>
    <row r="38" spans="1:14">
      <c r="A38" s="339" t="s">
        <v>179</v>
      </c>
      <c r="B38" s="339"/>
      <c r="C38" s="339"/>
      <c r="D38" s="339"/>
      <c r="E38" s="339"/>
      <c r="F38" s="339"/>
      <c r="G38" s="338"/>
      <c r="H38" s="338"/>
      <c r="I38" s="338"/>
      <c r="J38" s="338"/>
      <c r="K38" s="180"/>
      <c r="L38" s="180"/>
      <c r="M38" s="180"/>
      <c r="N38" s="180"/>
    </row>
    <row r="39" spans="1:14">
      <c r="A39" s="338" t="s">
        <v>866</v>
      </c>
      <c r="B39" s="338"/>
      <c r="C39" s="338"/>
      <c r="D39" s="338"/>
      <c r="E39" s="338"/>
      <c r="F39" s="338"/>
      <c r="G39" s="338"/>
      <c r="H39" s="338"/>
      <c r="I39" s="338"/>
      <c r="J39" s="338"/>
      <c r="K39" s="180"/>
      <c r="L39" s="180"/>
      <c r="M39" s="180"/>
      <c r="N39" s="180"/>
    </row>
    <row r="40" spans="1:14">
      <c r="A40" s="338" t="s">
        <v>1186</v>
      </c>
      <c r="B40" s="338"/>
      <c r="C40" s="338"/>
      <c r="D40" s="338"/>
      <c r="E40" s="338"/>
      <c r="F40" s="338"/>
      <c r="G40" s="339"/>
      <c r="H40" s="339"/>
      <c r="I40" s="339"/>
      <c r="J40" s="339"/>
      <c r="K40" s="339"/>
      <c r="L40" s="339"/>
      <c r="M40" s="339"/>
      <c r="N40" s="339"/>
    </row>
    <row r="44" spans="1:14" ht="15.75">
      <c r="A44" s="133" t="s">
        <v>666</v>
      </c>
      <c r="B44" s="133"/>
      <c r="C44" s="133"/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33"/>
    </row>
    <row r="46" spans="1:14" ht="24.95" customHeight="1">
      <c r="A46" s="205" t="s">
        <v>288</v>
      </c>
      <c r="B46" s="205"/>
      <c r="C46" s="205"/>
      <c r="D46" s="205"/>
      <c r="E46" s="205"/>
      <c r="F46" s="205"/>
      <c r="G46" s="199" t="s">
        <v>332</v>
      </c>
      <c r="H46" s="199"/>
      <c r="I46" s="199"/>
      <c r="J46" s="199"/>
      <c r="K46" s="199" t="s">
        <v>360</v>
      </c>
      <c r="L46" s="199"/>
      <c r="M46" s="199"/>
      <c r="N46" s="199"/>
    </row>
    <row r="47" spans="1:14">
      <c r="A47" s="341" t="s">
        <v>917</v>
      </c>
      <c r="B47" s="341"/>
      <c r="C47" s="341"/>
      <c r="D47" s="341"/>
      <c r="E47" s="341"/>
      <c r="F47" s="341"/>
      <c r="G47" s="343">
        <v>52</v>
      </c>
      <c r="H47" s="341"/>
      <c r="I47" s="341"/>
      <c r="J47" s="341"/>
      <c r="K47" s="344" t="s">
        <v>1363</v>
      </c>
      <c r="L47" s="184"/>
      <c r="M47" s="184"/>
      <c r="N47" s="184"/>
    </row>
    <row r="48" spans="1:14" ht="24.95" customHeight="1">
      <c r="A48" s="338" t="s">
        <v>730</v>
      </c>
      <c r="B48" s="338"/>
      <c r="C48" s="338"/>
      <c r="D48" s="338"/>
      <c r="E48" s="338"/>
      <c r="F48" s="338"/>
      <c r="G48" s="338">
        <v>36</v>
      </c>
      <c r="H48" s="338"/>
      <c r="I48" s="338"/>
      <c r="J48" s="338"/>
      <c r="K48" s="180"/>
      <c r="L48" s="180"/>
      <c r="M48" s="180"/>
      <c r="N48" s="180"/>
    </row>
    <row r="49" spans="1:14">
      <c r="A49" s="338" t="s">
        <v>171</v>
      </c>
      <c r="B49" s="338"/>
      <c r="C49" s="338"/>
      <c r="D49" s="338"/>
      <c r="E49" s="338"/>
      <c r="F49" s="338"/>
      <c r="G49" s="342" t="s">
        <v>1363</v>
      </c>
      <c r="H49" s="339"/>
      <c r="I49" s="339"/>
      <c r="J49" s="339"/>
      <c r="K49" s="342" t="s">
        <v>1363</v>
      </c>
      <c r="L49" s="339"/>
      <c r="M49" s="339"/>
      <c r="N49" s="339"/>
    </row>
    <row r="50" spans="1:14">
      <c r="A50" s="338" t="s">
        <v>918</v>
      </c>
      <c r="B50" s="338"/>
      <c r="C50" s="338"/>
      <c r="D50" s="338"/>
      <c r="E50" s="338"/>
      <c r="F50" s="338"/>
      <c r="G50" s="338"/>
      <c r="H50" s="338"/>
      <c r="I50" s="338"/>
      <c r="J50" s="338"/>
      <c r="K50" s="180"/>
      <c r="L50" s="180"/>
      <c r="M50" s="180"/>
      <c r="N50" s="180"/>
    </row>
    <row r="51" spans="1:14">
      <c r="A51" s="339" t="s">
        <v>1003</v>
      </c>
      <c r="B51" s="339"/>
      <c r="C51" s="339"/>
      <c r="D51" s="339"/>
      <c r="E51" s="339"/>
      <c r="F51" s="339"/>
      <c r="G51" s="342">
        <v>36</v>
      </c>
      <c r="H51" s="339"/>
      <c r="I51" s="339"/>
      <c r="J51" s="339"/>
      <c r="K51" s="342" t="s">
        <v>1363</v>
      </c>
      <c r="L51" s="339"/>
      <c r="M51" s="339"/>
      <c r="N51" s="339"/>
    </row>
    <row r="52" spans="1:14">
      <c r="A52" s="339" t="s">
        <v>1056</v>
      </c>
      <c r="B52" s="339"/>
      <c r="C52" s="339"/>
      <c r="D52" s="339"/>
      <c r="E52" s="339"/>
      <c r="F52" s="339"/>
      <c r="G52" s="342" t="s">
        <v>1363</v>
      </c>
      <c r="H52" s="339"/>
      <c r="I52" s="339"/>
      <c r="J52" s="339"/>
      <c r="K52" s="340" t="s">
        <v>1363</v>
      </c>
      <c r="L52" s="186"/>
      <c r="M52" s="186"/>
      <c r="N52" s="186"/>
    </row>
    <row r="53" spans="1:14">
      <c r="A53" s="339" t="s">
        <v>272</v>
      </c>
      <c r="B53" s="339"/>
      <c r="C53" s="339"/>
      <c r="D53" s="339"/>
      <c r="E53" s="339"/>
      <c r="F53" s="339"/>
      <c r="G53" s="342">
        <v>88</v>
      </c>
      <c r="H53" s="339"/>
      <c r="I53" s="339"/>
      <c r="J53" s="339"/>
      <c r="K53" s="342" t="s">
        <v>1363</v>
      </c>
      <c r="L53" s="339"/>
      <c r="M53" s="339"/>
      <c r="N53" s="339"/>
    </row>
    <row r="55" spans="1:14" ht="15.75">
      <c r="A55" s="133" t="s">
        <v>14</v>
      </c>
      <c r="B55" s="133"/>
      <c r="C55" s="133"/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3"/>
    </row>
    <row r="57" spans="1:14">
      <c r="A57" s="308" t="s">
        <v>146</v>
      </c>
      <c r="B57" s="309"/>
      <c r="C57" s="309"/>
      <c r="D57" s="308" t="s">
        <v>694</v>
      </c>
      <c r="E57" s="309"/>
      <c r="F57" s="310"/>
      <c r="G57" s="205" t="s">
        <v>617</v>
      </c>
      <c r="H57" s="205"/>
      <c r="I57" s="205" t="s">
        <v>499</v>
      </c>
      <c r="J57" s="205"/>
      <c r="K57" s="205" t="s">
        <v>768</v>
      </c>
      <c r="L57" s="205"/>
      <c r="M57" s="205" t="s">
        <v>214</v>
      </c>
      <c r="N57" s="205"/>
    </row>
    <row r="58" spans="1:14">
      <c r="A58" s="345"/>
      <c r="B58" s="346"/>
      <c r="C58" s="346"/>
      <c r="D58" s="347"/>
      <c r="E58" s="348"/>
      <c r="F58" s="349"/>
      <c r="G58" s="220"/>
      <c r="H58" s="220"/>
      <c r="I58" s="220"/>
      <c r="J58" s="220"/>
      <c r="K58" s="220"/>
      <c r="L58" s="220"/>
      <c r="M58" s="220"/>
      <c r="N58" s="220"/>
    </row>
    <row r="59" spans="1:14">
      <c r="A59" s="350"/>
      <c r="B59" s="351"/>
      <c r="C59" s="351"/>
      <c r="D59" s="352"/>
      <c r="E59" s="353"/>
      <c r="F59" s="354"/>
      <c r="G59" s="219"/>
      <c r="H59" s="219"/>
      <c r="I59" s="219"/>
      <c r="J59" s="219"/>
      <c r="K59" s="219"/>
      <c r="L59" s="219"/>
      <c r="M59" s="219"/>
      <c r="N59" s="219"/>
    </row>
    <row r="60" spans="1:14">
      <c r="A60" s="350"/>
      <c r="B60" s="351"/>
      <c r="C60" s="351"/>
      <c r="D60" s="352"/>
      <c r="E60" s="353"/>
      <c r="F60" s="354"/>
      <c r="G60" s="219"/>
      <c r="H60" s="219"/>
      <c r="I60" s="219"/>
      <c r="J60" s="219"/>
      <c r="K60" s="219"/>
      <c r="L60" s="219"/>
      <c r="M60" s="219"/>
      <c r="N60" s="219"/>
    </row>
    <row r="61" spans="1:14">
      <c r="A61" s="350"/>
      <c r="B61" s="351"/>
      <c r="C61" s="351"/>
      <c r="D61" s="352"/>
      <c r="E61" s="353"/>
      <c r="F61" s="354"/>
      <c r="G61" s="219"/>
      <c r="H61" s="219"/>
      <c r="I61" s="219"/>
      <c r="J61" s="219"/>
      <c r="K61" s="219"/>
      <c r="L61" s="219"/>
      <c r="M61" s="219"/>
      <c r="N61" s="219"/>
    </row>
    <row r="62" spans="1:14">
      <c r="A62" s="350"/>
      <c r="B62" s="351"/>
      <c r="C62" s="351"/>
      <c r="D62" s="352"/>
      <c r="E62" s="353"/>
      <c r="F62" s="354"/>
      <c r="G62" s="219"/>
      <c r="H62" s="219"/>
      <c r="I62" s="219"/>
      <c r="J62" s="219"/>
      <c r="K62" s="219"/>
      <c r="L62" s="219"/>
      <c r="M62" s="219"/>
      <c r="N62" s="219"/>
    </row>
    <row r="64" spans="1:14" ht="15.75">
      <c r="A64" s="133" t="s">
        <v>244</v>
      </c>
      <c r="B64" s="133"/>
      <c r="C64" s="133"/>
      <c r="D64" s="133"/>
      <c r="E64" s="133"/>
      <c r="F64" s="133"/>
      <c r="G64" s="133"/>
      <c r="H64" s="133"/>
      <c r="I64" s="133"/>
      <c r="J64" s="133"/>
      <c r="K64" s="133"/>
      <c r="L64" s="133"/>
      <c r="M64" s="133"/>
      <c r="N64" s="133"/>
    </row>
    <row r="66" spans="1:14" ht="50.1" customHeight="1">
      <c r="A66" s="252" t="s">
        <v>288</v>
      </c>
      <c r="B66" s="252"/>
      <c r="C66" s="252"/>
      <c r="D66" s="55" t="s">
        <v>209</v>
      </c>
      <c r="E66" s="252" t="s">
        <v>639</v>
      </c>
      <c r="F66" s="252"/>
      <c r="G66" s="252" t="s">
        <v>1126</v>
      </c>
      <c r="H66" s="252"/>
      <c r="I66" s="252" t="s">
        <v>104</v>
      </c>
      <c r="J66" s="252"/>
      <c r="K66" s="252"/>
      <c r="L66" s="252" t="s">
        <v>196</v>
      </c>
      <c r="M66" s="252"/>
      <c r="N66" s="252"/>
    </row>
    <row r="67" spans="1:14">
      <c r="A67" s="182" t="s">
        <v>958</v>
      </c>
      <c r="B67" s="182"/>
      <c r="C67" s="182"/>
      <c r="D67" s="44" t="s">
        <v>1350</v>
      </c>
      <c r="E67" s="182" t="s">
        <v>737</v>
      </c>
      <c r="F67" s="182"/>
      <c r="G67" s="182" t="s">
        <v>226</v>
      </c>
      <c r="H67" s="182"/>
      <c r="I67" s="182" t="s">
        <v>830</v>
      </c>
      <c r="J67" s="182"/>
      <c r="K67" s="182"/>
      <c r="L67" s="182" t="s">
        <v>126</v>
      </c>
      <c r="M67" s="182"/>
      <c r="N67" s="182"/>
    </row>
    <row r="68" spans="1:14">
      <c r="A68" s="355" t="s">
        <v>172</v>
      </c>
      <c r="B68" s="356"/>
      <c r="C68" s="356"/>
      <c r="D68" s="356"/>
      <c r="E68" s="356"/>
      <c r="F68" s="356"/>
      <c r="G68" s="356"/>
      <c r="H68" s="356"/>
      <c r="I68" s="356"/>
      <c r="J68" s="356"/>
      <c r="K68" s="356"/>
      <c r="L68" s="356"/>
      <c r="M68" s="356"/>
      <c r="N68" s="357"/>
    </row>
    <row r="69" spans="1:14">
      <c r="A69" s="358" t="s">
        <v>1363</v>
      </c>
      <c r="B69" s="185"/>
      <c r="C69" s="185"/>
      <c r="D69" s="54" t="s">
        <v>868</v>
      </c>
      <c r="E69" s="185"/>
      <c r="F69" s="185"/>
      <c r="G69" s="185"/>
      <c r="H69" s="185"/>
      <c r="I69" s="185">
        <v>0</v>
      </c>
      <c r="J69" s="185"/>
      <c r="K69" s="185"/>
      <c r="L69" s="185">
        <v>0</v>
      </c>
      <c r="M69" s="185"/>
      <c r="N69" s="185"/>
    </row>
    <row r="70" spans="1:14">
      <c r="A70" s="185"/>
      <c r="B70" s="185"/>
      <c r="C70" s="185"/>
      <c r="D70" s="54"/>
      <c r="E70" s="185"/>
      <c r="F70" s="185"/>
      <c r="G70" s="185"/>
      <c r="H70" s="185"/>
      <c r="I70" s="185"/>
      <c r="J70" s="185"/>
      <c r="K70" s="185"/>
      <c r="L70" s="185"/>
      <c r="M70" s="185"/>
      <c r="N70" s="185"/>
    </row>
    <row r="71" spans="1:14">
      <c r="A71" s="261" t="s">
        <v>415</v>
      </c>
      <c r="B71" s="359"/>
      <c r="C71" s="359"/>
      <c r="D71" s="359"/>
      <c r="E71" s="359"/>
      <c r="F71" s="359"/>
      <c r="G71" s="359"/>
      <c r="H71" s="359"/>
      <c r="I71" s="359"/>
      <c r="J71" s="359"/>
      <c r="K71" s="359"/>
      <c r="L71" s="359"/>
      <c r="M71" s="359"/>
      <c r="N71" s="360"/>
    </row>
    <row r="72" spans="1:14">
      <c r="A72" s="185" t="s">
        <v>867</v>
      </c>
      <c r="B72" s="185"/>
      <c r="C72" s="185"/>
      <c r="D72" s="54" t="s">
        <v>868</v>
      </c>
      <c r="E72" s="185"/>
      <c r="F72" s="185"/>
      <c r="G72" s="185"/>
      <c r="H72" s="185"/>
      <c r="I72" s="185">
        <v>134902</v>
      </c>
      <c r="J72" s="185"/>
      <c r="K72" s="185"/>
      <c r="L72" s="185">
        <v>145653</v>
      </c>
      <c r="M72" s="185"/>
      <c r="N72" s="185"/>
    </row>
    <row r="73" spans="1:14">
      <c r="A73" s="185"/>
      <c r="B73" s="185"/>
      <c r="C73" s="185"/>
      <c r="D73" s="54"/>
      <c r="E73" s="185"/>
      <c r="F73" s="185"/>
      <c r="G73" s="185"/>
      <c r="H73" s="185"/>
      <c r="I73" s="185"/>
      <c r="J73" s="185"/>
      <c r="K73" s="185"/>
      <c r="L73" s="185"/>
      <c r="M73" s="185"/>
      <c r="N73" s="185"/>
    </row>
    <row r="75" spans="1:14" ht="15.75">
      <c r="A75" s="133" t="s">
        <v>711</v>
      </c>
      <c r="B75" s="133"/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</row>
    <row r="77" spans="1:14" ht="50.1" customHeight="1">
      <c r="A77" s="252" t="s">
        <v>288</v>
      </c>
      <c r="B77" s="252"/>
      <c r="C77" s="252"/>
      <c r="D77" s="55" t="s">
        <v>209</v>
      </c>
      <c r="E77" s="252" t="s">
        <v>639</v>
      </c>
      <c r="F77" s="252"/>
      <c r="G77" s="252" t="s">
        <v>1126</v>
      </c>
      <c r="H77" s="252"/>
      <c r="I77" s="252" t="s">
        <v>104</v>
      </c>
      <c r="J77" s="252"/>
      <c r="K77" s="252"/>
      <c r="L77" s="252" t="s">
        <v>196</v>
      </c>
      <c r="M77" s="252"/>
      <c r="N77" s="252"/>
    </row>
    <row r="78" spans="1:14">
      <c r="A78" s="182" t="s">
        <v>958</v>
      </c>
      <c r="B78" s="182"/>
      <c r="C78" s="182"/>
      <c r="D78" s="44" t="s">
        <v>1350</v>
      </c>
      <c r="E78" s="182" t="s">
        <v>737</v>
      </c>
      <c r="F78" s="182"/>
      <c r="G78" s="182" t="s">
        <v>226</v>
      </c>
      <c r="H78" s="182"/>
      <c r="I78" s="182" t="s">
        <v>830</v>
      </c>
      <c r="J78" s="182"/>
      <c r="K78" s="182"/>
      <c r="L78" s="182" t="s">
        <v>126</v>
      </c>
      <c r="M78" s="182"/>
      <c r="N78" s="182"/>
    </row>
    <row r="79" spans="1:14">
      <c r="A79" s="355" t="s">
        <v>910</v>
      </c>
      <c r="B79" s="356"/>
      <c r="C79" s="356"/>
      <c r="D79" s="356"/>
      <c r="E79" s="356"/>
      <c r="F79" s="356"/>
      <c r="G79" s="356"/>
      <c r="H79" s="356"/>
      <c r="I79" s="356"/>
      <c r="J79" s="356"/>
      <c r="K79" s="356"/>
      <c r="L79" s="356"/>
      <c r="M79" s="356"/>
      <c r="N79" s="357"/>
    </row>
    <row r="80" spans="1:14">
      <c r="A80" s="185"/>
      <c r="B80" s="185"/>
      <c r="C80" s="185"/>
      <c r="D80" s="54"/>
      <c r="E80" s="185"/>
      <c r="F80" s="185"/>
      <c r="G80" s="185"/>
      <c r="H80" s="185"/>
      <c r="I80" s="185"/>
      <c r="J80" s="185"/>
      <c r="K80" s="185"/>
      <c r="L80" s="185"/>
      <c r="M80" s="185"/>
      <c r="N80" s="185"/>
    </row>
    <row r="81" spans="1:14">
      <c r="A81" s="185"/>
      <c r="B81" s="185"/>
      <c r="C81" s="185"/>
      <c r="D81" s="54"/>
      <c r="E81" s="185"/>
      <c r="F81" s="185"/>
      <c r="G81" s="185"/>
      <c r="H81" s="185"/>
      <c r="I81" s="185"/>
      <c r="J81" s="185"/>
      <c r="K81" s="185"/>
      <c r="L81" s="185"/>
      <c r="M81" s="185"/>
      <c r="N81" s="185"/>
    </row>
    <row r="82" spans="1:14">
      <c r="A82" s="261" t="s">
        <v>1064</v>
      </c>
      <c r="B82" s="359"/>
      <c r="C82" s="359"/>
      <c r="D82" s="359"/>
      <c r="E82" s="359"/>
      <c r="F82" s="359"/>
      <c r="G82" s="359"/>
      <c r="H82" s="359"/>
      <c r="I82" s="359"/>
      <c r="J82" s="359"/>
      <c r="K82" s="359"/>
      <c r="L82" s="359"/>
      <c r="M82" s="359"/>
      <c r="N82" s="360"/>
    </row>
    <row r="83" spans="1:14">
      <c r="A83" s="185"/>
      <c r="B83" s="185"/>
      <c r="C83" s="185"/>
      <c r="D83" s="54"/>
      <c r="E83" s="185"/>
      <c r="F83" s="185"/>
      <c r="G83" s="185"/>
      <c r="H83" s="185"/>
      <c r="I83" s="185"/>
      <c r="J83" s="185"/>
      <c r="K83" s="185"/>
      <c r="L83" s="185"/>
      <c r="M83" s="185"/>
      <c r="N83" s="185"/>
    </row>
    <row r="84" spans="1:14">
      <c r="A84" s="185"/>
      <c r="B84" s="185"/>
      <c r="C84" s="185"/>
      <c r="D84" s="54"/>
      <c r="E84" s="185"/>
      <c r="F84" s="185"/>
      <c r="G84" s="185"/>
      <c r="H84" s="185"/>
      <c r="I84" s="185"/>
      <c r="J84" s="185"/>
      <c r="K84" s="185"/>
      <c r="L84" s="185"/>
      <c r="M84" s="185"/>
      <c r="N84" s="185"/>
    </row>
    <row r="85" spans="1:14">
      <c r="A85" s="261" t="s">
        <v>88</v>
      </c>
      <c r="B85" s="359"/>
      <c r="C85" s="359"/>
      <c r="D85" s="359"/>
      <c r="E85" s="359"/>
      <c r="F85" s="359"/>
      <c r="G85" s="359"/>
      <c r="H85" s="359"/>
      <c r="I85" s="359"/>
      <c r="J85" s="359"/>
      <c r="K85" s="359"/>
      <c r="L85" s="359"/>
      <c r="M85" s="359"/>
      <c r="N85" s="360"/>
    </row>
    <row r="86" spans="1:14">
      <c r="A86" s="185"/>
      <c r="B86" s="185"/>
      <c r="C86" s="185"/>
      <c r="D86" s="54"/>
      <c r="E86" s="185"/>
      <c r="F86" s="185"/>
      <c r="G86" s="185"/>
      <c r="H86" s="185"/>
      <c r="I86" s="185"/>
      <c r="J86" s="185"/>
      <c r="K86" s="185"/>
      <c r="L86" s="185"/>
      <c r="M86" s="185"/>
      <c r="N86" s="185"/>
    </row>
    <row r="87" spans="1:14">
      <c r="A87" s="185"/>
      <c r="B87" s="185"/>
      <c r="C87" s="185"/>
      <c r="D87" s="54"/>
      <c r="E87" s="185"/>
      <c r="F87" s="185"/>
      <c r="G87" s="185"/>
      <c r="H87" s="185"/>
      <c r="I87" s="185"/>
      <c r="J87" s="185"/>
      <c r="K87" s="185"/>
      <c r="L87" s="185"/>
      <c r="M87" s="185"/>
      <c r="N87" s="185"/>
    </row>
    <row r="88" spans="1:14">
      <c r="A88" s="185"/>
      <c r="B88" s="185"/>
      <c r="C88" s="185"/>
      <c r="D88" s="54"/>
      <c r="E88" s="185"/>
      <c r="F88" s="185"/>
      <c r="G88" s="185"/>
      <c r="H88" s="185"/>
      <c r="I88" s="185"/>
      <c r="J88" s="185"/>
      <c r="K88" s="185"/>
      <c r="L88" s="185"/>
      <c r="M88" s="185"/>
      <c r="N88" s="185"/>
    </row>
  </sheetData>
  <mergeCells count="241">
    <mergeCell ref="L87:N87"/>
    <mergeCell ref="A88:C88"/>
    <mergeCell ref="E88:F88"/>
    <mergeCell ref="G88:H88"/>
    <mergeCell ref="I88:K88"/>
    <mergeCell ref="L88:N88"/>
    <mergeCell ref="A87:C87"/>
    <mergeCell ref="E87:F87"/>
    <mergeCell ref="G87:H87"/>
    <mergeCell ref="I87:K87"/>
    <mergeCell ref="A85:N85"/>
    <mergeCell ref="A86:C86"/>
    <mergeCell ref="E86:F86"/>
    <mergeCell ref="G86:H86"/>
    <mergeCell ref="I86:K86"/>
    <mergeCell ref="L86:N86"/>
    <mergeCell ref="L83:N83"/>
    <mergeCell ref="A84:C84"/>
    <mergeCell ref="E84:F84"/>
    <mergeCell ref="G84:H84"/>
    <mergeCell ref="I84:K84"/>
    <mergeCell ref="L84:N84"/>
    <mergeCell ref="A83:C83"/>
    <mergeCell ref="E83:F83"/>
    <mergeCell ref="G83:H83"/>
    <mergeCell ref="I83:K83"/>
    <mergeCell ref="I80:K80"/>
    <mergeCell ref="L80:N80"/>
    <mergeCell ref="A81:C81"/>
    <mergeCell ref="E81:F81"/>
    <mergeCell ref="G81:H81"/>
    <mergeCell ref="I81:K81"/>
    <mergeCell ref="A77:C77"/>
    <mergeCell ref="E77:F77"/>
    <mergeCell ref="G77:H77"/>
    <mergeCell ref="I77:K77"/>
    <mergeCell ref="L81:N81"/>
    <mergeCell ref="A82:N82"/>
    <mergeCell ref="A79:N79"/>
    <mergeCell ref="A80:C80"/>
    <mergeCell ref="E80:F80"/>
    <mergeCell ref="G80:H80"/>
    <mergeCell ref="G73:H73"/>
    <mergeCell ref="I73:K73"/>
    <mergeCell ref="G69:H69"/>
    <mergeCell ref="I69:K69"/>
    <mergeCell ref="L77:N77"/>
    <mergeCell ref="A78:C78"/>
    <mergeCell ref="E78:F78"/>
    <mergeCell ref="G78:H78"/>
    <mergeCell ref="I78:K78"/>
    <mergeCell ref="L78:N78"/>
    <mergeCell ref="L73:N73"/>
    <mergeCell ref="A75:N75"/>
    <mergeCell ref="A71:N71"/>
    <mergeCell ref="A72:C72"/>
    <mergeCell ref="E72:F72"/>
    <mergeCell ref="G72:H72"/>
    <mergeCell ref="I72:K72"/>
    <mergeCell ref="L72:N72"/>
    <mergeCell ref="A73:C73"/>
    <mergeCell ref="E73:F73"/>
    <mergeCell ref="G67:H67"/>
    <mergeCell ref="I67:K67"/>
    <mergeCell ref="L69:N69"/>
    <mergeCell ref="A70:C70"/>
    <mergeCell ref="E70:F70"/>
    <mergeCell ref="G70:H70"/>
    <mergeCell ref="I70:K70"/>
    <mergeCell ref="L70:N70"/>
    <mergeCell ref="A69:C69"/>
    <mergeCell ref="E69:F69"/>
    <mergeCell ref="L67:N67"/>
    <mergeCell ref="A68:N68"/>
    <mergeCell ref="A64:N64"/>
    <mergeCell ref="A66:C66"/>
    <mergeCell ref="E66:F66"/>
    <mergeCell ref="G66:H66"/>
    <mergeCell ref="I66:K66"/>
    <mergeCell ref="L66:N66"/>
    <mergeCell ref="A67:C67"/>
    <mergeCell ref="E67:F67"/>
    <mergeCell ref="A62:C62"/>
    <mergeCell ref="D62:F62"/>
    <mergeCell ref="G62:H62"/>
    <mergeCell ref="I62:J62"/>
    <mergeCell ref="K60:L60"/>
    <mergeCell ref="M60:N60"/>
    <mergeCell ref="A61:C61"/>
    <mergeCell ref="D61:F61"/>
    <mergeCell ref="G61:H61"/>
    <mergeCell ref="I61:J61"/>
    <mergeCell ref="K62:L62"/>
    <mergeCell ref="M62:N62"/>
    <mergeCell ref="K61:L61"/>
    <mergeCell ref="M61:N61"/>
    <mergeCell ref="K59:L59"/>
    <mergeCell ref="M59:N59"/>
    <mergeCell ref="A60:C60"/>
    <mergeCell ref="D60:F60"/>
    <mergeCell ref="A59:C59"/>
    <mergeCell ref="D59:F59"/>
    <mergeCell ref="G59:H59"/>
    <mergeCell ref="I59:J59"/>
    <mergeCell ref="G60:H60"/>
    <mergeCell ref="I60:J60"/>
    <mergeCell ref="I57:J57"/>
    <mergeCell ref="A58:C58"/>
    <mergeCell ref="D58:F58"/>
    <mergeCell ref="G58:H58"/>
    <mergeCell ref="I58:J58"/>
    <mergeCell ref="K52:N52"/>
    <mergeCell ref="K58:L58"/>
    <mergeCell ref="M58:N58"/>
    <mergeCell ref="A53:F53"/>
    <mergeCell ref="G53:J53"/>
    <mergeCell ref="K53:N53"/>
    <mergeCell ref="A55:N55"/>
    <mergeCell ref="A57:C57"/>
    <mergeCell ref="D57:F57"/>
    <mergeCell ref="G57:H57"/>
    <mergeCell ref="A50:F50"/>
    <mergeCell ref="G50:J50"/>
    <mergeCell ref="K50:N50"/>
    <mergeCell ref="K57:L57"/>
    <mergeCell ref="M57:N57"/>
    <mergeCell ref="A51:F51"/>
    <mergeCell ref="G51:J51"/>
    <mergeCell ref="K51:N51"/>
    <mergeCell ref="A52:F52"/>
    <mergeCell ref="G52:J52"/>
    <mergeCell ref="A48:F48"/>
    <mergeCell ref="G48:J48"/>
    <mergeCell ref="K48:N48"/>
    <mergeCell ref="A49:F49"/>
    <mergeCell ref="G49:J49"/>
    <mergeCell ref="K49:N49"/>
    <mergeCell ref="A44:N44"/>
    <mergeCell ref="A47:F47"/>
    <mergeCell ref="G47:J47"/>
    <mergeCell ref="K47:N47"/>
    <mergeCell ref="G39:J39"/>
    <mergeCell ref="K39:N39"/>
    <mergeCell ref="A40:F40"/>
    <mergeCell ref="G40:J40"/>
    <mergeCell ref="K40:N40"/>
    <mergeCell ref="A37:F37"/>
    <mergeCell ref="G37:J37"/>
    <mergeCell ref="K37:N37"/>
    <mergeCell ref="A46:F46"/>
    <mergeCell ref="G46:J46"/>
    <mergeCell ref="K46:N46"/>
    <mergeCell ref="A38:F38"/>
    <mergeCell ref="G38:J38"/>
    <mergeCell ref="K38:N38"/>
    <mergeCell ref="A39:F39"/>
    <mergeCell ref="A35:F35"/>
    <mergeCell ref="G35:J35"/>
    <mergeCell ref="K35:N35"/>
    <mergeCell ref="A36:F36"/>
    <mergeCell ref="G36:J36"/>
    <mergeCell ref="K36:N36"/>
    <mergeCell ref="A33:F33"/>
    <mergeCell ref="G33:J33"/>
    <mergeCell ref="K33:N33"/>
    <mergeCell ref="A34:F34"/>
    <mergeCell ref="G34:J34"/>
    <mergeCell ref="K34:N34"/>
    <mergeCell ref="A31:F31"/>
    <mergeCell ref="G31:J31"/>
    <mergeCell ref="K31:N31"/>
    <mergeCell ref="A32:F32"/>
    <mergeCell ref="G32:J32"/>
    <mergeCell ref="K32:N32"/>
    <mergeCell ref="A29:F29"/>
    <mergeCell ref="G29:J29"/>
    <mergeCell ref="K29:N29"/>
    <mergeCell ref="A30:F30"/>
    <mergeCell ref="G30:J30"/>
    <mergeCell ref="K30:N30"/>
    <mergeCell ref="A27:F27"/>
    <mergeCell ref="G27:J27"/>
    <mergeCell ref="K27:N27"/>
    <mergeCell ref="A28:F28"/>
    <mergeCell ref="G28:J28"/>
    <mergeCell ref="K28:N28"/>
    <mergeCell ref="A25:F25"/>
    <mergeCell ref="G25:J25"/>
    <mergeCell ref="K25:N25"/>
    <mergeCell ref="A26:F26"/>
    <mergeCell ref="G26:J26"/>
    <mergeCell ref="K26:N26"/>
    <mergeCell ref="G19:J19"/>
    <mergeCell ref="K19:N19"/>
    <mergeCell ref="A21:N21"/>
    <mergeCell ref="A24:F24"/>
    <mergeCell ref="G24:J24"/>
    <mergeCell ref="K24:N24"/>
    <mergeCell ref="A23:F23"/>
    <mergeCell ref="G23:J23"/>
    <mergeCell ref="K23:N23"/>
    <mergeCell ref="A19:F19"/>
    <mergeCell ref="A17:F17"/>
    <mergeCell ref="G17:J17"/>
    <mergeCell ref="K17:N17"/>
    <mergeCell ref="A18:F18"/>
    <mergeCell ref="G18:J18"/>
    <mergeCell ref="K18:N18"/>
    <mergeCell ref="A15:F15"/>
    <mergeCell ref="G15:J15"/>
    <mergeCell ref="K15:N15"/>
    <mergeCell ref="A16:F16"/>
    <mergeCell ref="G16:J16"/>
    <mergeCell ref="K16:N16"/>
    <mergeCell ref="A9:F9"/>
    <mergeCell ref="G9:J9"/>
    <mergeCell ref="K9:N9"/>
    <mergeCell ref="A11:N11"/>
    <mergeCell ref="A13:F14"/>
    <mergeCell ref="G13:N13"/>
    <mergeCell ref="G14:J14"/>
    <mergeCell ref="K14:N14"/>
    <mergeCell ref="A7:F7"/>
    <mergeCell ref="G7:J7"/>
    <mergeCell ref="K7:N7"/>
    <mergeCell ref="A8:F8"/>
    <mergeCell ref="G8:J8"/>
    <mergeCell ref="K8:N8"/>
    <mergeCell ref="A5:F5"/>
    <mergeCell ref="G5:J5"/>
    <mergeCell ref="K5:N5"/>
    <mergeCell ref="A6:F6"/>
    <mergeCell ref="G6:J6"/>
    <mergeCell ref="K6:N6"/>
    <mergeCell ref="A4:F4"/>
    <mergeCell ref="G4:J4"/>
    <mergeCell ref="K4:N4"/>
    <mergeCell ref="A1:N1"/>
    <mergeCell ref="A3:F3"/>
    <mergeCell ref="G3:J3"/>
    <mergeCell ref="K3:N3"/>
  </mergeCells>
  <phoneticPr fontId="0" type="noConversion"/>
  <pageMargins left="0.7" right="0.7" top="0.75" bottom="0.75" header="0.3" footer="0.3"/>
  <pageSetup paperSize="9" scale="85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2:N67"/>
  <sheetViews>
    <sheetView topLeftCell="A23" workbookViewId="0"/>
  </sheetViews>
  <sheetFormatPr defaultRowHeight="15"/>
  <cols>
    <col min="1" max="14" width="6" customWidth="1"/>
  </cols>
  <sheetData>
    <row r="2" spans="1:14" ht="15.75">
      <c r="A2" s="303" t="s">
        <v>959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</row>
    <row r="3" spans="1:14" ht="39.950000000000003" customHeight="1">
      <c r="A3" s="199" t="s">
        <v>288</v>
      </c>
      <c r="B3" s="199"/>
      <c r="C3" s="199"/>
      <c r="D3" s="199"/>
      <c r="E3" s="199"/>
      <c r="F3" s="199"/>
      <c r="G3" s="199"/>
      <c r="H3" s="199"/>
      <c r="I3" s="199" t="s">
        <v>332</v>
      </c>
      <c r="J3" s="199"/>
      <c r="K3" s="199"/>
      <c r="L3" s="199" t="s">
        <v>360</v>
      </c>
      <c r="M3" s="199"/>
      <c r="N3" s="199"/>
    </row>
    <row r="4" spans="1:14" ht="15" customHeight="1">
      <c r="A4" s="362" t="s">
        <v>533</v>
      </c>
      <c r="B4" s="362"/>
      <c r="C4" s="362"/>
      <c r="D4" s="362"/>
      <c r="E4" s="362"/>
      <c r="F4" s="362"/>
      <c r="G4" s="362"/>
      <c r="H4" s="362"/>
      <c r="I4" s="362"/>
      <c r="J4" s="362"/>
      <c r="K4" s="362"/>
      <c r="L4" s="362"/>
      <c r="M4" s="362"/>
      <c r="N4" s="362"/>
    </row>
    <row r="5" spans="1:14">
      <c r="A5" s="338"/>
      <c r="B5" s="338"/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</row>
    <row r="6" spans="1:14">
      <c r="A6" s="338"/>
      <c r="B6" s="338"/>
      <c r="C6" s="338"/>
      <c r="D6" s="338"/>
      <c r="E6" s="338"/>
      <c r="F6" s="338"/>
      <c r="G6" s="338"/>
      <c r="H6" s="338"/>
      <c r="I6" s="338"/>
      <c r="J6" s="338"/>
      <c r="K6" s="338"/>
      <c r="L6" s="338"/>
      <c r="M6" s="338"/>
      <c r="N6" s="338"/>
    </row>
    <row r="7" spans="1:14">
      <c r="A7" s="311" t="s">
        <v>23</v>
      </c>
      <c r="B7" s="311"/>
      <c r="C7" s="311"/>
      <c r="D7" s="311"/>
      <c r="E7" s="311"/>
      <c r="F7" s="311"/>
      <c r="G7" s="311"/>
      <c r="H7" s="311"/>
      <c r="I7" s="185"/>
      <c r="J7" s="185"/>
      <c r="K7" s="185"/>
      <c r="L7" s="185"/>
      <c r="M7" s="185"/>
      <c r="N7" s="185"/>
    </row>
    <row r="8" spans="1:14">
      <c r="A8" s="311"/>
      <c r="B8" s="311"/>
      <c r="C8" s="311"/>
      <c r="D8" s="311"/>
      <c r="E8" s="311"/>
      <c r="F8" s="311"/>
      <c r="G8" s="311"/>
      <c r="H8" s="311"/>
      <c r="I8" s="185"/>
      <c r="J8" s="185"/>
      <c r="K8" s="185"/>
      <c r="L8" s="185"/>
      <c r="M8" s="185"/>
      <c r="N8" s="185"/>
    </row>
    <row r="9" spans="1:14">
      <c r="A9" s="311"/>
      <c r="B9" s="311"/>
      <c r="C9" s="311"/>
      <c r="D9" s="311"/>
      <c r="E9" s="311"/>
      <c r="F9" s="311"/>
      <c r="G9" s="311"/>
      <c r="H9" s="311"/>
      <c r="I9" s="185"/>
      <c r="J9" s="185"/>
      <c r="K9" s="185"/>
      <c r="L9" s="185"/>
      <c r="M9" s="185"/>
      <c r="N9" s="185"/>
    </row>
    <row r="10" spans="1:14">
      <c r="A10" s="311" t="s">
        <v>608</v>
      </c>
      <c r="B10" s="311"/>
      <c r="C10" s="311"/>
      <c r="D10" s="311"/>
      <c r="E10" s="311"/>
      <c r="F10" s="311"/>
      <c r="G10" s="311"/>
      <c r="H10" s="311"/>
      <c r="I10" s="185"/>
      <c r="J10" s="185"/>
      <c r="K10" s="185"/>
      <c r="L10" s="185"/>
      <c r="M10" s="185"/>
      <c r="N10" s="185"/>
    </row>
    <row r="11" spans="1:14">
      <c r="A11" s="311"/>
      <c r="B11" s="311"/>
      <c r="C11" s="311"/>
      <c r="D11" s="311"/>
      <c r="E11" s="311"/>
      <c r="F11" s="311"/>
      <c r="G11" s="311"/>
      <c r="H11" s="311"/>
      <c r="I11" s="185"/>
      <c r="J11" s="185"/>
      <c r="K11" s="185"/>
      <c r="L11" s="185"/>
      <c r="M11" s="185"/>
      <c r="N11" s="185"/>
    </row>
    <row r="12" spans="1:14">
      <c r="A12" s="311"/>
      <c r="B12" s="311"/>
      <c r="C12" s="311"/>
      <c r="D12" s="311"/>
      <c r="E12" s="311"/>
      <c r="F12" s="311"/>
      <c r="G12" s="311"/>
      <c r="H12" s="311"/>
      <c r="I12" s="185"/>
      <c r="J12" s="185"/>
      <c r="K12" s="185"/>
      <c r="L12" s="185"/>
      <c r="M12" s="185"/>
      <c r="N12" s="185"/>
    </row>
    <row r="13" spans="1:14">
      <c r="A13" s="311" t="s">
        <v>28</v>
      </c>
      <c r="B13" s="311"/>
      <c r="C13" s="311"/>
      <c r="D13" s="311"/>
      <c r="E13" s="311"/>
      <c r="F13" s="311"/>
      <c r="G13" s="311"/>
      <c r="H13" s="311"/>
      <c r="I13" s="185"/>
      <c r="J13" s="185"/>
      <c r="K13" s="185"/>
      <c r="L13" s="185"/>
      <c r="M13" s="185"/>
      <c r="N13" s="185"/>
    </row>
    <row r="14" spans="1:14">
      <c r="A14" s="311"/>
      <c r="B14" s="311"/>
      <c r="C14" s="311"/>
      <c r="D14" s="311"/>
      <c r="E14" s="311"/>
      <c r="F14" s="311"/>
      <c r="G14" s="311"/>
      <c r="H14" s="311"/>
      <c r="I14" s="185"/>
      <c r="J14" s="185"/>
      <c r="K14" s="185"/>
      <c r="L14" s="185"/>
      <c r="M14" s="185"/>
      <c r="N14" s="185"/>
    </row>
    <row r="15" spans="1:14">
      <c r="A15" s="311"/>
      <c r="B15" s="311"/>
      <c r="C15" s="311"/>
      <c r="D15" s="311"/>
      <c r="E15" s="311"/>
      <c r="F15" s="311"/>
      <c r="G15" s="311"/>
      <c r="H15" s="311"/>
      <c r="I15" s="185"/>
      <c r="J15" s="185"/>
      <c r="K15" s="185"/>
      <c r="L15" s="185"/>
      <c r="M15" s="185"/>
      <c r="N15" s="185"/>
    </row>
    <row r="17" spans="1:14" ht="15.75">
      <c r="A17" s="303" t="s">
        <v>1016</v>
      </c>
      <c r="B17" s="303"/>
      <c r="C17" s="303"/>
      <c r="D17" s="303"/>
      <c r="E17" s="303"/>
      <c r="F17" s="303"/>
      <c r="G17" s="303"/>
      <c r="H17" s="303"/>
      <c r="I17" s="303"/>
      <c r="J17" s="303"/>
      <c r="K17" s="303"/>
      <c r="L17" s="303"/>
      <c r="M17" s="303"/>
      <c r="N17" s="303"/>
    </row>
    <row r="18" spans="1:14">
      <c r="A18" s="183" t="s">
        <v>288</v>
      </c>
      <c r="B18" s="183"/>
      <c r="C18" s="183"/>
      <c r="D18" s="183"/>
      <c r="E18" s="183"/>
      <c r="F18" s="183"/>
      <c r="G18" s="183"/>
      <c r="H18" s="183" t="s">
        <v>1008</v>
      </c>
      <c r="I18" s="183"/>
      <c r="J18" s="183"/>
      <c r="K18" s="183"/>
      <c r="L18" s="183" t="s">
        <v>962</v>
      </c>
      <c r="M18" s="183"/>
      <c r="N18" s="183"/>
    </row>
    <row r="19" spans="1:14" ht="15.75" customHeight="1">
      <c r="A19" s="252"/>
      <c r="B19" s="252"/>
      <c r="C19" s="252"/>
      <c r="D19" s="252"/>
      <c r="E19" s="252"/>
      <c r="F19" s="252"/>
      <c r="G19" s="252"/>
      <c r="H19" s="252" t="s">
        <v>1287</v>
      </c>
      <c r="I19" s="252"/>
      <c r="J19" s="252" t="s">
        <v>779</v>
      </c>
      <c r="K19" s="252"/>
      <c r="L19" s="252"/>
      <c r="M19" s="252"/>
      <c r="N19" s="252"/>
    </row>
    <row r="20" spans="1:14" ht="15.75" customHeight="1">
      <c r="A20" s="285" t="s">
        <v>958</v>
      </c>
      <c r="B20" s="285"/>
      <c r="C20" s="285"/>
      <c r="D20" s="285"/>
      <c r="E20" s="285"/>
      <c r="F20" s="285"/>
      <c r="G20" s="285"/>
      <c r="H20" s="285" t="s">
        <v>1350</v>
      </c>
      <c r="I20" s="285"/>
      <c r="J20" s="285" t="s">
        <v>737</v>
      </c>
      <c r="K20" s="285"/>
      <c r="L20" s="285" t="s">
        <v>226</v>
      </c>
      <c r="M20" s="285"/>
      <c r="N20" s="285"/>
    </row>
    <row r="21" spans="1:14" ht="15" customHeight="1">
      <c r="A21" s="330" t="s">
        <v>1217</v>
      </c>
      <c r="B21" s="330"/>
      <c r="C21" s="330"/>
      <c r="D21" s="330"/>
      <c r="E21" s="330"/>
      <c r="F21" s="330"/>
      <c r="G21" s="330"/>
      <c r="H21" s="374"/>
      <c r="I21" s="374"/>
      <c r="J21" s="374"/>
      <c r="K21" s="374"/>
      <c r="L21" s="371"/>
      <c r="M21" s="372"/>
      <c r="N21" s="373"/>
    </row>
    <row r="22" spans="1:14">
      <c r="A22" s="311"/>
      <c r="B22" s="311"/>
      <c r="C22" s="311"/>
      <c r="D22" s="311"/>
      <c r="E22" s="311"/>
      <c r="F22" s="311"/>
      <c r="G22" s="311"/>
      <c r="H22" s="367"/>
      <c r="I22" s="367"/>
      <c r="J22" s="367"/>
      <c r="K22" s="367"/>
      <c r="L22" s="368"/>
      <c r="M22" s="369"/>
      <c r="N22" s="370"/>
    </row>
    <row r="23" spans="1:14">
      <c r="A23" s="311"/>
      <c r="B23" s="311"/>
      <c r="C23" s="311"/>
      <c r="D23" s="311"/>
      <c r="E23" s="311"/>
      <c r="F23" s="311"/>
      <c r="G23" s="311"/>
      <c r="H23" s="367"/>
      <c r="I23" s="367"/>
      <c r="J23" s="367"/>
      <c r="K23" s="367"/>
      <c r="L23" s="368"/>
      <c r="M23" s="369"/>
      <c r="N23" s="370"/>
    </row>
    <row r="24" spans="1:14" ht="15" customHeight="1">
      <c r="A24" s="311"/>
      <c r="B24" s="311"/>
      <c r="C24" s="311"/>
      <c r="D24" s="311"/>
      <c r="E24" s="311"/>
      <c r="F24" s="311"/>
      <c r="G24" s="311"/>
      <c r="H24" s="367"/>
      <c r="I24" s="367"/>
      <c r="J24" s="224"/>
      <c r="K24" s="224"/>
      <c r="L24" s="364"/>
      <c r="M24" s="365"/>
      <c r="N24" s="366"/>
    </row>
    <row r="25" spans="1:14">
      <c r="A25" s="311"/>
      <c r="B25" s="311"/>
      <c r="C25" s="311"/>
      <c r="D25" s="311"/>
      <c r="E25" s="311"/>
      <c r="F25" s="311"/>
      <c r="G25" s="311"/>
      <c r="H25" s="367"/>
      <c r="I25" s="367"/>
      <c r="J25" s="224"/>
      <c r="K25" s="224"/>
      <c r="L25" s="364"/>
      <c r="M25" s="365"/>
      <c r="N25" s="366"/>
    </row>
    <row r="26" spans="1:14">
      <c r="A26" s="311" t="s">
        <v>1188</v>
      </c>
      <c r="B26" s="311"/>
      <c r="C26" s="311"/>
      <c r="D26" s="311"/>
      <c r="E26" s="311"/>
      <c r="F26" s="311"/>
      <c r="G26" s="311"/>
      <c r="H26" s="367"/>
      <c r="I26" s="367"/>
      <c r="J26" s="224"/>
      <c r="K26" s="224"/>
      <c r="L26" s="364"/>
      <c r="M26" s="365"/>
      <c r="N26" s="366"/>
    </row>
    <row r="27" spans="1:14" ht="15" customHeight="1">
      <c r="A27" s="311"/>
      <c r="B27" s="311"/>
      <c r="C27" s="311"/>
      <c r="D27" s="311"/>
      <c r="E27" s="311"/>
      <c r="F27" s="311"/>
      <c r="G27" s="311"/>
      <c r="H27" s="367"/>
      <c r="I27" s="367"/>
      <c r="J27" s="224"/>
      <c r="K27" s="224"/>
      <c r="L27" s="364"/>
      <c r="M27" s="365"/>
      <c r="N27" s="366"/>
    </row>
    <row r="28" spans="1:14">
      <c r="A28" s="311"/>
      <c r="B28" s="311"/>
      <c r="C28" s="311"/>
      <c r="D28" s="311"/>
      <c r="E28" s="311"/>
      <c r="F28" s="311"/>
      <c r="G28" s="311"/>
      <c r="H28" s="367"/>
      <c r="I28" s="367"/>
      <c r="J28" s="224"/>
      <c r="K28" s="224"/>
      <c r="L28" s="364"/>
      <c r="M28" s="365"/>
      <c r="N28" s="366"/>
    </row>
    <row r="29" spans="1:14">
      <c r="A29" s="311"/>
      <c r="B29" s="311"/>
      <c r="C29" s="311"/>
      <c r="D29" s="311"/>
      <c r="E29" s="311"/>
      <c r="F29" s="311"/>
      <c r="G29" s="311"/>
      <c r="H29" s="367"/>
      <c r="I29" s="367"/>
      <c r="J29" s="224"/>
      <c r="K29" s="224"/>
      <c r="L29" s="364"/>
      <c r="M29" s="365"/>
      <c r="N29" s="366"/>
    </row>
    <row r="30" spans="1:14" ht="15" customHeight="1">
      <c r="A30" s="311"/>
      <c r="B30" s="311"/>
      <c r="C30" s="311"/>
      <c r="D30" s="311"/>
      <c r="E30" s="311"/>
      <c r="F30" s="311"/>
      <c r="G30" s="311"/>
      <c r="H30" s="367"/>
      <c r="I30" s="367"/>
      <c r="J30" s="224"/>
      <c r="K30" s="224"/>
      <c r="L30" s="364"/>
      <c r="M30" s="365"/>
      <c r="N30" s="366"/>
    </row>
    <row r="32" spans="1:14" ht="15.75" customHeight="1">
      <c r="A32" s="303" t="s">
        <v>571</v>
      </c>
      <c r="B32" s="303"/>
      <c r="C32" s="303"/>
      <c r="D32" s="303"/>
      <c r="E32" s="303"/>
      <c r="F32" s="303"/>
      <c r="G32" s="303"/>
      <c r="H32" s="303"/>
      <c r="I32" s="303"/>
      <c r="J32" s="303"/>
      <c r="K32" s="303"/>
      <c r="L32" s="303"/>
      <c r="M32" s="303"/>
      <c r="N32" s="303"/>
    </row>
    <row r="33" spans="1:14" ht="24.95" customHeight="1">
      <c r="A33" s="183" t="s">
        <v>288</v>
      </c>
      <c r="B33" s="183"/>
      <c r="C33" s="183"/>
      <c r="D33" s="183"/>
      <c r="E33" s="183"/>
      <c r="F33" s="183"/>
      <c r="G33" s="183" t="s">
        <v>332</v>
      </c>
      <c r="H33" s="183"/>
      <c r="I33" s="183"/>
      <c r="J33" s="183"/>
      <c r="K33" s="183" t="s">
        <v>360</v>
      </c>
      <c r="L33" s="183"/>
      <c r="M33" s="183"/>
      <c r="N33" s="183"/>
    </row>
    <row r="34" spans="1:14" ht="24.95" customHeight="1">
      <c r="A34" s="183"/>
      <c r="B34" s="183"/>
      <c r="C34" s="183"/>
      <c r="D34" s="183"/>
      <c r="E34" s="183"/>
      <c r="F34" s="183"/>
      <c r="G34" s="183" t="s">
        <v>1222</v>
      </c>
      <c r="H34" s="183"/>
      <c r="I34" s="183"/>
      <c r="J34" s="183"/>
      <c r="K34" s="183" t="s">
        <v>1222</v>
      </c>
      <c r="L34" s="183"/>
      <c r="M34" s="183"/>
      <c r="N34" s="183"/>
    </row>
    <row r="35" spans="1:14" ht="24.95" customHeight="1">
      <c r="A35" s="183"/>
      <c r="B35" s="183"/>
      <c r="C35" s="183"/>
      <c r="D35" s="183"/>
      <c r="E35" s="183"/>
      <c r="F35" s="183"/>
      <c r="G35" s="183" t="s">
        <v>1068</v>
      </c>
      <c r="H35" s="183"/>
      <c r="I35" s="183" t="s">
        <v>1162</v>
      </c>
      <c r="J35" s="183"/>
      <c r="K35" s="183" t="s">
        <v>1068</v>
      </c>
      <c r="L35" s="183"/>
      <c r="M35" s="183" t="s">
        <v>1162</v>
      </c>
      <c r="N35" s="183"/>
    </row>
    <row r="36" spans="1:14">
      <c r="A36" s="285" t="s">
        <v>958</v>
      </c>
      <c r="B36" s="285"/>
      <c r="C36" s="285"/>
      <c r="D36" s="285"/>
      <c r="E36" s="285"/>
      <c r="F36" s="285"/>
      <c r="G36" s="285" t="s">
        <v>1350</v>
      </c>
      <c r="H36" s="285"/>
      <c r="I36" s="285" t="s">
        <v>737</v>
      </c>
      <c r="J36" s="285"/>
      <c r="K36" s="285" t="s">
        <v>226</v>
      </c>
      <c r="L36" s="285"/>
      <c r="M36" s="285" t="s">
        <v>830</v>
      </c>
      <c r="N36" s="285"/>
    </row>
    <row r="37" spans="1:14" ht="15" customHeight="1">
      <c r="A37" s="362" t="s">
        <v>1217</v>
      </c>
      <c r="B37" s="362"/>
      <c r="C37" s="362"/>
      <c r="D37" s="362"/>
      <c r="E37" s="362"/>
      <c r="F37" s="362"/>
      <c r="G37" s="362"/>
      <c r="H37" s="362"/>
      <c r="I37" s="362"/>
      <c r="J37" s="362"/>
      <c r="K37" s="362"/>
      <c r="L37" s="362"/>
      <c r="M37" s="362"/>
      <c r="N37" s="362"/>
    </row>
    <row r="38" spans="1:14">
      <c r="A38" s="338"/>
      <c r="B38" s="338"/>
      <c r="C38" s="338"/>
      <c r="D38" s="338"/>
      <c r="E38" s="338"/>
      <c r="F38" s="338"/>
      <c r="G38" s="338"/>
      <c r="H38" s="338"/>
      <c r="I38" s="338"/>
      <c r="J38" s="338"/>
      <c r="K38" s="338"/>
      <c r="L38" s="338"/>
      <c r="M38" s="338"/>
      <c r="N38" s="338"/>
    </row>
    <row r="39" spans="1:14">
      <c r="A39" s="338"/>
      <c r="B39" s="338"/>
      <c r="C39" s="338"/>
      <c r="D39" s="338"/>
      <c r="E39" s="338"/>
      <c r="F39" s="338"/>
      <c r="G39" s="338"/>
      <c r="H39" s="338"/>
      <c r="I39" s="338"/>
      <c r="J39" s="338"/>
      <c r="K39" s="338"/>
      <c r="L39" s="338"/>
      <c r="M39" s="338"/>
      <c r="N39" s="338"/>
    </row>
    <row r="40" spans="1:14">
      <c r="A40" s="338"/>
      <c r="B40" s="338"/>
      <c r="C40" s="338"/>
      <c r="D40" s="338"/>
      <c r="E40" s="338"/>
      <c r="F40" s="338"/>
      <c r="G40" s="338"/>
      <c r="H40" s="338"/>
      <c r="I40" s="338"/>
      <c r="J40" s="338"/>
      <c r="K40" s="180"/>
      <c r="L40" s="180"/>
      <c r="M40" s="180"/>
      <c r="N40" s="180"/>
    </row>
    <row r="41" spans="1:14">
      <c r="A41" s="338"/>
      <c r="B41" s="338"/>
      <c r="C41" s="338"/>
      <c r="D41" s="338"/>
      <c r="E41" s="338"/>
      <c r="F41" s="338"/>
      <c r="G41" s="338"/>
      <c r="H41" s="338"/>
      <c r="I41" s="338"/>
      <c r="J41" s="338"/>
      <c r="K41" s="180"/>
      <c r="L41" s="180"/>
      <c r="M41" s="180"/>
      <c r="N41" s="180"/>
    </row>
    <row r="42" spans="1:14" ht="15" customHeight="1">
      <c r="A42" s="338" t="s">
        <v>1188</v>
      </c>
      <c r="B42" s="338"/>
      <c r="C42" s="338"/>
      <c r="D42" s="338"/>
      <c r="E42" s="338"/>
      <c r="F42" s="338"/>
      <c r="G42" s="338"/>
      <c r="H42" s="338"/>
      <c r="I42" s="338"/>
      <c r="J42" s="338"/>
      <c r="K42" s="180"/>
      <c r="L42" s="180"/>
      <c r="M42" s="180"/>
      <c r="N42" s="180"/>
    </row>
    <row r="43" spans="1:14">
      <c r="A43" s="338"/>
      <c r="B43" s="338"/>
      <c r="C43" s="338"/>
      <c r="D43" s="338"/>
      <c r="E43" s="338"/>
      <c r="F43" s="338"/>
      <c r="G43" s="338"/>
      <c r="H43" s="338"/>
      <c r="I43" s="338"/>
      <c r="J43" s="338"/>
      <c r="K43" s="180"/>
      <c r="L43" s="180"/>
      <c r="M43" s="180"/>
      <c r="N43" s="180"/>
    </row>
    <row r="44" spans="1:14">
      <c r="A44" s="338"/>
      <c r="B44" s="338"/>
      <c r="C44" s="338"/>
      <c r="D44" s="338"/>
      <c r="E44" s="338"/>
      <c r="F44" s="338"/>
      <c r="G44" s="338"/>
      <c r="H44" s="338"/>
      <c r="I44" s="338"/>
      <c r="J44" s="338"/>
      <c r="K44" s="180"/>
      <c r="L44" s="180"/>
      <c r="M44" s="180"/>
      <c r="N44" s="180"/>
    </row>
    <row r="45" spans="1:14">
      <c r="A45" s="338"/>
      <c r="B45" s="338"/>
      <c r="C45" s="338"/>
      <c r="D45" s="338"/>
      <c r="E45" s="338"/>
      <c r="F45" s="338"/>
      <c r="G45" s="338"/>
      <c r="H45" s="338"/>
      <c r="I45" s="338"/>
      <c r="J45" s="338"/>
      <c r="K45" s="180"/>
      <c r="L45" s="180"/>
      <c r="M45" s="180"/>
      <c r="N45" s="180"/>
    </row>
    <row r="46" spans="1:14">
      <c r="A46" s="338"/>
      <c r="B46" s="338"/>
      <c r="C46" s="338"/>
      <c r="D46" s="338"/>
      <c r="E46" s="338"/>
      <c r="F46" s="338"/>
      <c r="G46" s="338"/>
      <c r="H46" s="338"/>
      <c r="I46" s="338"/>
      <c r="J46" s="338"/>
      <c r="K46" s="180"/>
      <c r="L46" s="180"/>
      <c r="M46" s="180"/>
      <c r="N46" s="180"/>
    </row>
    <row r="48" spans="1:14" ht="15.75">
      <c r="A48" s="133" t="s">
        <v>596</v>
      </c>
      <c r="B48" s="133"/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</row>
    <row r="50" spans="1:14">
      <c r="A50" s="204" t="s">
        <v>496</v>
      </c>
      <c r="B50" s="204"/>
      <c r="C50" s="204"/>
      <c r="D50" s="204"/>
      <c r="E50" s="204"/>
      <c r="F50" s="204"/>
      <c r="G50" s="181" t="s">
        <v>1137</v>
      </c>
      <c r="H50" s="181"/>
      <c r="I50" s="181"/>
      <c r="J50" s="181"/>
      <c r="K50" s="181"/>
      <c r="L50" s="181"/>
      <c r="M50" s="181"/>
      <c r="N50" s="181"/>
    </row>
    <row r="51" spans="1:14" ht="24.95" customHeight="1">
      <c r="A51" s="204"/>
      <c r="B51" s="204"/>
      <c r="C51" s="204"/>
      <c r="D51" s="204"/>
      <c r="E51" s="204"/>
      <c r="F51" s="204"/>
      <c r="G51" s="183" t="s">
        <v>332</v>
      </c>
      <c r="H51" s="183"/>
      <c r="I51" s="183"/>
      <c r="J51" s="183"/>
      <c r="K51" s="183" t="s">
        <v>360</v>
      </c>
      <c r="L51" s="183"/>
      <c r="M51" s="183"/>
      <c r="N51" s="183"/>
    </row>
    <row r="52" spans="1:14">
      <c r="A52" s="363" t="s">
        <v>958</v>
      </c>
      <c r="B52" s="363"/>
      <c r="C52" s="363"/>
      <c r="D52" s="363"/>
      <c r="E52" s="363"/>
      <c r="F52" s="363"/>
      <c r="G52" s="285" t="s">
        <v>1350</v>
      </c>
      <c r="H52" s="285"/>
      <c r="I52" s="285"/>
      <c r="J52" s="285"/>
      <c r="K52" s="285" t="s">
        <v>737</v>
      </c>
      <c r="L52" s="285"/>
      <c r="M52" s="285"/>
      <c r="N52" s="285"/>
    </row>
    <row r="53" spans="1:14">
      <c r="A53" s="335" t="s">
        <v>946</v>
      </c>
      <c r="B53" s="335"/>
      <c r="C53" s="335"/>
      <c r="D53" s="335"/>
      <c r="E53" s="335"/>
      <c r="F53" s="335"/>
      <c r="G53" s="341"/>
      <c r="H53" s="341"/>
      <c r="I53" s="341"/>
      <c r="J53" s="341"/>
      <c r="K53" s="184"/>
      <c r="L53" s="184"/>
      <c r="M53" s="184"/>
      <c r="N53" s="184"/>
    </row>
    <row r="54" spans="1:14">
      <c r="A54" s="338" t="s">
        <v>394</v>
      </c>
      <c r="B54" s="338"/>
      <c r="C54" s="338"/>
      <c r="D54" s="338"/>
      <c r="E54" s="338"/>
      <c r="F54" s="338"/>
      <c r="G54" s="338"/>
      <c r="H54" s="338"/>
      <c r="I54" s="338"/>
      <c r="J54" s="338"/>
      <c r="K54" s="180"/>
      <c r="L54" s="180"/>
      <c r="M54" s="180"/>
      <c r="N54" s="180"/>
    </row>
    <row r="55" spans="1:14" ht="24.95" customHeight="1">
      <c r="A55" s="338" t="s">
        <v>989</v>
      </c>
      <c r="B55" s="338"/>
      <c r="C55" s="338"/>
      <c r="D55" s="338"/>
      <c r="E55" s="338"/>
      <c r="F55" s="338"/>
      <c r="G55" s="339"/>
      <c r="H55" s="339"/>
      <c r="I55" s="339"/>
      <c r="J55" s="339"/>
      <c r="K55" s="339"/>
      <c r="L55" s="339"/>
      <c r="M55" s="339"/>
      <c r="N55" s="339"/>
    </row>
    <row r="56" spans="1:14" ht="24.95" customHeight="1">
      <c r="A56" s="338" t="s">
        <v>1351</v>
      </c>
      <c r="B56" s="338"/>
      <c r="C56" s="338"/>
      <c r="D56" s="338"/>
      <c r="E56" s="338"/>
      <c r="F56" s="338"/>
      <c r="G56" s="338"/>
      <c r="H56" s="338"/>
      <c r="I56" s="338"/>
      <c r="J56" s="338"/>
      <c r="K56" s="180"/>
      <c r="L56" s="180"/>
      <c r="M56" s="180"/>
      <c r="N56" s="180"/>
    </row>
    <row r="57" spans="1:14">
      <c r="A57" s="339" t="s">
        <v>461</v>
      </c>
      <c r="B57" s="339"/>
      <c r="C57" s="339"/>
      <c r="D57" s="339"/>
      <c r="E57" s="339"/>
      <c r="F57" s="339"/>
      <c r="G57" s="339">
        <f>SUM(G53:J56)</f>
        <v>0</v>
      </c>
      <c r="H57" s="339"/>
      <c r="I57" s="339"/>
      <c r="J57" s="339"/>
      <c r="K57" s="339">
        <f>SUM(K53:N56)</f>
        <v>0</v>
      </c>
      <c r="L57" s="339"/>
      <c r="M57" s="339"/>
      <c r="N57" s="339"/>
    </row>
    <row r="59" spans="1:14" ht="15.75">
      <c r="A59" s="133" t="s">
        <v>168</v>
      </c>
      <c r="B59" s="133"/>
      <c r="C59" s="133"/>
      <c r="D59" s="133"/>
      <c r="E59" s="133"/>
      <c r="F59" s="133"/>
      <c r="G59" s="133"/>
      <c r="H59" s="133"/>
      <c r="I59" s="133"/>
      <c r="J59" s="133"/>
      <c r="K59" s="133"/>
      <c r="L59" s="133"/>
      <c r="M59" s="133"/>
      <c r="N59" s="133"/>
    </row>
    <row r="61" spans="1:14">
      <c r="A61" s="183" t="s">
        <v>288</v>
      </c>
      <c r="B61" s="183"/>
      <c r="C61" s="183" t="s">
        <v>332</v>
      </c>
      <c r="D61" s="183"/>
      <c r="E61" s="183"/>
      <c r="F61" s="183"/>
      <c r="G61" s="183"/>
      <c r="H61" s="183"/>
      <c r="I61" s="183" t="s">
        <v>360</v>
      </c>
      <c r="J61" s="183"/>
      <c r="K61" s="183"/>
      <c r="L61" s="183"/>
      <c r="M61" s="183"/>
      <c r="N61" s="183"/>
    </row>
    <row r="62" spans="1:14">
      <c r="A62" s="183"/>
      <c r="B62" s="183"/>
      <c r="C62" s="183" t="s">
        <v>214</v>
      </c>
      <c r="D62" s="183"/>
      <c r="E62" s="183"/>
      <c r="F62" s="183"/>
      <c r="G62" s="183"/>
      <c r="H62" s="183"/>
      <c r="I62" s="183" t="s">
        <v>214</v>
      </c>
      <c r="J62" s="183"/>
      <c r="K62" s="183"/>
      <c r="L62" s="183"/>
      <c r="M62" s="183"/>
      <c r="N62" s="183"/>
    </row>
    <row r="63" spans="1:14" ht="39.950000000000003" customHeight="1">
      <c r="A63" s="183"/>
      <c r="B63" s="183"/>
      <c r="C63" s="183" t="s">
        <v>813</v>
      </c>
      <c r="D63" s="183"/>
      <c r="E63" s="183" t="s">
        <v>1254</v>
      </c>
      <c r="F63" s="183"/>
      <c r="G63" s="183" t="s">
        <v>268</v>
      </c>
      <c r="H63" s="183"/>
      <c r="I63" s="183" t="s">
        <v>813</v>
      </c>
      <c r="J63" s="183"/>
      <c r="K63" s="183" t="s">
        <v>458</v>
      </c>
      <c r="L63" s="183"/>
      <c r="M63" s="183" t="s">
        <v>268</v>
      </c>
      <c r="N63" s="183"/>
    </row>
    <row r="64" spans="1:14">
      <c r="A64" s="182" t="s">
        <v>958</v>
      </c>
      <c r="B64" s="182"/>
      <c r="C64" s="182" t="s">
        <v>1350</v>
      </c>
      <c r="D64" s="182"/>
      <c r="E64" s="182" t="s">
        <v>737</v>
      </c>
      <c r="F64" s="182"/>
      <c r="G64" s="182" t="s">
        <v>226</v>
      </c>
      <c r="H64" s="182"/>
      <c r="I64" s="182" t="s">
        <v>830</v>
      </c>
      <c r="J64" s="182"/>
      <c r="K64" s="182" t="s">
        <v>126</v>
      </c>
      <c r="L64" s="182"/>
      <c r="M64" s="182" t="s">
        <v>707</v>
      </c>
      <c r="N64" s="182"/>
    </row>
    <row r="65" spans="1:14">
      <c r="A65" s="221" t="s">
        <v>490</v>
      </c>
      <c r="B65" s="221"/>
      <c r="C65" s="361"/>
      <c r="D65" s="361"/>
      <c r="E65" s="361"/>
      <c r="F65" s="361"/>
      <c r="G65" s="361"/>
      <c r="H65" s="361"/>
      <c r="I65" s="361"/>
      <c r="J65" s="361"/>
      <c r="K65" s="361"/>
      <c r="L65" s="361"/>
      <c r="M65" s="361"/>
      <c r="N65" s="361"/>
    </row>
    <row r="66" spans="1:14">
      <c r="A66" s="223" t="s">
        <v>509</v>
      </c>
      <c r="B66" s="223"/>
      <c r="C66" s="185"/>
      <c r="D66" s="185"/>
      <c r="E66" s="185"/>
      <c r="F66" s="185"/>
      <c r="G66" s="185"/>
      <c r="H66" s="185"/>
      <c r="I66" s="185"/>
      <c r="J66" s="185"/>
      <c r="K66" s="185"/>
      <c r="L66" s="185"/>
      <c r="M66" s="185"/>
      <c r="N66" s="185"/>
    </row>
    <row r="67" spans="1:14">
      <c r="A67" s="284" t="s">
        <v>461</v>
      </c>
      <c r="B67" s="284"/>
      <c r="C67" s="181">
        <f>SUM(C65:D66)</f>
        <v>0</v>
      </c>
      <c r="D67" s="181"/>
      <c r="E67" s="181">
        <f>SUM(E65:F66)</f>
        <v>0</v>
      </c>
      <c r="F67" s="181"/>
      <c r="G67" s="181">
        <f>SUM(G65:H66)</f>
        <v>0</v>
      </c>
      <c r="H67" s="181"/>
      <c r="I67" s="181">
        <f>SUM(I65:J66)</f>
        <v>0</v>
      </c>
      <c r="J67" s="181"/>
      <c r="K67" s="181">
        <f>SUM(K65:L66)</f>
        <v>0</v>
      </c>
      <c r="L67" s="181"/>
      <c r="M67" s="181">
        <f>SUM(M65:N66)</f>
        <v>0</v>
      </c>
      <c r="N67" s="181"/>
    </row>
  </sheetData>
  <sheetProtection sheet="1"/>
  <mergeCells count="218">
    <mergeCell ref="A2:N2"/>
    <mergeCell ref="A3:H3"/>
    <mergeCell ref="I3:K3"/>
    <mergeCell ref="L3:N3"/>
    <mergeCell ref="A4:H4"/>
    <mergeCell ref="I4:K4"/>
    <mergeCell ref="L4:N4"/>
    <mergeCell ref="L9:N9"/>
    <mergeCell ref="A5:H5"/>
    <mergeCell ref="A6:H6"/>
    <mergeCell ref="I5:K5"/>
    <mergeCell ref="I6:K6"/>
    <mergeCell ref="I9:K9"/>
    <mergeCell ref="L5:N5"/>
    <mergeCell ref="L6:N6"/>
    <mergeCell ref="A10:H10"/>
    <mergeCell ref="I10:K10"/>
    <mergeCell ref="L10:N10"/>
    <mergeCell ref="A7:H7"/>
    <mergeCell ref="I7:K7"/>
    <mergeCell ref="L7:N7"/>
    <mergeCell ref="A8:H8"/>
    <mergeCell ref="I8:K8"/>
    <mergeCell ref="L8:N8"/>
    <mergeCell ref="A9:H9"/>
    <mergeCell ref="L13:N13"/>
    <mergeCell ref="A14:H14"/>
    <mergeCell ref="I14:K14"/>
    <mergeCell ref="L14:N14"/>
    <mergeCell ref="A13:H13"/>
    <mergeCell ref="I13:K13"/>
    <mergeCell ref="A11:H11"/>
    <mergeCell ref="I11:K11"/>
    <mergeCell ref="L11:N11"/>
    <mergeCell ref="A12:H12"/>
    <mergeCell ref="I12:K12"/>
    <mergeCell ref="L12:N12"/>
    <mergeCell ref="A17:N17"/>
    <mergeCell ref="L18:N19"/>
    <mergeCell ref="H19:I19"/>
    <mergeCell ref="J19:K19"/>
    <mergeCell ref="H18:K18"/>
    <mergeCell ref="A15:H15"/>
    <mergeCell ref="I15:K15"/>
    <mergeCell ref="L15:N15"/>
    <mergeCell ref="A18:G19"/>
    <mergeCell ref="L21:N21"/>
    <mergeCell ref="L22:N22"/>
    <mergeCell ref="H21:I21"/>
    <mergeCell ref="H22:I22"/>
    <mergeCell ref="J21:K21"/>
    <mergeCell ref="J22:K22"/>
    <mergeCell ref="L23:N23"/>
    <mergeCell ref="L24:N24"/>
    <mergeCell ref="H23:I23"/>
    <mergeCell ref="H24:I24"/>
    <mergeCell ref="J23:K23"/>
    <mergeCell ref="J24:K24"/>
    <mergeCell ref="L26:N26"/>
    <mergeCell ref="A26:G26"/>
    <mergeCell ref="H25:I25"/>
    <mergeCell ref="H26:I26"/>
    <mergeCell ref="J25:K25"/>
    <mergeCell ref="J26:K26"/>
    <mergeCell ref="A25:G25"/>
    <mergeCell ref="A40:F40"/>
    <mergeCell ref="L27:N27"/>
    <mergeCell ref="L28:N28"/>
    <mergeCell ref="A27:G27"/>
    <mergeCell ref="A28:G28"/>
    <mergeCell ref="H27:I27"/>
    <mergeCell ref="H28:I28"/>
    <mergeCell ref="J27:K27"/>
    <mergeCell ref="J28:K28"/>
    <mergeCell ref="L29:N29"/>
    <mergeCell ref="A23:G23"/>
    <mergeCell ref="A24:G24"/>
    <mergeCell ref="L30:N30"/>
    <mergeCell ref="A29:G29"/>
    <mergeCell ref="A30:G30"/>
    <mergeCell ref="H29:I29"/>
    <mergeCell ref="H30:I30"/>
    <mergeCell ref="J29:K29"/>
    <mergeCell ref="J30:K30"/>
    <mergeCell ref="L25:N25"/>
    <mergeCell ref="G34:J34"/>
    <mergeCell ref="K34:N34"/>
    <mergeCell ref="A20:G20"/>
    <mergeCell ref="H20:I20"/>
    <mergeCell ref="A37:F37"/>
    <mergeCell ref="A38:F38"/>
    <mergeCell ref="G37:H37"/>
    <mergeCell ref="G38:H38"/>
    <mergeCell ref="A21:G21"/>
    <mergeCell ref="A22:G22"/>
    <mergeCell ref="A42:F42"/>
    <mergeCell ref="A45:F45"/>
    <mergeCell ref="J20:K20"/>
    <mergeCell ref="L20:N20"/>
    <mergeCell ref="A32:N32"/>
    <mergeCell ref="G36:H36"/>
    <mergeCell ref="A36:F36"/>
    <mergeCell ref="M36:N36"/>
    <mergeCell ref="G33:J33"/>
    <mergeCell ref="K33:N33"/>
    <mergeCell ref="I62:N62"/>
    <mergeCell ref="M63:N63"/>
    <mergeCell ref="A33:F35"/>
    <mergeCell ref="I36:J36"/>
    <mergeCell ref="G56:J56"/>
    <mergeCell ref="I37:J37"/>
    <mergeCell ref="I38:J38"/>
    <mergeCell ref="I39:J39"/>
    <mergeCell ref="I40:J40"/>
    <mergeCell ref="A41:F41"/>
    <mergeCell ref="C64:D64"/>
    <mergeCell ref="E64:F64"/>
    <mergeCell ref="G64:H64"/>
    <mergeCell ref="I64:J64"/>
    <mergeCell ref="G63:H63"/>
    <mergeCell ref="I63:J63"/>
    <mergeCell ref="G45:H45"/>
    <mergeCell ref="A59:N59"/>
    <mergeCell ref="A61:B63"/>
    <mergeCell ref="C61:H61"/>
    <mergeCell ref="I61:N61"/>
    <mergeCell ref="C62:H62"/>
    <mergeCell ref="C63:D63"/>
    <mergeCell ref="E63:F63"/>
    <mergeCell ref="K56:N56"/>
    <mergeCell ref="K63:L63"/>
    <mergeCell ref="I46:J46"/>
    <mergeCell ref="A56:F56"/>
    <mergeCell ref="A57:F57"/>
    <mergeCell ref="A43:F43"/>
    <mergeCell ref="A44:F44"/>
    <mergeCell ref="A54:F54"/>
    <mergeCell ref="A55:F55"/>
    <mergeCell ref="A48:N48"/>
    <mergeCell ref="G51:J51"/>
    <mergeCell ref="K51:N51"/>
    <mergeCell ref="M43:N43"/>
    <mergeCell ref="G57:J57"/>
    <mergeCell ref="K57:N57"/>
    <mergeCell ref="K52:N52"/>
    <mergeCell ref="I41:J41"/>
    <mergeCell ref="G54:J54"/>
    <mergeCell ref="K54:N54"/>
    <mergeCell ref="G55:J55"/>
    <mergeCell ref="K55:N55"/>
    <mergeCell ref="I45:J45"/>
    <mergeCell ref="M40:N40"/>
    <mergeCell ref="I43:J43"/>
    <mergeCell ref="I44:J44"/>
    <mergeCell ref="G44:H44"/>
    <mergeCell ref="M41:N41"/>
    <mergeCell ref="G40:H40"/>
    <mergeCell ref="G41:H41"/>
    <mergeCell ref="G42:H42"/>
    <mergeCell ref="G43:H43"/>
    <mergeCell ref="I42:J42"/>
    <mergeCell ref="A53:F53"/>
    <mergeCell ref="G53:J53"/>
    <mergeCell ref="K53:N53"/>
    <mergeCell ref="A50:F51"/>
    <mergeCell ref="G50:N50"/>
    <mergeCell ref="A52:F52"/>
    <mergeCell ref="G52:J52"/>
    <mergeCell ref="A46:F46"/>
    <mergeCell ref="K36:L36"/>
    <mergeCell ref="K37:L37"/>
    <mergeCell ref="K38:L38"/>
    <mergeCell ref="K39:L39"/>
    <mergeCell ref="G46:H46"/>
    <mergeCell ref="K40:L40"/>
    <mergeCell ref="K41:L41"/>
    <mergeCell ref="G39:H39"/>
    <mergeCell ref="A39:F39"/>
    <mergeCell ref="G35:H35"/>
    <mergeCell ref="I35:J35"/>
    <mergeCell ref="K35:L35"/>
    <mergeCell ref="M35:N35"/>
    <mergeCell ref="M46:N46"/>
    <mergeCell ref="K42:L42"/>
    <mergeCell ref="K43:L43"/>
    <mergeCell ref="K44:L44"/>
    <mergeCell ref="K45:L45"/>
    <mergeCell ref="M44:N44"/>
    <mergeCell ref="G65:H65"/>
    <mergeCell ref="K64:L64"/>
    <mergeCell ref="E67:F67"/>
    <mergeCell ref="G67:H67"/>
    <mergeCell ref="M37:N37"/>
    <mergeCell ref="M38:N38"/>
    <mergeCell ref="M39:N39"/>
    <mergeCell ref="M45:N45"/>
    <mergeCell ref="K46:L46"/>
    <mergeCell ref="M42:N42"/>
    <mergeCell ref="I66:J66"/>
    <mergeCell ref="M67:N67"/>
    <mergeCell ref="A66:B66"/>
    <mergeCell ref="C66:D66"/>
    <mergeCell ref="K67:L67"/>
    <mergeCell ref="M64:N64"/>
    <mergeCell ref="A64:B64"/>
    <mergeCell ref="A65:B65"/>
    <mergeCell ref="C65:D65"/>
    <mergeCell ref="E65:F65"/>
    <mergeCell ref="I65:J65"/>
    <mergeCell ref="K65:L65"/>
    <mergeCell ref="M65:N65"/>
    <mergeCell ref="K66:L66"/>
    <mergeCell ref="M66:N66"/>
    <mergeCell ref="A67:B67"/>
    <mergeCell ref="C67:D67"/>
    <mergeCell ref="I67:J67"/>
    <mergeCell ref="E66:F66"/>
    <mergeCell ref="G66:H66"/>
  </mergeCells>
  <phoneticPr fontId="0" type="noConversion"/>
  <pageMargins left="0.7" right="0.7" top="0.75" bottom="0.75" header="0.3" footer="0.3"/>
  <pageSetup paperSize="9" scale="85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2:N86"/>
  <sheetViews>
    <sheetView topLeftCell="A65" workbookViewId="0">
      <selection activeCell="K85" sqref="K85:N85"/>
    </sheetView>
  </sheetViews>
  <sheetFormatPr defaultRowHeight="15"/>
  <cols>
    <col min="1" max="14" width="6" customWidth="1"/>
  </cols>
  <sheetData>
    <row r="2" spans="1:14" ht="18.75">
      <c r="A2" s="334" t="s">
        <v>1216</v>
      </c>
      <c r="B2" s="334"/>
      <c r="C2" s="334"/>
      <c r="D2" s="334"/>
      <c r="E2" s="334"/>
      <c r="F2" s="334"/>
      <c r="G2" s="334"/>
      <c r="H2" s="334"/>
      <c r="I2" s="334"/>
      <c r="J2" s="334"/>
      <c r="K2" s="334"/>
      <c r="L2" s="334"/>
      <c r="M2" s="334"/>
      <c r="N2" s="334"/>
    </row>
    <row r="4" spans="1:14" ht="15.75">
      <c r="A4" s="133" t="s">
        <v>919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</row>
    <row r="6" spans="1:14" ht="24.95" customHeight="1">
      <c r="A6" s="183" t="s">
        <v>827</v>
      </c>
      <c r="B6" s="183"/>
      <c r="C6" s="183" t="s">
        <v>222</v>
      </c>
      <c r="D6" s="183"/>
      <c r="E6" s="183"/>
      <c r="F6" s="183"/>
      <c r="G6" s="183" t="s">
        <v>1143</v>
      </c>
      <c r="H6" s="183"/>
      <c r="I6" s="183"/>
      <c r="J6" s="183"/>
      <c r="K6" s="183" t="s">
        <v>951</v>
      </c>
      <c r="L6" s="183"/>
      <c r="M6" s="183"/>
      <c r="N6" s="183"/>
    </row>
    <row r="7" spans="1:14" ht="50.1" customHeight="1">
      <c r="A7" s="183"/>
      <c r="B7" s="183"/>
      <c r="C7" s="183" t="s">
        <v>332</v>
      </c>
      <c r="D7" s="183"/>
      <c r="E7" s="183" t="s">
        <v>360</v>
      </c>
      <c r="F7" s="183"/>
      <c r="G7" s="183" t="s">
        <v>332</v>
      </c>
      <c r="H7" s="183"/>
      <c r="I7" s="183" t="s">
        <v>360</v>
      </c>
      <c r="J7" s="183"/>
      <c r="K7" s="183" t="s">
        <v>332</v>
      </c>
      <c r="L7" s="183"/>
      <c r="M7" s="183" t="s">
        <v>360</v>
      </c>
      <c r="N7" s="183"/>
    </row>
    <row r="8" spans="1:14">
      <c r="A8" s="182" t="s">
        <v>958</v>
      </c>
      <c r="B8" s="182"/>
      <c r="C8" s="182" t="s">
        <v>1350</v>
      </c>
      <c r="D8" s="182"/>
      <c r="E8" s="182" t="s">
        <v>737</v>
      </c>
      <c r="F8" s="182"/>
      <c r="G8" s="182" t="s">
        <v>226</v>
      </c>
      <c r="H8" s="182"/>
      <c r="I8" s="182" t="s">
        <v>830</v>
      </c>
      <c r="J8" s="182"/>
      <c r="K8" s="182" t="s">
        <v>126</v>
      </c>
      <c r="L8" s="182"/>
      <c r="M8" s="182" t="s">
        <v>707</v>
      </c>
      <c r="N8" s="182"/>
    </row>
    <row r="9" spans="1:14">
      <c r="A9" s="221" t="s">
        <v>869</v>
      </c>
      <c r="B9" s="221"/>
      <c r="C9" s="222">
        <v>1769509</v>
      </c>
      <c r="D9" s="222"/>
      <c r="E9" s="222">
        <v>2114592</v>
      </c>
      <c r="F9" s="222"/>
      <c r="G9" s="222"/>
      <c r="H9" s="222"/>
      <c r="I9" s="222"/>
      <c r="J9" s="222"/>
      <c r="K9" s="222"/>
      <c r="L9" s="222"/>
      <c r="M9" s="222"/>
      <c r="N9" s="222"/>
    </row>
    <row r="10" spans="1:14">
      <c r="A10" s="223" t="s">
        <v>870</v>
      </c>
      <c r="B10" s="223"/>
      <c r="C10" s="224">
        <v>384</v>
      </c>
      <c r="D10" s="224"/>
      <c r="E10" s="376" t="s">
        <v>1363</v>
      </c>
      <c r="F10" s="224"/>
      <c r="G10" s="224"/>
      <c r="H10" s="224"/>
      <c r="I10" s="224"/>
      <c r="J10" s="224"/>
      <c r="K10" s="224"/>
      <c r="L10" s="224"/>
      <c r="M10" s="224"/>
      <c r="N10" s="224"/>
    </row>
    <row r="11" spans="1:14">
      <c r="A11" s="223"/>
      <c r="B11" s="223"/>
      <c r="C11" s="224"/>
      <c r="D11" s="224"/>
      <c r="E11" s="224"/>
      <c r="F11" s="224"/>
      <c r="G11" s="224"/>
      <c r="H11" s="224"/>
      <c r="I11" s="224"/>
      <c r="J11" s="224"/>
      <c r="K11" s="224"/>
      <c r="L11" s="224"/>
      <c r="M11" s="224"/>
      <c r="N11" s="224"/>
    </row>
    <row r="12" spans="1:14">
      <c r="A12" s="223"/>
      <c r="B12" s="223"/>
      <c r="C12" s="224"/>
      <c r="D12" s="224"/>
      <c r="E12" s="224"/>
      <c r="F12" s="224"/>
      <c r="G12" s="224"/>
      <c r="H12" s="224"/>
      <c r="I12" s="224"/>
      <c r="J12" s="224"/>
      <c r="K12" s="224"/>
      <c r="L12" s="224"/>
      <c r="M12" s="224"/>
      <c r="N12" s="224"/>
    </row>
    <row r="13" spans="1:14">
      <c r="A13" s="284" t="s">
        <v>461</v>
      </c>
      <c r="B13" s="284"/>
      <c r="C13" s="304">
        <f>SUM(C9:D12)</f>
        <v>1769893</v>
      </c>
      <c r="D13" s="304"/>
      <c r="E13" s="304">
        <f>SUM(E9:F12)</f>
        <v>2114592</v>
      </c>
      <c r="F13" s="304"/>
      <c r="G13" s="304">
        <f>SUM(G9:H12)</f>
        <v>0</v>
      </c>
      <c r="H13" s="304"/>
      <c r="I13" s="304">
        <f>SUM(I9:J12)</f>
        <v>0</v>
      </c>
      <c r="J13" s="304"/>
      <c r="K13" s="304">
        <f>SUM(K9:L12)</f>
        <v>0</v>
      </c>
      <c r="L13" s="304"/>
      <c r="M13" s="304">
        <f>SUM(M9:N12)</f>
        <v>0</v>
      </c>
      <c r="N13" s="304"/>
    </row>
    <row r="15" spans="1:14" ht="15.75">
      <c r="A15" s="133" t="s">
        <v>48</v>
      </c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</row>
    <row r="17" spans="1:14" ht="24.95" customHeight="1">
      <c r="A17" s="233" t="s">
        <v>288</v>
      </c>
      <c r="B17" s="234"/>
      <c r="C17" s="234"/>
      <c r="D17" s="234"/>
      <c r="E17" s="189" t="s">
        <v>332</v>
      </c>
      <c r="F17" s="217"/>
      <c r="G17" s="183" t="s">
        <v>360</v>
      </c>
      <c r="H17" s="183"/>
      <c r="I17" s="183"/>
      <c r="J17" s="183"/>
      <c r="K17" s="183" t="s">
        <v>952</v>
      </c>
      <c r="L17" s="183"/>
      <c r="M17" s="183"/>
      <c r="N17" s="183"/>
    </row>
    <row r="18" spans="1:14" ht="45" customHeight="1">
      <c r="A18" s="236"/>
      <c r="B18" s="237"/>
      <c r="C18" s="237"/>
      <c r="D18" s="237"/>
      <c r="E18" s="183" t="s">
        <v>189</v>
      </c>
      <c r="F18" s="183"/>
      <c r="G18" s="183" t="s">
        <v>43</v>
      </c>
      <c r="H18" s="183"/>
      <c r="I18" s="183" t="s">
        <v>449</v>
      </c>
      <c r="J18" s="183"/>
      <c r="K18" s="183" t="s">
        <v>332</v>
      </c>
      <c r="L18" s="183"/>
      <c r="M18" s="183" t="s">
        <v>360</v>
      </c>
      <c r="N18" s="183"/>
    </row>
    <row r="19" spans="1:14">
      <c r="A19" s="191" t="s">
        <v>958</v>
      </c>
      <c r="B19" s="386"/>
      <c r="C19" s="386"/>
      <c r="D19" s="375"/>
      <c r="E19" s="191" t="s">
        <v>1350</v>
      </c>
      <c r="F19" s="375"/>
      <c r="G19" s="191" t="s">
        <v>737</v>
      </c>
      <c r="H19" s="375"/>
      <c r="I19" s="191" t="s">
        <v>226</v>
      </c>
      <c r="J19" s="375"/>
      <c r="K19" s="191" t="s">
        <v>830</v>
      </c>
      <c r="L19" s="375"/>
      <c r="M19" s="191" t="s">
        <v>126</v>
      </c>
      <c r="N19" s="375"/>
    </row>
    <row r="20" spans="1:14" ht="24.95" customHeight="1">
      <c r="A20" s="387" t="s">
        <v>853</v>
      </c>
      <c r="B20" s="388"/>
      <c r="C20" s="388"/>
      <c r="D20" s="389"/>
      <c r="E20" s="381"/>
      <c r="F20" s="382"/>
      <c r="G20" s="381"/>
      <c r="H20" s="382"/>
      <c r="I20" s="381"/>
      <c r="J20" s="382"/>
      <c r="K20" s="381"/>
      <c r="L20" s="382"/>
      <c r="M20" s="381"/>
      <c r="N20" s="382"/>
    </row>
    <row r="21" spans="1:14">
      <c r="A21" s="383" t="s">
        <v>714</v>
      </c>
      <c r="B21" s="384"/>
      <c r="C21" s="384"/>
      <c r="D21" s="385"/>
      <c r="E21" s="364"/>
      <c r="F21" s="366"/>
      <c r="G21" s="364"/>
      <c r="H21" s="366"/>
      <c r="I21" s="364"/>
      <c r="J21" s="366"/>
      <c r="K21" s="364"/>
      <c r="L21" s="366"/>
      <c r="M21" s="364"/>
      <c r="N21" s="366"/>
    </row>
    <row r="22" spans="1:14">
      <c r="A22" s="383" t="s">
        <v>256</v>
      </c>
      <c r="B22" s="384"/>
      <c r="C22" s="384"/>
      <c r="D22" s="385"/>
      <c r="E22" s="364"/>
      <c r="F22" s="366"/>
      <c r="G22" s="364"/>
      <c r="H22" s="366"/>
      <c r="I22" s="364"/>
      <c r="J22" s="366"/>
      <c r="K22" s="364"/>
      <c r="L22" s="366"/>
      <c r="M22" s="364"/>
      <c r="N22" s="366"/>
    </row>
    <row r="23" spans="1:14">
      <c r="A23" s="261" t="s">
        <v>461</v>
      </c>
      <c r="B23" s="359"/>
      <c r="C23" s="359"/>
      <c r="D23" s="360"/>
      <c r="E23" s="379">
        <f>SUM(E20:F22)</f>
        <v>0</v>
      </c>
      <c r="F23" s="380"/>
      <c r="G23" s="379">
        <f>SUM(G20:H22)</f>
        <v>0</v>
      </c>
      <c r="H23" s="380"/>
      <c r="I23" s="379">
        <f>SUM(I20:J22)</f>
        <v>0</v>
      </c>
      <c r="J23" s="380"/>
      <c r="K23" s="379">
        <f>SUM(K20:L22)</f>
        <v>0</v>
      </c>
      <c r="L23" s="380"/>
      <c r="M23" s="379">
        <f>SUM(M20:N22)</f>
        <v>0</v>
      </c>
      <c r="N23" s="380"/>
    </row>
    <row r="24" spans="1:14">
      <c r="A24" s="383" t="s">
        <v>622</v>
      </c>
      <c r="B24" s="384"/>
      <c r="C24" s="384"/>
      <c r="D24" s="385"/>
      <c r="E24" s="377" t="s">
        <v>623</v>
      </c>
      <c r="F24" s="378"/>
      <c r="G24" s="377" t="s">
        <v>623</v>
      </c>
      <c r="H24" s="378"/>
      <c r="I24" s="377" t="s">
        <v>623</v>
      </c>
      <c r="J24" s="378"/>
      <c r="K24" s="364"/>
      <c r="L24" s="366"/>
      <c r="M24" s="364"/>
      <c r="N24" s="366"/>
    </row>
    <row r="25" spans="1:14">
      <c r="A25" s="383" t="s">
        <v>403</v>
      </c>
      <c r="B25" s="384"/>
      <c r="C25" s="384"/>
      <c r="D25" s="385"/>
      <c r="E25" s="377" t="s">
        <v>623</v>
      </c>
      <c r="F25" s="378"/>
      <c r="G25" s="377" t="s">
        <v>623</v>
      </c>
      <c r="H25" s="378"/>
      <c r="I25" s="377" t="s">
        <v>623</v>
      </c>
      <c r="J25" s="378"/>
      <c r="K25" s="364"/>
      <c r="L25" s="366"/>
      <c r="M25" s="364"/>
      <c r="N25" s="366"/>
    </row>
    <row r="26" spans="1:14">
      <c r="A26" s="383" t="s">
        <v>566</v>
      </c>
      <c r="B26" s="384"/>
      <c r="C26" s="384"/>
      <c r="D26" s="385"/>
      <c r="E26" s="377" t="s">
        <v>623</v>
      </c>
      <c r="F26" s="378"/>
      <c r="G26" s="377" t="s">
        <v>623</v>
      </c>
      <c r="H26" s="378"/>
      <c r="I26" s="377" t="s">
        <v>623</v>
      </c>
      <c r="J26" s="378"/>
      <c r="K26" s="364"/>
      <c r="L26" s="366"/>
      <c r="M26" s="364"/>
      <c r="N26" s="366"/>
    </row>
    <row r="27" spans="1:14">
      <c r="A27" s="383" t="s">
        <v>423</v>
      </c>
      <c r="B27" s="384"/>
      <c r="C27" s="384"/>
      <c r="D27" s="385"/>
      <c r="E27" s="377" t="s">
        <v>623</v>
      </c>
      <c r="F27" s="378"/>
      <c r="G27" s="377" t="s">
        <v>623</v>
      </c>
      <c r="H27" s="378"/>
      <c r="I27" s="377" t="s">
        <v>623</v>
      </c>
      <c r="J27" s="378"/>
      <c r="K27" s="364"/>
      <c r="L27" s="366"/>
      <c r="M27" s="364"/>
      <c r="N27" s="366"/>
    </row>
    <row r="28" spans="1:14" ht="39.950000000000003" customHeight="1">
      <c r="A28" s="390" t="s">
        <v>924</v>
      </c>
      <c r="B28" s="391"/>
      <c r="C28" s="391"/>
      <c r="D28" s="392"/>
      <c r="E28" s="181" t="s">
        <v>623</v>
      </c>
      <c r="F28" s="181"/>
      <c r="G28" s="181" t="s">
        <v>623</v>
      </c>
      <c r="H28" s="181"/>
      <c r="I28" s="181" t="s">
        <v>623</v>
      </c>
      <c r="J28" s="181"/>
      <c r="K28" s="304">
        <f>SUM(K23:L24)</f>
        <v>0</v>
      </c>
      <c r="L28" s="304"/>
      <c r="M28" s="304">
        <f>SUM(M23:N24)</f>
        <v>0</v>
      </c>
      <c r="N28" s="304"/>
    </row>
    <row r="43" spans="1:14" ht="15.75" customHeight="1">
      <c r="A43" s="303" t="s">
        <v>528</v>
      </c>
      <c r="B43" s="303"/>
      <c r="C43" s="303"/>
      <c r="D43" s="303"/>
      <c r="E43" s="303"/>
      <c r="F43" s="303"/>
      <c r="G43" s="303"/>
      <c r="H43" s="303"/>
      <c r="I43" s="303"/>
      <c r="J43" s="303"/>
      <c r="K43" s="303"/>
      <c r="L43" s="303"/>
      <c r="M43" s="303"/>
      <c r="N43" s="303"/>
    </row>
    <row r="44" spans="1:14">
      <c r="A44" s="303"/>
      <c r="B44" s="303"/>
      <c r="C44" s="303"/>
      <c r="D44" s="303"/>
      <c r="E44" s="303"/>
      <c r="F44" s="303"/>
      <c r="G44" s="303"/>
      <c r="H44" s="303"/>
      <c r="I44" s="303"/>
      <c r="J44" s="303"/>
      <c r="K44" s="303"/>
      <c r="L44" s="303"/>
      <c r="M44" s="303"/>
      <c r="N44" s="303"/>
    </row>
    <row r="46" spans="1:14" ht="24.95" customHeight="1">
      <c r="A46" s="308" t="s">
        <v>288</v>
      </c>
      <c r="B46" s="309"/>
      <c r="C46" s="309"/>
      <c r="D46" s="309"/>
      <c r="E46" s="309"/>
      <c r="F46" s="310"/>
      <c r="G46" s="199" t="s">
        <v>332</v>
      </c>
      <c r="H46" s="199"/>
      <c r="I46" s="199"/>
      <c r="J46" s="199"/>
      <c r="K46" s="199" t="s">
        <v>360</v>
      </c>
      <c r="L46" s="199"/>
      <c r="M46" s="199"/>
      <c r="N46" s="199"/>
    </row>
    <row r="47" spans="1:14" ht="15" customHeight="1">
      <c r="A47" s="341" t="s">
        <v>834</v>
      </c>
      <c r="B47" s="341"/>
      <c r="C47" s="341"/>
      <c r="D47" s="341"/>
      <c r="E47" s="341"/>
      <c r="F47" s="341"/>
      <c r="G47" s="341"/>
      <c r="H47" s="341"/>
      <c r="I47" s="341"/>
      <c r="J47" s="341"/>
      <c r="K47" s="184"/>
      <c r="L47" s="184"/>
      <c r="M47" s="184"/>
      <c r="N47" s="184"/>
    </row>
    <row r="48" spans="1:14">
      <c r="A48" s="338"/>
      <c r="B48" s="338"/>
      <c r="C48" s="338"/>
      <c r="D48" s="338"/>
      <c r="E48" s="338"/>
      <c r="F48" s="338"/>
      <c r="G48" s="339"/>
      <c r="H48" s="339"/>
      <c r="I48" s="339"/>
      <c r="J48" s="339"/>
      <c r="K48" s="339"/>
      <c r="L48" s="339"/>
      <c r="M48" s="339"/>
      <c r="N48" s="339"/>
    </row>
    <row r="49" spans="1:14">
      <c r="A49" s="338"/>
      <c r="B49" s="338"/>
      <c r="C49" s="338"/>
      <c r="D49" s="338"/>
      <c r="E49" s="338"/>
      <c r="F49" s="338"/>
      <c r="G49" s="339"/>
      <c r="H49" s="339"/>
      <c r="I49" s="339"/>
      <c r="J49" s="339"/>
      <c r="K49" s="339"/>
      <c r="L49" s="339"/>
      <c r="M49" s="339"/>
      <c r="N49" s="339"/>
    </row>
    <row r="50" spans="1:14" ht="24.95" customHeight="1">
      <c r="A50" s="339" t="s">
        <v>1</v>
      </c>
      <c r="B50" s="339"/>
      <c r="C50" s="339"/>
      <c r="D50" s="339"/>
      <c r="E50" s="339"/>
      <c r="F50" s="339"/>
      <c r="G50" s="338">
        <v>630</v>
      </c>
      <c r="H50" s="338"/>
      <c r="I50" s="338"/>
      <c r="J50" s="338"/>
      <c r="K50" s="97" t="s">
        <v>1363</v>
      </c>
      <c r="L50" s="180"/>
      <c r="M50" s="180"/>
      <c r="N50" s="180"/>
    </row>
    <row r="51" spans="1:14">
      <c r="A51" s="338"/>
      <c r="B51" s="338"/>
      <c r="C51" s="338"/>
      <c r="D51" s="338"/>
      <c r="E51" s="338"/>
      <c r="F51" s="338"/>
      <c r="G51" s="339"/>
      <c r="H51" s="339"/>
      <c r="I51" s="339"/>
      <c r="J51" s="339"/>
      <c r="K51" s="339"/>
      <c r="L51" s="339"/>
      <c r="M51" s="339"/>
      <c r="N51" s="339"/>
    </row>
    <row r="52" spans="1:14">
      <c r="A52" s="338"/>
      <c r="B52" s="338"/>
      <c r="C52" s="338"/>
      <c r="D52" s="338"/>
      <c r="E52" s="338"/>
      <c r="F52" s="338"/>
      <c r="G52" s="339"/>
      <c r="H52" s="339"/>
      <c r="I52" s="339"/>
      <c r="J52" s="339"/>
      <c r="K52" s="339"/>
      <c r="L52" s="339"/>
      <c r="M52" s="339"/>
      <c r="N52" s="339"/>
    </row>
    <row r="53" spans="1:14">
      <c r="A53" s="338"/>
      <c r="B53" s="338"/>
      <c r="C53" s="338"/>
      <c r="D53" s="338"/>
      <c r="E53" s="338"/>
      <c r="F53" s="338"/>
      <c r="G53" s="339"/>
      <c r="H53" s="339"/>
      <c r="I53" s="339"/>
      <c r="J53" s="339"/>
      <c r="K53" s="339"/>
      <c r="L53" s="339"/>
      <c r="M53" s="339"/>
      <c r="N53" s="339"/>
    </row>
    <row r="54" spans="1:14">
      <c r="A54" s="339" t="s">
        <v>653</v>
      </c>
      <c r="B54" s="339"/>
      <c r="C54" s="339"/>
      <c r="D54" s="339"/>
      <c r="E54" s="339"/>
      <c r="F54" s="339"/>
      <c r="G54" s="338">
        <v>386</v>
      </c>
      <c r="H54" s="338"/>
      <c r="I54" s="338"/>
      <c r="J54" s="338"/>
      <c r="K54" s="180">
        <v>0</v>
      </c>
      <c r="L54" s="180"/>
      <c r="M54" s="180"/>
      <c r="N54" s="180"/>
    </row>
    <row r="55" spans="1:14">
      <c r="A55" s="338" t="s">
        <v>67</v>
      </c>
      <c r="B55" s="338"/>
      <c r="C55" s="338"/>
      <c r="D55" s="338"/>
      <c r="E55" s="338"/>
      <c r="F55" s="338"/>
      <c r="G55" s="342" t="s">
        <v>1363</v>
      </c>
      <c r="H55" s="339"/>
      <c r="I55" s="339"/>
      <c r="J55" s="339"/>
      <c r="K55" s="342" t="s">
        <v>1363</v>
      </c>
      <c r="L55" s="339"/>
      <c r="M55" s="339"/>
      <c r="N55" s="339"/>
    </row>
    <row r="56" spans="1:14" ht="24.95" customHeight="1">
      <c r="A56" s="338" t="s">
        <v>147</v>
      </c>
      <c r="B56" s="338"/>
      <c r="C56" s="338"/>
      <c r="D56" s="338"/>
      <c r="E56" s="338"/>
      <c r="F56" s="338"/>
      <c r="G56" s="339"/>
      <c r="H56" s="339"/>
      <c r="I56" s="339"/>
      <c r="J56" s="339"/>
      <c r="K56" s="339"/>
      <c r="L56" s="339"/>
      <c r="M56" s="339"/>
      <c r="N56" s="339"/>
    </row>
    <row r="57" spans="1:14" ht="24.95" customHeight="1">
      <c r="A57" s="338" t="s">
        <v>947</v>
      </c>
      <c r="B57" s="338"/>
      <c r="C57" s="338"/>
      <c r="D57" s="338"/>
      <c r="E57" s="338"/>
      <c r="F57" s="338"/>
      <c r="G57" s="342" t="s">
        <v>1363</v>
      </c>
      <c r="H57" s="339"/>
      <c r="I57" s="339"/>
      <c r="J57" s="339"/>
      <c r="K57" s="339">
        <v>9256</v>
      </c>
      <c r="L57" s="339"/>
      <c r="M57" s="339"/>
      <c r="N57" s="339"/>
    </row>
    <row r="58" spans="1:14">
      <c r="A58" s="338"/>
      <c r="B58" s="338"/>
      <c r="C58" s="338"/>
      <c r="D58" s="338"/>
      <c r="E58" s="338"/>
      <c r="F58" s="338"/>
      <c r="G58" s="339"/>
      <c r="H58" s="339"/>
      <c r="I58" s="339"/>
      <c r="J58" s="339"/>
      <c r="K58" s="339"/>
      <c r="L58" s="339"/>
      <c r="M58" s="339"/>
      <c r="N58" s="339"/>
    </row>
    <row r="59" spans="1:14">
      <c r="A59" s="338"/>
      <c r="B59" s="338"/>
      <c r="C59" s="338"/>
      <c r="D59" s="338"/>
      <c r="E59" s="338"/>
      <c r="F59" s="338"/>
      <c r="G59" s="339"/>
      <c r="H59" s="339"/>
      <c r="I59" s="339"/>
      <c r="J59" s="339"/>
      <c r="K59" s="339"/>
      <c r="L59" s="339"/>
      <c r="M59" s="339"/>
      <c r="N59" s="339"/>
    </row>
    <row r="60" spans="1:14">
      <c r="A60" s="338"/>
      <c r="B60" s="338"/>
      <c r="C60" s="338"/>
      <c r="D60" s="338"/>
      <c r="E60" s="338"/>
      <c r="F60" s="338"/>
      <c r="G60" s="339"/>
      <c r="H60" s="339"/>
      <c r="I60" s="339"/>
      <c r="J60" s="339"/>
      <c r="K60" s="339"/>
      <c r="L60" s="339"/>
      <c r="M60" s="339"/>
      <c r="N60" s="339"/>
    </row>
    <row r="61" spans="1:14">
      <c r="A61" s="339" t="s">
        <v>239</v>
      </c>
      <c r="B61" s="339"/>
      <c r="C61" s="339"/>
      <c r="D61" s="339"/>
      <c r="E61" s="339"/>
      <c r="F61" s="339"/>
      <c r="G61" s="339"/>
      <c r="H61" s="339"/>
      <c r="I61" s="339"/>
      <c r="J61" s="339"/>
      <c r="K61" s="339"/>
      <c r="L61" s="339"/>
      <c r="M61" s="339"/>
      <c r="N61" s="339"/>
    </row>
    <row r="62" spans="1:14">
      <c r="A62" s="338"/>
      <c r="B62" s="338"/>
      <c r="C62" s="338"/>
      <c r="D62" s="338"/>
      <c r="E62" s="338"/>
      <c r="F62" s="338"/>
      <c r="G62" s="339"/>
      <c r="H62" s="339"/>
      <c r="I62" s="339"/>
      <c r="J62" s="339"/>
      <c r="K62" s="339"/>
      <c r="L62" s="339"/>
      <c r="M62" s="339"/>
      <c r="N62" s="339"/>
    </row>
    <row r="63" spans="1:14">
      <c r="A63" s="338"/>
      <c r="B63" s="338"/>
      <c r="C63" s="338"/>
      <c r="D63" s="338"/>
      <c r="E63" s="338"/>
      <c r="F63" s="338"/>
      <c r="G63" s="339"/>
      <c r="H63" s="339"/>
      <c r="I63" s="339"/>
      <c r="J63" s="339"/>
      <c r="K63" s="339"/>
      <c r="L63" s="339"/>
      <c r="M63" s="339"/>
      <c r="N63" s="339"/>
    </row>
    <row r="65" spans="1:14" ht="15.75" customHeight="1">
      <c r="A65" s="133" t="s">
        <v>1341</v>
      </c>
      <c r="B65" s="133"/>
      <c r="C65" s="133"/>
      <c r="D65" s="133"/>
      <c r="E65" s="133"/>
      <c r="F65" s="133"/>
      <c r="G65" s="133"/>
      <c r="H65" s="133"/>
      <c r="I65" s="133"/>
      <c r="J65" s="133"/>
      <c r="K65" s="133"/>
      <c r="L65" s="133"/>
      <c r="M65" s="133"/>
      <c r="N65" s="133"/>
    </row>
    <row r="66" spans="1:14" ht="15.75" customHeight="1">
      <c r="A66" s="133"/>
      <c r="B66" s="133"/>
      <c r="C66" s="133"/>
      <c r="D66" s="133"/>
      <c r="E66" s="133"/>
      <c r="F66" s="133"/>
      <c r="G66" s="133"/>
      <c r="H66" s="133"/>
      <c r="I66" s="133"/>
      <c r="J66" s="133"/>
      <c r="K66" s="133"/>
      <c r="L66" s="133"/>
      <c r="M66" s="133"/>
      <c r="N66" s="133"/>
    </row>
    <row r="67" spans="1:14" ht="15.75" customHeight="1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</row>
    <row r="68" spans="1:14" ht="35.1" customHeight="1">
      <c r="A68" s="158" t="s">
        <v>1130</v>
      </c>
      <c r="B68" s="158"/>
      <c r="C68" s="158"/>
      <c r="D68" s="158"/>
      <c r="E68" s="158"/>
      <c r="F68" s="158" t="s">
        <v>1051</v>
      </c>
      <c r="G68" s="158"/>
      <c r="H68" s="158"/>
      <c r="I68" s="158" t="s">
        <v>332</v>
      </c>
      <c r="J68" s="158"/>
      <c r="K68" s="158"/>
      <c r="L68" s="158" t="s">
        <v>360</v>
      </c>
      <c r="M68" s="158"/>
      <c r="N68" s="158"/>
    </row>
    <row r="69" spans="1:14" ht="15.75" customHeight="1">
      <c r="A69" s="397" t="s">
        <v>1363</v>
      </c>
      <c r="B69" s="397"/>
      <c r="C69" s="397"/>
      <c r="D69" s="397"/>
      <c r="E69" s="397"/>
      <c r="F69" s="394"/>
      <c r="G69" s="394"/>
      <c r="H69" s="394"/>
      <c r="I69" s="393"/>
      <c r="J69" s="393"/>
      <c r="K69" s="393"/>
      <c r="L69" s="393"/>
      <c r="M69" s="393"/>
      <c r="N69" s="393"/>
    </row>
    <row r="70" spans="1:14" ht="15.75" customHeight="1">
      <c r="A70" s="396"/>
      <c r="B70" s="396"/>
      <c r="C70" s="396"/>
      <c r="D70" s="396"/>
      <c r="E70" s="396"/>
      <c r="F70" s="135"/>
      <c r="G70" s="135"/>
      <c r="H70" s="135"/>
      <c r="I70" s="395"/>
      <c r="J70" s="395"/>
      <c r="K70" s="395"/>
      <c r="L70" s="395"/>
      <c r="M70" s="395"/>
      <c r="N70" s="395"/>
    </row>
    <row r="71" spans="1:14" ht="15.75" customHeight="1">
      <c r="A71" s="396"/>
      <c r="B71" s="396"/>
      <c r="C71" s="396"/>
      <c r="D71" s="396"/>
      <c r="E71" s="396"/>
      <c r="F71" s="135"/>
      <c r="G71" s="135"/>
      <c r="H71" s="135"/>
      <c r="I71" s="395"/>
      <c r="J71" s="395"/>
      <c r="K71" s="395"/>
      <c r="L71" s="395"/>
      <c r="M71" s="395"/>
      <c r="N71" s="395"/>
    </row>
    <row r="72" spans="1:14" ht="15.75" customHeight="1">
      <c r="A72" s="396"/>
      <c r="B72" s="396"/>
      <c r="C72" s="396"/>
      <c r="D72" s="396"/>
      <c r="E72" s="396"/>
      <c r="F72" s="135"/>
      <c r="G72" s="135"/>
      <c r="H72" s="135"/>
      <c r="I72" s="395"/>
      <c r="J72" s="395"/>
      <c r="K72" s="395"/>
      <c r="L72" s="395"/>
      <c r="M72" s="395"/>
      <c r="N72" s="395"/>
    </row>
    <row r="73" spans="1:14" ht="15.75" customHeight="1">
      <c r="A73" s="396"/>
      <c r="B73" s="396"/>
      <c r="C73" s="396"/>
      <c r="D73" s="396"/>
      <c r="E73" s="396"/>
      <c r="F73" s="135"/>
      <c r="G73" s="135"/>
      <c r="H73" s="135"/>
      <c r="I73" s="395"/>
      <c r="J73" s="395"/>
      <c r="K73" s="395"/>
      <c r="L73" s="395"/>
      <c r="M73" s="395"/>
      <c r="N73" s="395"/>
    </row>
    <row r="74" spans="1:14" ht="15.75" customHeight="1">
      <c r="A74" s="396"/>
      <c r="B74" s="396"/>
      <c r="C74" s="396"/>
      <c r="D74" s="396"/>
      <c r="E74" s="396"/>
      <c r="F74" s="135"/>
      <c r="G74" s="135"/>
      <c r="H74" s="135"/>
      <c r="I74" s="395"/>
      <c r="J74" s="395"/>
      <c r="K74" s="395"/>
      <c r="L74" s="395"/>
      <c r="M74" s="395"/>
      <c r="N74" s="395"/>
    </row>
    <row r="75" spans="1:14" ht="15.75" customHeight="1">
      <c r="A75" s="396" t="s">
        <v>461</v>
      </c>
      <c r="B75" s="396"/>
      <c r="C75" s="396"/>
      <c r="D75" s="396"/>
      <c r="E75" s="396"/>
      <c r="F75" s="135"/>
      <c r="G75" s="135"/>
      <c r="H75" s="135"/>
      <c r="I75" s="395">
        <f>SUM(I69:K74)</f>
        <v>0</v>
      </c>
      <c r="J75" s="395"/>
      <c r="K75" s="395"/>
      <c r="L75" s="395">
        <f>SUM(L69:N74)</f>
        <v>0</v>
      </c>
      <c r="M75" s="395"/>
      <c r="N75" s="395"/>
    </row>
    <row r="77" spans="1:14" ht="15" customHeight="1">
      <c r="A77" s="133" t="s">
        <v>1174</v>
      </c>
      <c r="B77" s="133"/>
      <c r="C77" s="133"/>
      <c r="D77" s="133"/>
      <c r="E77" s="133"/>
      <c r="F77" s="133"/>
      <c r="G77" s="133"/>
      <c r="H77" s="133"/>
      <c r="I77" s="133"/>
      <c r="J77" s="133"/>
      <c r="K77" s="133"/>
      <c r="L77" s="133"/>
      <c r="M77" s="133"/>
      <c r="N77" s="133"/>
    </row>
    <row r="79" spans="1:14" ht="24.95" customHeight="1">
      <c r="A79" s="308" t="s">
        <v>288</v>
      </c>
      <c r="B79" s="309"/>
      <c r="C79" s="309"/>
      <c r="D79" s="309"/>
      <c r="E79" s="309"/>
      <c r="F79" s="310"/>
      <c r="G79" s="199" t="s">
        <v>332</v>
      </c>
      <c r="H79" s="199"/>
      <c r="I79" s="199"/>
      <c r="J79" s="199"/>
      <c r="K79" s="199" t="s">
        <v>360</v>
      </c>
      <c r="L79" s="199"/>
      <c r="M79" s="199"/>
      <c r="N79" s="199"/>
    </row>
    <row r="80" spans="1:14">
      <c r="A80" s="335" t="s">
        <v>803</v>
      </c>
      <c r="B80" s="335"/>
      <c r="C80" s="335"/>
      <c r="D80" s="335"/>
      <c r="E80" s="335"/>
      <c r="F80" s="335"/>
      <c r="G80" s="343" t="s">
        <v>1363</v>
      </c>
      <c r="H80" s="341"/>
      <c r="I80" s="341"/>
      <c r="J80" s="341"/>
      <c r="K80" s="184"/>
      <c r="L80" s="184"/>
      <c r="M80" s="184"/>
      <c r="N80" s="184"/>
    </row>
    <row r="81" spans="1:14">
      <c r="A81" s="338" t="s">
        <v>238</v>
      </c>
      <c r="B81" s="338"/>
      <c r="C81" s="338"/>
      <c r="D81" s="338"/>
      <c r="E81" s="338"/>
      <c r="F81" s="338"/>
      <c r="G81" s="339">
        <v>384</v>
      </c>
      <c r="H81" s="339"/>
      <c r="I81" s="339"/>
      <c r="J81" s="339"/>
      <c r="K81" s="342" t="s">
        <v>1363</v>
      </c>
      <c r="L81" s="339"/>
      <c r="M81" s="339"/>
      <c r="N81" s="339"/>
    </row>
    <row r="82" spans="1:14">
      <c r="A82" s="338" t="s">
        <v>539</v>
      </c>
      <c r="B82" s="338"/>
      <c r="C82" s="338"/>
      <c r="D82" s="338"/>
      <c r="E82" s="338"/>
      <c r="F82" s="338"/>
      <c r="G82" s="339">
        <v>1769509</v>
      </c>
      <c r="H82" s="339"/>
      <c r="I82" s="339"/>
      <c r="J82" s="339"/>
      <c r="K82" s="342">
        <v>2114592</v>
      </c>
      <c r="L82" s="339"/>
      <c r="M82" s="339"/>
      <c r="N82" s="339"/>
    </row>
    <row r="83" spans="1:14">
      <c r="A83" s="338" t="s">
        <v>973</v>
      </c>
      <c r="B83" s="338"/>
      <c r="C83" s="338"/>
      <c r="D83" s="338"/>
      <c r="E83" s="338"/>
      <c r="F83" s="338"/>
      <c r="G83" s="338"/>
      <c r="H83" s="338"/>
      <c r="I83" s="338"/>
      <c r="J83" s="338"/>
      <c r="K83" s="180"/>
      <c r="L83" s="180"/>
      <c r="M83" s="180"/>
      <c r="N83" s="180"/>
    </row>
    <row r="84" spans="1:14">
      <c r="A84" s="338" t="s">
        <v>1173</v>
      </c>
      <c r="B84" s="338"/>
      <c r="C84" s="338"/>
      <c r="D84" s="338"/>
      <c r="E84" s="338"/>
      <c r="F84" s="338"/>
      <c r="G84" s="342" t="s">
        <v>1363</v>
      </c>
      <c r="H84" s="339"/>
      <c r="I84" s="339"/>
      <c r="J84" s="339"/>
      <c r="K84" s="342" t="s">
        <v>1363</v>
      </c>
      <c r="L84" s="339"/>
      <c r="M84" s="339"/>
      <c r="N84" s="339"/>
    </row>
    <row r="85" spans="1:14">
      <c r="A85" s="338" t="s">
        <v>1233</v>
      </c>
      <c r="B85" s="338"/>
      <c r="C85" s="338"/>
      <c r="D85" s="338"/>
      <c r="E85" s="338"/>
      <c r="F85" s="338"/>
      <c r="G85" s="339">
        <v>1013</v>
      </c>
      <c r="H85" s="339"/>
      <c r="I85" s="339"/>
      <c r="J85" s="339"/>
      <c r="K85" s="342" t="s">
        <v>1363</v>
      </c>
      <c r="L85" s="339"/>
      <c r="M85" s="339"/>
      <c r="N85" s="339"/>
    </row>
    <row r="86" spans="1:14">
      <c r="A86" s="339" t="s">
        <v>317</v>
      </c>
      <c r="B86" s="339"/>
      <c r="C86" s="339"/>
      <c r="D86" s="339"/>
      <c r="E86" s="339"/>
      <c r="F86" s="339"/>
      <c r="G86" s="339">
        <f>SUM(G80:J85)</f>
        <v>1770906</v>
      </c>
      <c r="H86" s="339"/>
      <c r="I86" s="339"/>
      <c r="J86" s="339"/>
      <c r="K86" s="339">
        <f>SUM(K80:N85)</f>
        <v>2114592</v>
      </c>
      <c r="L86" s="339"/>
      <c r="M86" s="339"/>
      <c r="N86" s="339"/>
    </row>
  </sheetData>
  <mergeCells count="237">
    <mergeCell ref="I74:K74"/>
    <mergeCell ref="L74:N74"/>
    <mergeCell ref="A75:E75"/>
    <mergeCell ref="F75:H75"/>
    <mergeCell ref="I75:K75"/>
    <mergeCell ref="L75:N75"/>
    <mergeCell ref="A69:E69"/>
    <mergeCell ref="A72:E72"/>
    <mergeCell ref="F72:H72"/>
    <mergeCell ref="I72:K72"/>
    <mergeCell ref="F70:H70"/>
    <mergeCell ref="I70:K70"/>
    <mergeCell ref="F71:H71"/>
    <mergeCell ref="I71:K71"/>
    <mergeCell ref="A86:F86"/>
    <mergeCell ref="G86:J86"/>
    <mergeCell ref="K86:N86"/>
    <mergeCell ref="A77:N77"/>
    <mergeCell ref="A85:F85"/>
    <mergeCell ref="G85:J85"/>
    <mergeCell ref="K85:N85"/>
    <mergeCell ref="A83:F83"/>
    <mergeCell ref="K83:N83"/>
    <mergeCell ref="A80:F80"/>
    <mergeCell ref="L68:N68"/>
    <mergeCell ref="I68:K68"/>
    <mergeCell ref="F68:H68"/>
    <mergeCell ref="A68:E68"/>
    <mergeCell ref="G80:J80"/>
    <mergeCell ref="K80:N80"/>
    <mergeCell ref="L71:N71"/>
    <mergeCell ref="A70:E70"/>
    <mergeCell ref="A79:F79"/>
    <mergeCell ref="L73:N73"/>
    <mergeCell ref="A84:F84"/>
    <mergeCell ref="G84:J84"/>
    <mergeCell ref="K84:N84"/>
    <mergeCell ref="A81:F81"/>
    <mergeCell ref="G81:J81"/>
    <mergeCell ref="K81:N81"/>
    <mergeCell ref="A82:F82"/>
    <mergeCell ref="G82:J82"/>
    <mergeCell ref="K82:N82"/>
    <mergeCell ref="G83:J83"/>
    <mergeCell ref="G79:J79"/>
    <mergeCell ref="K79:N79"/>
    <mergeCell ref="L70:N70"/>
    <mergeCell ref="A71:E71"/>
    <mergeCell ref="L72:N72"/>
    <mergeCell ref="F73:H73"/>
    <mergeCell ref="I73:K73"/>
    <mergeCell ref="A73:E73"/>
    <mergeCell ref="A74:E74"/>
    <mergeCell ref="F74:H74"/>
    <mergeCell ref="A62:F62"/>
    <mergeCell ref="G62:J62"/>
    <mergeCell ref="K62:N62"/>
    <mergeCell ref="L69:N69"/>
    <mergeCell ref="F69:H69"/>
    <mergeCell ref="I69:K69"/>
    <mergeCell ref="A63:F63"/>
    <mergeCell ref="G63:J63"/>
    <mergeCell ref="K63:N63"/>
    <mergeCell ref="A65:N66"/>
    <mergeCell ref="A51:F51"/>
    <mergeCell ref="G51:J51"/>
    <mergeCell ref="A54:F54"/>
    <mergeCell ref="G54:J54"/>
    <mergeCell ref="K60:N60"/>
    <mergeCell ref="A57:F57"/>
    <mergeCell ref="G57:J57"/>
    <mergeCell ref="K57:N57"/>
    <mergeCell ref="A58:F58"/>
    <mergeCell ref="G58:J58"/>
    <mergeCell ref="A60:F60"/>
    <mergeCell ref="G60:J60"/>
    <mergeCell ref="K58:N58"/>
    <mergeCell ref="A59:F59"/>
    <mergeCell ref="G59:J59"/>
    <mergeCell ref="K59:N59"/>
    <mergeCell ref="K54:N54"/>
    <mergeCell ref="A61:F61"/>
    <mergeCell ref="G61:J61"/>
    <mergeCell ref="K61:N61"/>
    <mergeCell ref="A55:F55"/>
    <mergeCell ref="G55:J55"/>
    <mergeCell ref="K55:N55"/>
    <mergeCell ref="A56:F56"/>
    <mergeCell ref="G56:J56"/>
    <mergeCell ref="K56:N56"/>
    <mergeCell ref="K50:N50"/>
    <mergeCell ref="A53:F53"/>
    <mergeCell ref="G53:J53"/>
    <mergeCell ref="K53:N53"/>
    <mergeCell ref="K51:N51"/>
    <mergeCell ref="A52:F52"/>
    <mergeCell ref="G52:J52"/>
    <mergeCell ref="K52:N52"/>
    <mergeCell ref="A50:F50"/>
    <mergeCell ref="G50:J50"/>
    <mergeCell ref="A47:F47"/>
    <mergeCell ref="G47:J47"/>
    <mergeCell ref="K47:N47"/>
    <mergeCell ref="A49:F49"/>
    <mergeCell ref="G49:J49"/>
    <mergeCell ref="K49:N49"/>
    <mergeCell ref="A48:F48"/>
    <mergeCell ref="G48:J48"/>
    <mergeCell ref="K48:N48"/>
    <mergeCell ref="M27:N27"/>
    <mergeCell ref="A43:N44"/>
    <mergeCell ref="G46:J46"/>
    <mergeCell ref="K46:N46"/>
    <mergeCell ref="A46:F46"/>
    <mergeCell ref="A27:D27"/>
    <mergeCell ref="G27:H27"/>
    <mergeCell ref="M28:N28"/>
    <mergeCell ref="K28:L28"/>
    <mergeCell ref="G28:H28"/>
    <mergeCell ref="A19:D19"/>
    <mergeCell ref="A20:D20"/>
    <mergeCell ref="A21:D21"/>
    <mergeCell ref="A22:D22"/>
    <mergeCell ref="A23:D23"/>
    <mergeCell ref="A28:D28"/>
    <mergeCell ref="A24:D24"/>
    <mergeCell ref="E28:F28"/>
    <mergeCell ref="A26:D26"/>
    <mergeCell ref="E26:F26"/>
    <mergeCell ref="E27:F27"/>
    <mergeCell ref="A25:D25"/>
    <mergeCell ref="E25:F25"/>
    <mergeCell ref="I28:J28"/>
    <mergeCell ref="I24:J24"/>
    <mergeCell ref="G26:H26"/>
    <mergeCell ref="K27:L27"/>
    <mergeCell ref="G24:H24"/>
    <mergeCell ref="I26:J26"/>
    <mergeCell ref="I27:J27"/>
    <mergeCell ref="E22:F22"/>
    <mergeCell ref="G22:H22"/>
    <mergeCell ref="K24:L24"/>
    <mergeCell ref="K26:L26"/>
    <mergeCell ref="E23:F23"/>
    <mergeCell ref="G23:H23"/>
    <mergeCell ref="I23:J23"/>
    <mergeCell ref="K23:L23"/>
    <mergeCell ref="E24:F24"/>
    <mergeCell ref="M20:N20"/>
    <mergeCell ref="E21:F21"/>
    <mergeCell ref="G21:H21"/>
    <mergeCell ref="I21:J21"/>
    <mergeCell ref="K21:L21"/>
    <mergeCell ref="M21:N21"/>
    <mergeCell ref="E20:F20"/>
    <mergeCell ref="G20:H20"/>
    <mergeCell ref="I20:J20"/>
    <mergeCell ref="K20:L20"/>
    <mergeCell ref="M24:N24"/>
    <mergeCell ref="G25:H25"/>
    <mergeCell ref="I25:J25"/>
    <mergeCell ref="K25:L25"/>
    <mergeCell ref="M25:N25"/>
    <mergeCell ref="I22:J22"/>
    <mergeCell ref="K22:L22"/>
    <mergeCell ref="M22:N22"/>
    <mergeCell ref="M23:N23"/>
    <mergeCell ref="I19:J19"/>
    <mergeCell ref="K19:L19"/>
    <mergeCell ref="M19:N19"/>
    <mergeCell ref="E18:F18"/>
    <mergeCell ref="G18:H18"/>
    <mergeCell ref="I18:J18"/>
    <mergeCell ref="M11:N11"/>
    <mergeCell ref="A15:N15"/>
    <mergeCell ref="G17:J17"/>
    <mergeCell ref="K17:N17"/>
    <mergeCell ref="A11:B11"/>
    <mergeCell ref="C11:D11"/>
    <mergeCell ref="E11:F11"/>
    <mergeCell ref="M13:N13"/>
    <mergeCell ref="A17:D18"/>
    <mergeCell ref="A13:B13"/>
    <mergeCell ref="K7:L7"/>
    <mergeCell ref="I10:J10"/>
    <mergeCell ref="K10:L10"/>
    <mergeCell ref="K11:L11"/>
    <mergeCell ref="C10:D10"/>
    <mergeCell ref="E10:F10"/>
    <mergeCell ref="G10:H10"/>
    <mergeCell ref="I8:J8"/>
    <mergeCell ref="K8:L8"/>
    <mergeCell ref="K9:L9"/>
    <mergeCell ref="A4:N4"/>
    <mergeCell ref="A2:N2"/>
    <mergeCell ref="C6:F6"/>
    <mergeCell ref="G6:J6"/>
    <mergeCell ref="K6:N6"/>
    <mergeCell ref="A6:B7"/>
    <mergeCell ref="C7:D7"/>
    <mergeCell ref="E7:F7"/>
    <mergeCell ref="G7:H7"/>
    <mergeCell ref="I7:J7"/>
    <mergeCell ref="C13:D13"/>
    <mergeCell ref="E13:F13"/>
    <mergeCell ref="G13:H13"/>
    <mergeCell ref="I13:J13"/>
    <mergeCell ref="K18:L18"/>
    <mergeCell ref="E17:F17"/>
    <mergeCell ref="C9:D9"/>
    <mergeCell ref="E9:F9"/>
    <mergeCell ref="M26:N26"/>
    <mergeCell ref="M18:N18"/>
    <mergeCell ref="E19:F19"/>
    <mergeCell ref="G19:H19"/>
    <mergeCell ref="M10:N10"/>
    <mergeCell ref="K13:L13"/>
    <mergeCell ref="K12:L12"/>
    <mergeCell ref="M12:N12"/>
    <mergeCell ref="M7:N7"/>
    <mergeCell ref="A8:B8"/>
    <mergeCell ref="C8:D8"/>
    <mergeCell ref="E8:F8"/>
    <mergeCell ref="G9:H9"/>
    <mergeCell ref="I9:J9"/>
    <mergeCell ref="M8:N8"/>
    <mergeCell ref="A9:B9"/>
    <mergeCell ref="M9:N9"/>
    <mergeCell ref="G8:H8"/>
    <mergeCell ref="A10:B10"/>
    <mergeCell ref="E12:F12"/>
    <mergeCell ref="G12:H12"/>
    <mergeCell ref="I12:J12"/>
    <mergeCell ref="A12:B12"/>
    <mergeCell ref="C12:D12"/>
    <mergeCell ref="G11:H11"/>
    <mergeCell ref="I11:J11"/>
  </mergeCells>
  <phoneticPr fontId="0" type="noConversion"/>
  <pageMargins left="0.7" right="0.7" top="0.75" bottom="0.75" header="0.3" footer="0.3"/>
  <pageSetup paperSize="9" scale="85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2:N31"/>
  <sheetViews>
    <sheetView topLeftCell="A7" workbookViewId="0">
      <selection activeCell="K29" sqref="K29:N29"/>
    </sheetView>
  </sheetViews>
  <sheetFormatPr defaultRowHeight="15"/>
  <cols>
    <col min="1" max="14" width="6" customWidth="1"/>
  </cols>
  <sheetData>
    <row r="2" spans="1:14" ht="18.75">
      <c r="A2" s="334" t="s">
        <v>755</v>
      </c>
      <c r="B2" s="334"/>
      <c r="C2" s="334"/>
      <c r="D2" s="334"/>
      <c r="E2" s="334"/>
      <c r="F2" s="334"/>
      <c r="G2" s="334"/>
      <c r="H2" s="334"/>
      <c r="I2" s="334"/>
      <c r="J2" s="334"/>
      <c r="K2" s="334"/>
      <c r="L2" s="334"/>
      <c r="M2" s="334"/>
      <c r="N2" s="334"/>
    </row>
    <row r="4" spans="1:14" ht="15.75">
      <c r="A4" s="133" t="s">
        <v>1260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</row>
    <row r="6" spans="1:14" ht="24.95" customHeight="1">
      <c r="A6" s="308" t="s">
        <v>288</v>
      </c>
      <c r="B6" s="309"/>
      <c r="C6" s="309"/>
      <c r="D6" s="309"/>
      <c r="E6" s="309"/>
      <c r="F6" s="310"/>
      <c r="G6" s="199" t="s">
        <v>332</v>
      </c>
      <c r="H6" s="199"/>
      <c r="I6" s="199"/>
      <c r="J6" s="199"/>
      <c r="K6" s="199" t="s">
        <v>360</v>
      </c>
      <c r="L6" s="199"/>
      <c r="M6" s="199"/>
      <c r="N6" s="199"/>
    </row>
    <row r="7" spans="1:14">
      <c r="A7" s="341" t="s">
        <v>1098</v>
      </c>
      <c r="B7" s="341"/>
      <c r="C7" s="341"/>
      <c r="D7" s="341"/>
      <c r="E7" s="341"/>
      <c r="F7" s="341"/>
      <c r="G7" s="341">
        <v>64468</v>
      </c>
      <c r="H7" s="341"/>
      <c r="I7" s="341"/>
      <c r="J7" s="341"/>
      <c r="K7" s="184">
        <v>66464</v>
      </c>
      <c r="L7" s="184"/>
      <c r="M7" s="184"/>
      <c r="N7" s="184"/>
    </row>
    <row r="8" spans="1:14" ht="24.95" customHeight="1">
      <c r="A8" s="338" t="s">
        <v>505</v>
      </c>
      <c r="B8" s="338"/>
      <c r="C8" s="338"/>
      <c r="D8" s="338"/>
      <c r="E8" s="338"/>
      <c r="F8" s="338"/>
      <c r="G8" s="339"/>
      <c r="H8" s="339"/>
      <c r="I8" s="339"/>
      <c r="J8" s="339"/>
      <c r="K8" s="342" t="s">
        <v>1363</v>
      </c>
      <c r="L8" s="339"/>
      <c r="M8" s="339"/>
      <c r="N8" s="339"/>
    </row>
    <row r="9" spans="1:14" ht="24.95" customHeight="1">
      <c r="A9" s="338" t="s">
        <v>1318</v>
      </c>
      <c r="B9" s="338"/>
      <c r="C9" s="338"/>
      <c r="D9" s="338"/>
      <c r="E9" s="338"/>
      <c r="F9" s="338"/>
      <c r="G9" s="339"/>
      <c r="H9" s="339"/>
      <c r="I9" s="339"/>
      <c r="J9" s="339"/>
      <c r="K9" s="339"/>
      <c r="L9" s="339"/>
      <c r="M9" s="339"/>
      <c r="N9" s="339"/>
    </row>
    <row r="10" spans="1:14">
      <c r="A10" s="338" t="s">
        <v>522</v>
      </c>
      <c r="B10" s="338"/>
      <c r="C10" s="338"/>
      <c r="D10" s="338"/>
      <c r="E10" s="338"/>
      <c r="F10" s="338"/>
      <c r="G10" s="338"/>
      <c r="H10" s="338"/>
      <c r="I10" s="338"/>
      <c r="J10" s="338"/>
      <c r="K10" s="180"/>
      <c r="L10" s="180"/>
      <c r="M10" s="180"/>
      <c r="N10" s="180"/>
    </row>
    <row r="11" spans="1:14">
      <c r="A11" s="338" t="s">
        <v>190</v>
      </c>
      <c r="B11" s="338"/>
      <c r="C11" s="338"/>
      <c r="D11" s="338"/>
      <c r="E11" s="338"/>
      <c r="F11" s="338"/>
      <c r="G11" s="339"/>
      <c r="H11" s="339"/>
      <c r="I11" s="339"/>
      <c r="J11" s="339"/>
      <c r="K11" s="339"/>
      <c r="L11" s="339"/>
      <c r="M11" s="339"/>
      <c r="N11" s="339"/>
    </row>
    <row r="12" spans="1:14">
      <c r="A12" s="338" t="s">
        <v>793</v>
      </c>
      <c r="B12" s="338"/>
      <c r="C12" s="338"/>
      <c r="D12" s="338"/>
      <c r="E12" s="338"/>
      <c r="F12" s="338"/>
      <c r="G12" s="339"/>
      <c r="H12" s="339"/>
      <c r="I12" s="339"/>
      <c r="J12" s="339"/>
      <c r="K12" s="339"/>
      <c r="L12" s="339"/>
      <c r="M12" s="339"/>
      <c r="N12" s="339"/>
    </row>
    <row r="13" spans="1:14">
      <c r="A13" s="338" t="s">
        <v>708</v>
      </c>
      <c r="B13" s="338"/>
      <c r="C13" s="338"/>
      <c r="D13" s="338"/>
      <c r="E13" s="338"/>
      <c r="F13" s="338"/>
      <c r="G13" s="338"/>
      <c r="H13" s="338"/>
      <c r="I13" s="338"/>
      <c r="J13" s="338"/>
      <c r="K13" s="180"/>
      <c r="L13" s="180"/>
      <c r="M13" s="180"/>
      <c r="N13" s="180"/>
    </row>
    <row r="14" spans="1:14" ht="24.95" customHeight="1">
      <c r="A14" s="338" t="s">
        <v>316</v>
      </c>
      <c r="B14" s="338"/>
      <c r="C14" s="338"/>
      <c r="D14" s="338"/>
      <c r="E14" s="338"/>
      <c r="F14" s="338"/>
      <c r="G14" s="339"/>
      <c r="H14" s="339"/>
      <c r="I14" s="339"/>
      <c r="J14" s="339"/>
      <c r="K14" s="339"/>
      <c r="L14" s="339"/>
      <c r="M14" s="339"/>
      <c r="N14" s="339"/>
    </row>
    <row r="15" spans="1:14">
      <c r="A15" s="338"/>
      <c r="B15" s="338"/>
      <c r="C15" s="338"/>
      <c r="D15" s="338"/>
      <c r="E15" s="338"/>
      <c r="F15" s="338"/>
      <c r="G15" s="339"/>
      <c r="H15" s="339"/>
      <c r="I15" s="339"/>
      <c r="J15" s="339"/>
      <c r="K15" s="339"/>
      <c r="L15" s="339"/>
      <c r="M15" s="339"/>
      <c r="N15" s="339"/>
    </row>
    <row r="16" spans="1:14">
      <c r="A16" s="338"/>
      <c r="B16" s="338"/>
      <c r="C16" s="338"/>
      <c r="D16" s="338"/>
      <c r="E16" s="338"/>
      <c r="F16" s="338"/>
      <c r="G16" s="339"/>
      <c r="H16" s="339"/>
      <c r="I16" s="339"/>
      <c r="J16" s="339"/>
      <c r="K16" s="339"/>
      <c r="L16" s="339"/>
      <c r="M16" s="339"/>
      <c r="N16" s="339"/>
    </row>
    <row r="17" spans="1:14">
      <c r="A17" s="338"/>
      <c r="B17" s="338"/>
      <c r="C17" s="338"/>
      <c r="D17" s="338"/>
      <c r="E17" s="338"/>
      <c r="F17" s="338"/>
      <c r="G17" s="339"/>
      <c r="H17" s="339"/>
      <c r="I17" s="339"/>
      <c r="J17" s="339"/>
      <c r="K17" s="339"/>
      <c r="L17" s="339"/>
      <c r="M17" s="339"/>
      <c r="N17" s="339"/>
    </row>
    <row r="18" spans="1:14" ht="24.95" customHeight="1">
      <c r="A18" s="339" t="s">
        <v>731</v>
      </c>
      <c r="B18" s="339"/>
      <c r="C18" s="339"/>
      <c r="D18" s="339"/>
      <c r="E18" s="339"/>
      <c r="F18" s="339"/>
      <c r="G18" s="339"/>
      <c r="H18" s="339"/>
      <c r="I18" s="339"/>
      <c r="J18" s="339"/>
      <c r="K18" s="339"/>
      <c r="L18" s="339"/>
      <c r="M18" s="339"/>
      <c r="N18" s="339"/>
    </row>
    <row r="19" spans="1:14">
      <c r="A19" s="121" t="s">
        <v>1374</v>
      </c>
      <c r="B19" s="338"/>
      <c r="C19" s="338"/>
      <c r="D19" s="338"/>
      <c r="E19" s="338"/>
      <c r="F19" s="338"/>
      <c r="G19" s="339">
        <v>1635409</v>
      </c>
      <c r="H19" s="339"/>
      <c r="I19" s="339"/>
      <c r="J19" s="339"/>
      <c r="K19" s="339">
        <v>1830293</v>
      </c>
      <c r="L19" s="339"/>
      <c r="M19" s="339"/>
      <c r="N19" s="339"/>
    </row>
    <row r="20" spans="1:14">
      <c r="A20" s="121" t="s">
        <v>731</v>
      </c>
      <c r="B20" s="338"/>
      <c r="C20" s="338"/>
      <c r="D20" s="338"/>
      <c r="E20" s="338"/>
      <c r="F20" s="338"/>
      <c r="G20" s="339">
        <v>33047</v>
      </c>
      <c r="H20" s="339"/>
      <c r="I20" s="339"/>
      <c r="J20" s="339"/>
      <c r="K20" s="339">
        <v>39126</v>
      </c>
      <c r="L20" s="339"/>
      <c r="M20" s="339"/>
      <c r="N20" s="339"/>
    </row>
    <row r="21" spans="1:14">
      <c r="A21" s="338"/>
      <c r="B21" s="338"/>
      <c r="C21" s="338"/>
      <c r="D21" s="338"/>
      <c r="E21" s="338"/>
      <c r="F21" s="338"/>
      <c r="G21" s="339"/>
      <c r="H21" s="339"/>
      <c r="I21" s="339"/>
      <c r="J21" s="339"/>
      <c r="K21" s="339"/>
      <c r="L21" s="339"/>
      <c r="M21" s="339"/>
      <c r="N21" s="339"/>
    </row>
    <row r="22" spans="1:14">
      <c r="A22" s="338"/>
      <c r="B22" s="338"/>
      <c r="C22" s="338"/>
      <c r="D22" s="338"/>
      <c r="E22" s="338"/>
      <c r="F22" s="338"/>
      <c r="G22" s="339"/>
      <c r="H22" s="339"/>
      <c r="I22" s="339"/>
      <c r="J22" s="339"/>
      <c r="K22" s="339"/>
      <c r="L22" s="339"/>
      <c r="M22" s="339"/>
      <c r="N22" s="339"/>
    </row>
    <row r="23" spans="1:14" ht="15" customHeight="1">
      <c r="A23" s="339" t="s">
        <v>689</v>
      </c>
      <c r="B23" s="339"/>
      <c r="C23" s="339"/>
      <c r="D23" s="339"/>
      <c r="E23" s="339"/>
      <c r="F23" s="339"/>
      <c r="G23" s="339"/>
      <c r="H23" s="339"/>
      <c r="I23" s="339"/>
      <c r="J23" s="339"/>
      <c r="K23" s="339"/>
      <c r="L23" s="339"/>
      <c r="M23" s="339"/>
      <c r="N23" s="339"/>
    </row>
    <row r="24" spans="1:14">
      <c r="A24" s="338" t="s">
        <v>600</v>
      </c>
      <c r="B24" s="338"/>
      <c r="C24" s="338"/>
      <c r="D24" s="338"/>
      <c r="E24" s="338"/>
      <c r="F24" s="338"/>
      <c r="G24" s="339">
        <v>0</v>
      </c>
      <c r="H24" s="339"/>
      <c r="I24" s="339"/>
      <c r="J24" s="339"/>
      <c r="K24" s="342" t="s">
        <v>1363</v>
      </c>
      <c r="L24" s="339"/>
      <c r="M24" s="339"/>
      <c r="N24" s="339"/>
    </row>
    <row r="25" spans="1:14" ht="24.95" customHeight="1">
      <c r="A25" s="338" t="s">
        <v>341</v>
      </c>
      <c r="B25" s="338"/>
      <c r="C25" s="338"/>
      <c r="D25" s="338"/>
      <c r="E25" s="338"/>
      <c r="F25" s="338"/>
      <c r="G25" s="339"/>
      <c r="H25" s="339"/>
      <c r="I25" s="339"/>
      <c r="J25" s="339"/>
      <c r="K25" s="339"/>
      <c r="L25" s="339"/>
      <c r="M25" s="339"/>
      <c r="N25" s="339"/>
    </row>
    <row r="26" spans="1:14" ht="24.95" customHeight="1">
      <c r="A26" s="338" t="s">
        <v>388</v>
      </c>
      <c r="B26" s="338"/>
      <c r="C26" s="338"/>
      <c r="D26" s="338"/>
      <c r="E26" s="338"/>
      <c r="F26" s="338"/>
      <c r="G26" s="339"/>
      <c r="H26" s="339"/>
      <c r="I26" s="339"/>
      <c r="J26" s="339"/>
      <c r="K26" s="339"/>
      <c r="L26" s="339"/>
      <c r="M26" s="339"/>
      <c r="N26" s="339"/>
    </row>
    <row r="27" spans="1:14">
      <c r="A27" s="338"/>
      <c r="B27" s="338"/>
      <c r="C27" s="338"/>
      <c r="D27" s="338"/>
      <c r="E27" s="338"/>
      <c r="F27" s="338"/>
      <c r="G27" s="339"/>
      <c r="H27" s="339"/>
      <c r="I27" s="339"/>
      <c r="J27" s="339"/>
      <c r="K27" s="339"/>
      <c r="L27" s="339"/>
      <c r="M27" s="339"/>
      <c r="N27" s="339"/>
    </row>
    <row r="28" spans="1:14">
      <c r="A28" s="338"/>
      <c r="B28" s="338"/>
      <c r="C28" s="338"/>
      <c r="D28" s="338"/>
      <c r="E28" s="338"/>
      <c r="F28" s="338"/>
      <c r="G28" s="339"/>
      <c r="H28" s="339"/>
      <c r="I28" s="339"/>
      <c r="J28" s="339"/>
      <c r="K28" s="339"/>
      <c r="L28" s="339"/>
      <c r="M28" s="339"/>
      <c r="N28" s="339"/>
    </row>
    <row r="29" spans="1:14" ht="15" customHeight="1">
      <c r="A29" s="339" t="s">
        <v>689</v>
      </c>
      <c r="B29" s="339"/>
      <c r="C29" s="339"/>
      <c r="D29" s="339"/>
      <c r="E29" s="339"/>
      <c r="F29" s="339"/>
      <c r="G29" s="339"/>
      <c r="H29" s="339"/>
      <c r="I29" s="339"/>
      <c r="J29" s="339"/>
      <c r="K29" s="339"/>
      <c r="L29" s="339"/>
      <c r="M29" s="339"/>
      <c r="N29" s="339"/>
    </row>
    <row r="30" spans="1:14">
      <c r="A30" s="338"/>
      <c r="B30" s="338"/>
      <c r="C30" s="338"/>
      <c r="D30" s="338"/>
      <c r="E30" s="338"/>
      <c r="F30" s="338"/>
      <c r="G30" s="339"/>
      <c r="H30" s="339"/>
      <c r="I30" s="339"/>
      <c r="J30" s="339"/>
      <c r="K30" s="339"/>
      <c r="L30" s="339"/>
      <c r="M30" s="339"/>
      <c r="N30" s="339"/>
    </row>
    <row r="31" spans="1:14">
      <c r="A31" s="338"/>
      <c r="B31" s="338"/>
      <c r="C31" s="338"/>
      <c r="D31" s="338"/>
      <c r="E31" s="338"/>
      <c r="F31" s="338"/>
      <c r="G31" s="339"/>
      <c r="H31" s="339"/>
      <c r="I31" s="339"/>
      <c r="J31" s="339"/>
      <c r="K31" s="339"/>
      <c r="L31" s="339"/>
      <c r="M31" s="339"/>
      <c r="N31" s="339"/>
    </row>
  </sheetData>
  <mergeCells count="80">
    <mergeCell ref="A31:F31"/>
    <mergeCell ref="G31:J31"/>
    <mergeCell ref="K31:N31"/>
    <mergeCell ref="A29:F29"/>
    <mergeCell ref="G29:J29"/>
    <mergeCell ref="K29:N29"/>
    <mergeCell ref="A30:F30"/>
    <mergeCell ref="G30:J30"/>
    <mergeCell ref="K30:N30"/>
    <mergeCell ref="K26:N26"/>
    <mergeCell ref="A27:F27"/>
    <mergeCell ref="G27:J27"/>
    <mergeCell ref="K27:N27"/>
    <mergeCell ref="A28:F28"/>
    <mergeCell ref="G28:J28"/>
    <mergeCell ref="K28:N28"/>
    <mergeCell ref="A26:F26"/>
    <mergeCell ref="G26:J26"/>
    <mergeCell ref="A24:F24"/>
    <mergeCell ref="G24:J24"/>
    <mergeCell ref="K24:N24"/>
    <mergeCell ref="A25:F25"/>
    <mergeCell ref="G25:J25"/>
    <mergeCell ref="K25:N25"/>
    <mergeCell ref="A21:F21"/>
    <mergeCell ref="G21:J21"/>
    <mergeCell ref="K21:N21"/>
    <mergeCell ref="A23:F23"/>
    <mergeCell ref="G23:J23"/>
    <mergeCell ref="K23:N23"/>
    <mergeCell ref="A17:F17"/>
    <mergeCell ref="G17:J17"/>
    <mergeCell ref="K17:N17"/>
    <mergeCell ref="A15:F15"/>
    <mergeCell ref="A22:F22"/>
    <mergeCell ref="G22:J22"/>
    <mergeCell ref="K22:N22"/>
    <mergeCell ref="A20:F20"/>
    <mergeCell ref="G20:J20"/>
    <mergeCell ref="K20:N20"/>
    <mergeCell ref="G16:J16"/>
    <mergeCell ref="A12:F12"/>
    <mergeCell ref="G12:J12"/>
    <mergeCell ref="K12:N12"/>
    <mergeCell ref="K16:N16"/>
    <mergeCell ref="A19:F19"/>
    <mergeCell ref="G19:J19"/>
    <mergeCell ref="K19:N19"/>
    <mergeCell ref="G14:J14"/>
    <mergeCell ref="K14:N14"/>
    <mergeCell ref="A18:F18"/>
    <mergeCell ref="G18:J18"/>
    <mergeCell ref="K18:N18"/>
    <mergeCell ref="A13:F13"/>
    <mergeCell ref="G13:J13"/>
    <mergeCell ref="K13:N13"/>
    <mergeCell ref="A14:F14"/>
    <mergeCell ref="G15:J15"/>
    <mergeCell ref="K15:N15"/>
    <mergeCell ref="A16:F16"/>
    <mergeCell ref="A10:F10"/>
    <mergeCell ref="G10:J10"/>
    <mergeCell ref="K10:N10"/>
    <mergeCell ref="A11:F11"/>
    <mergeCell ref="G11:J11"/>
    <mergeCell ref="K11:N11"/>
    <mergeCell ref="A8:F8"/>
    <mergeCell ref="G8:J8"/>
    <mergeCell ref="K8:N8"/>
    <mergeCell ref="A9:F9"/>
    <mergeCell ref="G9:J9"/>
    <mergeCell ref="K9:N9"/>
    <mergeCell ref="A7:F7"/>
    <mergeCell ref="G7:J7"/>
    <mergeCell ref="K7:N7"/>
    <mergeCell ref="A2:N2"/>
    <mergeCell ref="A4:N4"/>
    <mergeCell ref="A6:F6"/>
    <mergeCell ref="G6:J6"/>
    <mergeCell ref="K6:N6"/>
  </mergeCells>
  <phoneticPr fontId="0" type="noConversion"/>
  <pageMargins left="0.7" right="0.7" top="0.75" bottom="0.75" header="0.3" footer="0.3"/>
  <pageSetup paperSize="9" scale="85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2:N28"/>
  <sheetViews>
    <sheetView tabSelected="1" workbookViewId="0">
      <selection activeCell="G29" sqref="G29"/>
    </sheetView>
  </sheetViews>
  <sheetFormatPr defaultRowHeight="15"/>
  <cols>
    <col min="1" max="14" width="6" customWidth="1"/>
  </cols>
  <sheetData>
    <row r="2" spans="1:14" ht="18.75">
      <c r="A2" s="334" t="s">
        <v>150</v>
      </c>
      <c r="B2" s="334"/>
      <c r="C2" s="334"/>
      <c r="D2" s="334"/>
      <c r="E2" s="334"/>
      <c r="F2" s="334"/>
      <c r="G2" s="334"/>
      <c r="H2" s="334"/>
      <c r="I2" s="334"/>
      <c r="J2" s="334"/>
      <c r="K2" s="334"/>
      <c r="L2" s="334"/>
      <c r="M2" s="334"/>
      <c r="N2" s="334"/>
    </row>
    <row r="4" spans="1:14" ht="15.75">
      <c r="A4" s="133" t="s">
        <v>738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</row>
    <row r="6" spans="1:14" ht="24.95" customHeight="1">
      <c r="A6" s="308" t="s">
        <v>288</v>
      </c>
      <c r="B6" s="309"/>
      <c r="C6" s="309"/>
      <c r="D6" s="309"/>
      <c r="E6" s="309"/>
      <c r="F6" s="310"/>
      <c r="G6" s="199" t="s">
        <v>332</v>
      </c>
      <c r="H6" s="199"/>
      <c r="I6" s="199"/>
      <c r="J6" s="199"/>
      <c r="K6" s="199" t="s">
        <v>360</v>
      </c>
      <c r="L6" s="199"/>
      <c r="M6" s="199"/>
      <c r="N6" s="199"/>
    </row>
    <row r="7" spans="1:14" ht="39.950000000000003" customHeight="1">
      <c r="A7" s="335" t="s">
        <v>1105</v>
      </c>
      <c r="B7" s="335"/>
      <c r="C7" s="335"/>
      <c r="D7" s="335"/>
      <c r="E7" s="335"/>
      <c r="F7" s="335"/>
      <c r="G7" s="341"/>
      <c r="H7" s="341"/>
      <c r="I7" s="341"/>
      <c r="J7" s="341"/>
      <c r="K7" s="184"/>
      <c r="L7" s="184"/>
      <c r="M7" s="184"/>
      <c r="N7" s="184"/>
    </row>
    <row r="8" spans="1:14" ht="39.950000000000003" customHeight="1">
      <c r="A8" s="338" t="s">
        <v>939</v>
      </c>
      <c r="B8" s="338"/>
      <c r="C8" s="338"/>
      <c r="D8" s="338"/>
      <c r="E8" s="338"/>
      <c r="F8" s="338"/>
      <c r="G8" s="339"/>
      <c r="H8" s="339"/>
      <c r="I8" s="339"/>
      <c r="J8" s="339"/>
      <c r="K8" s="339"/>
      <c r="L8" s="339"/>
      <c r="M8" s="339"/>
      <c r="N8" s="339"/>
    </row>
    <row r="9" spans="1:14" ht="84.95" customHeight="1">
      <c r="A9" s="338" t="s">
        <v>115</v>
      </c>
      <c r="B9" s="338"/>
      <c r="C9" s="338"/>
      <c r="D9" s="338"/>
      <c r="E9" s="338"/>
      <c r="F9" s="338"/>
      <c r="G9" s="339"/>
      <c r="H9" s="339"/>
      <c r="I9" s="339"/>
      <c r="J9" s="339"/>
      <c r="K9" s="339"/>
      <c r="L9" s="339"/>
      <c r="M9" s="339"/>
      <c r="N9" s="339"/>
    </row>
    <row r="10" spans="1:14" ht="60" customHeight="1">
      <c r="A10" s="338" t="s">
        <v>843</v>
      </c>
      <c r="B10" s="338"/>
      <c r="C10" s="338"/>
      <c r="D10" s="338"/>
      <c r="E10" s="338"/>
      <c r="F10" s="338"/>
      <c r="G10" s="338"/>
      <c r="H10" s="338"/>
      <c r="I10" s="338"/>
      <c r="J10" s="338"/>
      <c r="K10" s="180"/>
      <c r="L10" s="180"/>
      <c r="M10" s="180"/>
      <c r="N10" s="180"/>
    </row>
    <row r="11" spans="1:14" ht="60" customHeight="1">
      <c r="A11" s="338" t="s">
        <v>1002</v>
      </c>
      <c r="B11" s="338"/>
      <c r="C11" s="338"/>
      <c r="D11" s="338"/>
      <c r="E11" s="338"/>
      <c r="F11" s="338"/>
      <c r="G11" s="339"/>
      <c r="H11" s="339"/>
      <c r="I11" s="339"/>
      <c r="J11" s="339"/>
      <c r="K11" s="339"/>
      <c r="L11" s="339"/>
      <c r="M11" s="339"/>
      <c r="N11" s="339"/>
    </row>
    <row r="12" spans="1:14" ht="50.1" customHeight="1">
      <c r="A12" s="338" t="s">
        <v>49</v>
      </c>
      <c r="B12" s="338"/>
      <c r="C12" s="338"/>
      <c r="D12" s="338"/>
      <c r="E12" s="338"/>
      <c r="F12" s="338"/>
      <c r="G12" s="339"/>
      <c r="H12" s="339"/>
      <c r="I12" s="339"/>
      <c r="J12" s="339"/>
      <c r="K12" s="339"/>
      <c r="L12" s="339"/>
      <c r="M12" s="339"/>
      <c r="N12" s="339"/>
    </row>
    <row r="14" spans="1:14" ht="15.75" customHeight="1">
      <c r="A14" s="133" t="s">
        <v>414</v>
      </c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</row>
    <row r="15" spans="1:14">
      <c r="A15" s="133"/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</row>
    <row r="17" spans="1:14" ht="24.95" customHeight="1">
      <c r="A17" s="183" t="s">
        <v>288</v>
      </c>
      <c r="B17" s="183"/>
      <c r="C17" s="183"/>
      <c r="D17" s="183"/>
      <c r="E17" s="183" t="s">
        <v>332</v>
      </c>
      <c r="F17" s="183"/>
      <c r="G17" s="183"/>
      <c r="H17" s="183"/>
      <c r="I17" s="183"/>
      <c r="J17" s="183" t="s">
        <v>360</v>
      </c>
      <c r="K17" s="183"/>
      <c r="L17" s="183"/>
      <c r="M17" s="183"/>
      <c r="N17" s="183"/>
    </row>
    <row r="18" spans="1:14" ht="24">
      <c r="A18" s="183"/>
      <c r="B18" s="183"/>
      <c r="C18" s="183"/>
      <c r="D18" s="183"/>
      <c r="E18" s="183" t="s">
        <v>1087</v>
      </c>
      <c r="F18" s="183"/>
      <c r="G18" s="183" t="s">
        <v>1118</v>
      </c>
      <c r="H18" s="183"/>
      <c r="I18" s="33" t="s">
        <v>1249</v>
      </c>
      <c r="J18" s="183" t="s">
        <v>1087</v>
      </c>
      <c r="K18" s="183"/>
      <c r="L18" s="183" t="s">
        <v>1118</v>
      </c>
      <c r="M18" s="183"/>
      <c r="N18" s="33" t="s">
        <v>1249</v>
      </c>
    </row>
    <row r="19" spans="1:14">
      <c r="A19" s="363" t="s">
        <v>958</v>
      </c>
      <c r="B19" s="363"/>
      <c r="C19" s="363"/>
      <c r="D19" s="363"/>
      <c r="E19" s="363" t="s">
        <v>1350</v>
      </c>
      <c r="F19" s="363"/>
      <c r="G19" s="363" t="s">
        <v>737</v>
      </c>
      <c r="H19" s="363"/>
      <c r="I19" s="57" t="s">
        <v>226</v>
      </c>
      <c r="J19" s="363" t="s">
        <v>830</v>
      </c>
      <c r="K19" s="363"/>
      <c r="L19" s="363" t="s">
        <v>126</v>
      </c>
      <c r="M19" s="363"/>
      <c r="N19" s="57" t="s">
        <v>707</v>
      </c>
    </row>
    <row r="20" spans="1:14" ht="24.95" customHeight="1">
      <c r="A20" s="387" t="s">
        <v>135</v>
      </c>
      <c r="B20" s="388"/>
      <c r="C20" s="388"/>
      <c r="D20" s="389"/>
      <c r="E20" s="247">
        <v>37982</v>
      </c>
      <c r="F20" s="247"/>
      <c r="G20" s="398" t="s">
        <v>623</v>
      </c>
      <c r="H20" s="398"/>
      <c r="I20" s="59" t="s">
        <v>623</v>
      </c>
      <c r="J20" s="247">
        <v>37624</v>
      </c>
      <c r="K20" s="247"/>
      <c r="L20" s="398" t="s">
        <v>623</v>
      </c>
      <c r="M20" s="398"/>
      <c r="N20" s="59" t="s">
        <v>623</v>
      </c>
    </row>
    <row r="21" spans="1:14">
      <c r="A21" s="287" t="s">
        <v>824</v>
      </c>
      <c r="B21" s="287"/>
      <c r="C21" s="287"/>
      <c r="D21" s="287"/>
      <c r="E21" s="377" t="s">
        <v>623</v>
      </c>
      <c r="F21" s="378"/>
      <c r="G21" s="224">
        <v>7217</v>
      </c>
      <c r="H21" s="224"/>
      <c r="I21" s="58"/>
      <c r="J21" s="377" t="s">
        <v>623</v>
      </c>
      <c r="K21" s="378"/>
      <c r="L21" s="224">
        <v>0</v>
      </c>
      <c r="M21" s="224"/>
      <c r="N21" s="58"/>
    </row>
    <row r="22" spans="1:14">
      <c r="A22" s="287" t="s">
        <v>1212</v>
      </c>
      <c r="B22" s="287"/>
      <c r="C22" s="287"/>
      <c r="D22" s="287"/>
      <c r="E22" s="224"/>
      <c r="F22" s="224"/>
      <c r="G22" s="224"/>
      <c r="H22" s="224"/>
      <c r="I22" s="58"/>
      <c r="J22" s="224"/>
      <c r="K22" s="224"/>
      <c r="L22" s="224"/>
      <c r="M22" s="224"/>
      <c r="N22" s="58"/>
    </row>
    <row r="23" spans="1:14">
      <c r="A23" s="287" t="s">
        <v>1055</v>
      </c>
      <c r="B23" s="287"/>
      <c r="C23" s="287"/>
      <c r="D23" s="287"/>
      <c r="E23" s="224"/>
      <c r="F23" s="224"/>
      <c r="G23" s="224"/>
      <c r="H23" s="224"/>
      <c r="I23" s="58"/>
      <c r="J23" s="224"/>
      <c r="K23" s="224"/>
      <c r="L23" s="224"/>
      <c r="M23" s="224"/>
      <c r="N23" s="58"/>
    </row>
    <row r="24" spans="1:14">
      <c r="A24" s="287" t="s">
        <v>565</v>
      </c>
      <c r="B24" s="287"/>
      <c r="C24" s="287"/>
      <c r="D24" s="287"/>
      <c r="E24" s="376" t="s">
        <v>1363</v>
      </c>
      <c r="F24" s="224"/>
      <c r="G24" s="224"/>
      <c r="H24" s="224"/>
      <c r="I24" s="58"/>
      <c r="J24" s="224"/>
      <c r="K24" s="224"/>
      <c r="L24" s="224"/>
      <c r="M24" s="224"/>
      <c r="N24" s="58"/>
    </row>
    <row r="25" spans="1:14">
      <c r="A25" s="287" t="s">
        <v>461</v>
      </c>
      <c r="B25" s="287"/>
      <c r="C25" s="287"/>
      <c r="D25" s="287"/>
      <c r="E25" s="224">
        <v>0</v>
      </c>
      <c r="F25" s="224"/>
      <c r="G25" s="224">
        <v>0</v>
      </c>
      <c r="H25" s="224"/>
      <c r="I25" s="58"/>
      <c r="J25" s="224"/>
      <c r="K25" s="224"/>
      <c r="L25" s="224"/>
      <c r="M25" s="224"/>
      <c r="N25" s="58"/>
    </row>
    <row r="26" spans="1:14">
      <c r="A26" s="287" t="s">
        <v>794</v>
      </c>
      <c r="B26" s="287"/>
      <c r="C26" s="287"/>
      <c r="D26" s="287"/>
      <c r="E26" s="185" t="s">
        <v>623</v>
      </c>
      <c r="F26" s="185"/>
      <c r="G26" s="224"/>
      <c r="H26" s="224"/>
      <c r="I26" s="58"/>
      <c r="J26" s="185" t="s">
        <v>623</v>
      </c>
      <c r="K26" s="185"/>
      <c r="L26" s="224"/>
      <c r="M26" s="224"/>
      <c r="N26" s="58"/>
    </row>
    <row r="27" spans="1:14">
      <c r="A27" s="287" t="s">
        <v>370</v>
      </c>
      <c r="B27" s="287"/>
      <c r="C27" s="287"/>
      <c r="D27" s="287"/>
      <c r="E27" s="185" t="s">
        <v>623</v>
      </c>
      <c r="F27" s="185"/>
      <c r="G27" s="224"/>
      <c r="H27" s="224"/>
      <c r="I27" s="58"/>
      <c r="J27" s="185" t="s">
        <v>623</v>
      </c>
      <c r="K27" s="185"/>
      <c r="L27" s="224"/>
      <c r="M27" s="224"/>
      <c r="N27" s="58"/>
    </row>
    <row r="28" spans="1:14">
      <c r="A28" s="287" t="s">
        <v>495</v>
      </c>
      <c r="B28" s="287"/>
      <c r="C28" s="287"/>
      <c r="D28" s="287"/>
      <c r="E28" s="185" t="s">
        <v>623</v>
      </c>
      <c r="F28" s="185"/>
      <c r="G28" s="224">
        <v>7217</v>
      </c>
      <c r="H28" s="224"/>
      <c r="I28" s="58"/>
      <c r="J28" s="185" t="s">
        <v>623</v>
      </c>
      <c r="K28" s="185"/>
      <c r="L28" s="224"/>
      <c r="M28" s="224"/>
      <c r="N28" s="58"/>
    </row>
  </sheetData>
  <mergeCells count="81">
    <mergeCell ref="K9:N9"/>
    <mergeCell ref="A10:F10"/>
    <mergeCell ref="G7:J7"/>
    <mergeCell ref="K7:N7"/>
    <mergeCell ref="A12:F12"/>
    <mergeCell ref="G12:J12"/>
    <mergeCell ref="K12:N12"/>
    <mergeCell ref="A2:N2"/>
    <mergeCell ref="A4:N4"/>
    <mergeCell ref="A6:F6"/>
    <mergeCell ref="G6:J6"/>
    <mergeCell ref="K6:N6"/>
    <mergeCell ref="A7:F7"/>
    <mergeCell ref="K8:N8"/>
    <mergeCell ref="A9:F9"/>
    <mergeCell ref="G9:J9"/>
    <mergeCell ref="J17:N17"/>
    <mergeCell ref="E17:I17"/>
    <mergeCell ref="G10:J10"/>
    <mergeCell ref="K10:N10"/>
    <mergeCell ref="A11:F11"/>
    <mergeCell ref="K11:N11"/>
    <mergeCell ref="L23:M23"/>
    <mergeCell ref="E20:F20"/>
    <mergeCell ref="A26:D26"/>
    <mergeCell ref="A19:D19"/>
    <mergeCell ref="G11:J11"/>
    <mergeCell ref="E18:F18"/>
    <mergeCell ref="E19:F19"/>
    <mergeCell ref="G19:H19"/>
    <mergeCell ref="J19:K19"/>
    <mergeCell ref="A14:N15"/>
    <mergeCell ref="E21:F21"/>
    <mergeCell ref="G8:J8"/>
    <mergeCell ref="L21:M21"/>
    <mergeCell ref="L22:M22"/>
    <mergeCell ref="A20:D20"/>
    <mergeCell ref="A17:D18"/>
    <mergeCell ref="L19:M19"/>
    <mergeCell ref="J18:K18"/>
    <mergeCell ref="L18:M18"/>
    <mergeCell ref="A8:F8"/>
    <mergeCell ref="G20:H20"/>
    <mergeCell ref="E26:F26"/>
    <mergeCell ref="G18:H18"/>
    <mergeCell ref="E28:F28"/>
    <mergeCell ref="A24:D24"/>
    <mergeCell ref="A25:D25"/>
    <mergeCell ref="A27:D27"/>
    <mergeCell ref="G27:H27"/>
    <mergeCell ref="E27:F27"/>
    <mergeCell ref="A21:D21"/>
    <mergeCell ref="G26:H26"/>
    <mergeCell ref="G25:H25"/>
    <mergeCell ref="A28:D28"/>
    <mergeCell ref="E22:F22"/>
    <mergeCell ref="E23:F23"/>
    <mergeCell ref="E24:F24"/>
    <mergeCell ref="E25:F25"/>
    <mergeCell ref="A22:D22"/>
    <mergeCell ref="A23:D23"/>
    <mergeCell ref="L26:M26"/>
    <mergeCell ref="G21:H21"/>
    <mergeCell ref="L28:M28"/>
    <mergeCell ref="J26:K26"/>
    <mergeCell ref="J27:K27"/>
    <mergeCell ref="J28:K28"/>
    <mergeCell ref="G28:H28"/>
    <mergeCell ref="L27:M27"/>
    <mergeCell ref="L25:M25"/>
    <mergeCell ref="J25:K25"/>
    <mergeCell ref="J20:K20"/>
    <mergeCell ref="G22:H22"/>
    <mergeCell ref="G23:H23"/>
    <mergeCell ref="G24:H24"/>
    <mergeCell ref="L24:M24"/>
    <mergeCell ref="J21:K21"/>
    <mergeCell ref="J22:K22"/>
    <mergeCell ref="J23:K23"/>
    <mergeCell ref="J24:K24"/>
    <mergeCell ref="L20:M20"/>
  </mergeCells>
  <phoneticPr fontId="0" type="noConversion"/>
  <pageMargins left="0.7" right="0.7" top="0.75" bottom="0.75" header="0.3" footer="0.3"/>
  <pageSetup paperSize="9" scale="85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2:N46"/>
  <sheetViews>
    <sheetView workbookViewId="0">
      <selection activeCell="K14" sqref="K14:N14"/>
    </sheetView>
  </sheetViews>
  <sheetFormatPr defaultRowHeight="15"/>
  <cols>
    <col min="1" max="14" width="6" customWidth="1"/>
  </cols>
  <sheetData>
    <row r="2" spans="1:14" ht="18.75">
      <c r="A2" s="334" t="s">
        <v>289</v>
      </c>
      <c r="B2" s="334"/>
      <c r="C2" s="334"/>
      <c r="D2" s="334"/>
      <c r="E2" s="334"/>
      <c r="F2" s="334"/>
      <c r="G2" s="334"/>
      <c r="H2" s="334"/>
      <c r="I2" s="334"/>
      <c r="J2" s="334"/>
      <c r="K2" s="334"/>
      <c r="L2" s="334"/>
      <c r="M2" s="334"/>
      <c r="N2" s="334"/>
    </row>
    <row r="4" spans="1:14" ht="15.75">
      <c r="A4" s="133" t="s">
        <v>717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</row>
    <row r="6" spans="1:14" ht="24.95" customHeight="1">
      <c r="A6" s="308" t="s">
        <v>288</v>
      </c>
      <c r="B6" s="309"/>
      <c r="C6" s="309"/>
      <c r="D6" s="309"/>
      <c r="E6" s="309"/>
      <c r="F6" s="310"/>
      <c r="G6" s="199" t="s">
        <v>332</v>
      </c>
      <c r="H6" s="199"/>
      <c r="I6" s="199"/>
      <c r="J6" s="199"/>
      <c r="K6" s="199" t="s">
        <v>360</v>
      </c>
      <c r="L6" s="199"/>
      <c r="M6" s="199"/>
      <c r="N6" s="199"/>
    </row>
    <row r="7" spans="1:14" ht="15" customHeight="1">
      <c r="A7" s="335" t="s">
        <v>552</v>
      </c>
      <c r="B7" s="335"/>
      <c r="C7" s="335"/>
      <c r="D7" s="335"/>
      <c r="E7" s="335"/>
      <c r="F7" s="335"/>
      <c r="G7" s="341"/>
      <c r="H7" s="341"/>
      <c r="I7" s="341"/>
      <c r="J7" s="341"/>
      <c r="K7" s="184"/>
      <c r="L7" s="184"/>
      <c r="M7" s="184"/>
      <c r="N7" s="184"/>
    </row>
    <row r="8" spans="1:14" ht="15" customHeight="1">
      <c r="A8" s="338" t="s">
        <v>1158</v>
      </c>
      <c r="B8" s="338"/>
      <c r="C8" s="338"/>
      <c r="D8" s="338"/>
      <c r="E8" s="338"/>
      <c r="F8" s="338"/>
      <c r="G8" s="339"/>
      <c r="H8" s="339"/>
      <c r="I8" s="339"/>
      <c r="J8" s="339"/>
      <c r="K8" s="339"/>
      <c r="L8" s="339"/>
      <c r="M8" s="339"/>
      <c r="N8" s="339"/>
    </row>
    <row r="9" spans="1:14" ht="15" customHeight="1">
      <c r="A9" s="338" t="s">
        <v>1283</v>
      </c>
      <c r="B9" s="338"/>
      <c r="C9" s="338"/>
      <c r="D9" s="338"/>
      <c r="E9" s="338"/>
      <c r="F9" s="338"/>
      <c r="G9" s="339"/>
      <c r="H9" s="339"/>
      <c r="I9" s="339"/>
      <c r="J9" s="339"/>
      <c r="K9" s="339"/>
      <c r="L9" s="339"/>
      <c r="M9" s="339"/>
      <c r="N9" s="339"/>
    </row>
    <row r="10" spans="1:14" ht="15" customHeight="1">
      <c r="A10" s="338" t="s">
        <v>1348</v>
      </c>
      <c r="B10" s="338"/>
      <c r="C10" s="338"/>
      <c r="D10" s="338"/>
      <c r="E10" s="338"/>
      <c r="F10" s="338"/>
      <c r="G10" s="338"/>
      <c r="H10" s="338"/>
      <c r="I10" s="338"/>
      <c r="J10" s="338"/>
      <c r="K10" s="180"/>
      <c r="L10" s="180"/>
      <c r="M10" s="180"/>
      <c r="N10" s="180"/>
    </row>
    <row r="11" spans="1:14" ht="15" customHeight="1">
      <c r="A11" s="338" t="s">
        <v>696</v>
      </c>
      <c r="B11" s="338"/>
      <c r="C11" s="338"/>
      <c r="D11" s="338"/>
      <c r="E11" s="338"/>
      <c r="F11" s="338"/>
      <c r="G11" s="339"/>
      <c r="H11" s="339"/>
      <c r="I11" s="339"/>
      <c r="J11" s="339"/>
      <c r="K11" s="339"/>
      <c r="L11" s="339"/>
      <c r="M11" s="339"/>
      <c r="N11" s="339"/>
    </row>
    <row r="12" spans="1:14" ht="15" customHeight="1">
      <c r="A12" s="338" t="s">
        <v>1136</v>
      </c>
      <c r="B12" s="338"/>
      <c r="C12" s="338"/>
      <c r="D12" s="338"/>
      <c r="E12" s="338"/>
      <c r="F12" s="338"/>
      <c r="G12" s="339"/>
      <c r="H12" s="339"/>
      <c r="I12" s="339"/>
      <c r="J12" s="339"/>
      <c r="K12" s="339"/>
      <c r="L12" s="339"/>
      <c r="M12" s="339"/>
      <c r="N12" s="339"/>
    </row>
    <row r="13" spans="1:14">
      <c r="A13" s="338" t="s">
        <v>634</v>
      </c>
      <c r="B13" s="338"/>
      <c r="C13" s="338"/>
      <c r="D13" s="338"/>
      <c r="E13" s="338"/>
      <c r="F13" s="338"/>
      <c r="G13" s="338"/>
      <c r="H13" s="338"/>
      <c r="I13" s="338"/>
      <c r="J13" s="338"/>
      <c r="K13" s="180"/>
      <c r="L13" s="180"/>
      <c r="M13" s="180"/>
      <c r="N13" s="180"/>
    </row>
    <row r="14" spans="1:14">
      <c r="A14" s="338" t="s">
        <v>484</v>
      </c>
      <c r="B14" s="338"/>
      <c r="C14" s="338"/>
      <c r="D14" s="338"/>
      <c r="E14" s="338"/>
      <c r="F14" s="338"/>
      <c r="G14" s="342" t="s">
        <v>1363</v>
      </c>
      <c r="H14" s="339"/>
      <c r="I14" s="339"/>
      <c r="J14" s="339"/>
      <c r="K14" s="342" t="s">
        <v>1363</v>
      </c>
      <c r="L14" s="339"/>
      <c r="M14" s="339"/>
      <c r="N14" s="339"/>
    </row>
    <row r="15" spans="1:14">
      <c r="A15" s="338" t="s">
        <v>344</v>
      </c>
      <c r="B15" s="338"/>
      <c r="C15" s="338"/>
      <c r="D15" s="338"/>
      <c r="E15" s="338"/>
      <c r="F15" s="338"/>
      <c r="G15" s="339"/>
      <c r="H15" s="339"/>
      <c r="I15" s="339"/>
      <c r="J15" s="339"/>
      <c r="K15" s="339"/>
      <c r="L15" s="339"/>
      <c r="M15" s="339"/>
      <c r="N15" s="339"/>
    </row>
    <row r="16" spans="1:14">
      <c r="A16" s="60"/>
      <c r="B16" s="60"/>
      <c r="C16" s="60"/>
      <c r="D16" s="60"/>
      <c r="E16" s="60"/>
      <c r="F16" s="60"/>
      <c r="G16" s="61"/>
      <c r="H16" s="61"/>
      <c r="I16" s="61"/>
      <c r="J16" s="61"/>
      <c r="K16" s="61"/>
      <c r="L16" s="61"/>
      <c r="M16" s="61"/>
      <c r="N16" s="61"/>
    </row>
    <row r="19" ht="15.75" customHeight="1"/>
    <row r="20" ht="15" customHeight="1"/>
    <row r="21" ht="15.7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9" ht="15.75" customHeight="1"/>
    <row r="31" ht="15.7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9" ht="15.7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</sheetData>
  <mergeCells count="32">
    <mergeCell ref="A2:N2"/>
    <mergeCell ref="A4:N4"/>
    <mergeCell ref="A6:F6"/>
    <mergeCell ref="G6:J6"/>
    <mergeCell ref="K6:N6"/>
    <mergeCell ref="A7:F7"/>
    <mergeCell ref="G7:J7"/>
    <mergeCell ref="K7:N7"/>
    <mergeCell ref="A8:F8"/>
    <mergeCell ref="G8:J8"/>
    <mergeCell ref="K8:N8"/>
    <mergeCell ref="A9:F9"/>
    <mergeCell ref="G9:J9"/>
    <mergeCell ref="K9:N9"/>
    <mergeCell ref="K10:N10"/>
    <mergeCell ref="A11:F11"/>
    <mergeCell ref="G11:J11"/>
    <mergeCell ref="K11:N11"/>
    <mergeCell ref="A12:F12"/>
    <mergeCell ref="G12:J12"/>
    <mergeCell ref="K12:N12"/>
    <mergeCell ref="A10:F10"/>
    <mergeCell ref="G10:J10"/>
    <mergeCell ref="A15:F15"/>
    <mergeCell ref="G15:J15"/>
    <mergeCell ref="K15:N15"/>
    <mergeCell ref="A13:F13"/>
    <mergeCell ref="G13:J13"/>
    <mergeCell ref="K13:N13"/>
    <mergeCell ref="A14:F14"/>
    <mergeCell ref="G14:J14"/>
    <mergeCell ref="K14:N14"/>
  </mergeCells>
  <phoneticPr fontId="0" type="noConversion"/>
  <pageMargins left="0.7" right="0.7" top="0.75" bottom="0.75" header="0.3" footer="0.3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31"/>
  <sheetViews>
    <sheetView workbookViewId="0"/>
  </sheetViews>
  <sheetFormatPr defaultRowHeight="15"/>
  <cols>
    <col min="1" max="1" width="4.7109375" customWidth="1"/>
    <col min="2" max="2" width="68.42578125" customWidth="1"/>
    <col min="3" max="3" width="49.7109375" customWidth="1"/>
    <col min="4" max="6" width="10.28515625" customWidth="1"/>
  </cols>
  <sheetData>
    <row r="1" spans="1:6">
      <c r="A1" t="s">
        <v>1010</v>
      </c>
      <c r="B1" t="s">
        <v>554</v>
      </c>
      <c r="C1" t="s">
        <v>1354</v>
      </c>
      <c r="D1" t="s">
        <v>97</v>
      </c>
      <c r="E1" t="s">
        <v>479</v>
      </c>
      <c r="F1" t="s">
        <v>1250</v>
      </c>
    </row>
    <row r="2" spans="1:6">
      <c r="A2">
        <v>41</v>
      </c>
      <c r="B2" t="s">
        <v>1050</v>
      </c>
      <c r="C2" t="s">
        <v>982</v>
      </c>
      <c r="D2">
        <v>0</v>
      </c>
      <c r="E2">
        <v>0</v>
      </c>
      <c r="F2">
        <v>0</v>
      </c>
    </row>
    <row r="3" spans="1:6">
      <c r="A3">
        <v>42</v>
      </c>
      <c r="B3" t="s">
        <v>1050</v>
      </c>
      <c r="C3" t="s">
        <v>242</v>
      </c>
      <c r="D3">
        <v>0</v>
      </c>
      <c r="E3">
        <v>0</v>
      </c>
      <c r="F3">
        <v>0</v>
      </c>
    </row>
    <row r="4" spans="1:6">
      <c r="A4">
        <v>43</v>
      </c>
      <c r="B4" t="s">
        <v>1050</v>
      </c>
      <c r="C4" t="s">
        <v>21</v>
      </c>
      <c r="D4">
        <v>0</v>
      </c>
      <c r="E4">
        <v>0</v>
      </c>
      <c r="F4">
        <v>0</v>
      </c>
    </row>
    <row r="5" spans="1:6">
      <c r="A5">
        <v>51</v>
      </c>
      <c r="B5" t="s">
        <v>790</v>
      </c>
      <c r="C5" t="s">
        <v>438</v>
      </c>
      <c r="D5">
        <v>14149.9</v>
      </c>
      <c r="E5">
        <v>0</v>
      </c>
      <c r="F5">
        <v>0</v>
      </c>
    </row>
    <row r="6" spans="1:6">
      <c r="A6">
        <v>52</v>
      </c>
      <c r="B6" t="s">
        <v>790</v>
      </c>
      <c r="C6" t="s">
        <v>1077</v>
      </c>
      <c r="D6">
        <v>14149.9</v>
      </c>
      <c r="E6">
        <v>0</v>
      </c>
      <c r="F6">
        <v>0</v>
      </c>
    </row>
    <row r="7" spans="1:6">
      <c r="A7">
        <v>53</v>
      </c>
      <c r="B7" t="s">
        <v>790</v>
      </c>
      <c r="C7" t="s">
        <v>21</v>
      </c>
      <c r="D7">
        <v>0</v>
      </c>
      <c r="E7">
        <v>0</v>
      </c>
      <c r="F7">
        <v>0</v>
      </c>
    </row>
    <row r="8" spans="1:6">
      <c r="A8">
        <v>61</v>
      </c>
      <c r="B8" t="s">
        <v>369</v>
      </c>
      <c r="C8" t="s">
        <v>153</v>
      </c>
      <c r="D8">
        <v>0</v>
      </c>
      <c r="E8">
        <v>0</v>
      </c>
      <c r="F8">
        <v>0</v>
      </c>
    </row>
    <row r="9" spans="1:6">
      <c r="A9">
        <v>62</v>
      </c>
      <c r="B9" t="s">
        <v>369</v>
      </c>
      <c r="C9" t="s">
        <v>889</v>
      </c>
      <c r="D9">
        <v>0</v>
      </c>
      <c r="E9">
        <v>0</v>
      </c>
      <c r="F9">
        <v>0</v>
      </c>
    </row>
    <row r="10" spans="1:6">
      <c r="A10">
        <v>63</v>
      </c>
      <c r="B10" t="s">
        <v>369</v>
      </c>
      <c r="C10" t="s">
        <v>21</v>
      </c>
      <c r="D10">
        <v>0</v>
      </c>
      <c r="E10">
        <v>0</v>
      </c>
      <c r="F10">
        <v>0</v>
      </c>
    </row>
    <row r="11" spans="1:6">
      <c r="A11">
        <v>71</v>
      </c>
      <c r="B11" t="s">
        <v>489</v>
      </c>
      <c r="C11" t="s">
        <v>988</v>
      </c>
      <c r="D11">
        <v>0</v>
      </c>
      <c r="E11">
        <v>0</v>
      </c>
      <c r="F11">
        <v>0</v>
      </c>
    </row>
    <row r="12" spans="1:6">
      <c r="A12">
        <v>72</v>
      </c>
      <c r="B12" t="s">
        <v>489</v>
      </c>
      <c r="C12" t="s">
        <v>335</v>
      </c>
      <c r="D12">
        <v>0</v>
      </c>
      <c r="E12">
        <v>0</v>
      </c>
      <c r="F12">
        <v>0</v>
      </c>
    </row>
    <row r="13" spans="1:6">
      <c r="A13">
        <v>73</v>
      </c>
      <c r="B13" t="s">
        <v>489</v>
      </c>
      <c r="C13" t="s">
        <v>21</v>
      </c>
      <c r="D13">
        <v>0</v>
      </c>
      <c r="E13">
        <v>0</v>
      </c>
      <c r="F13">
        <v>0</v>
      </c>
    </row>
    <row r="14" spans="1:6">
      <c r="A14">
        <v>81</v>
      </c>
      <c r="B14" t="s">
        <v>595</v>
      </c>
      <c r="C14" t="s">
        <v>1085</v>
      </c>
      <c r="D14">
        <v>0</v>
      </c>
      <c r="E14">
        <v>0</v>
      </c>
      <c r="F14">
        <v>0</v>
      </c>
    </row>
    <row r="15" spans="1:6">
      <c r="A15">
        <v>82</v>
      </c>
      <c r="B15" t="s">
        <v>595</v>
      </c>
      <c r="C15" t="s">
        <v>278</v>
      </c>
      <c r="D15">
        <v>0</v>
      </c>
      <c r="E15">
        <v>0</v>
      </c>
      <c r="F15">
        <v>0</v>
      </c>
    </row>
    <row r="16" spans="1:6">
      <c r="A16">
        <v>91</v>
      </c>
      <c r="B16" t="s">
        <v>1166</v>
      </c>
      <c r="C16" t="s">
        <v>801</v>
      </c>
      <c r="D16">
        <v>0</v>
      </c>
      <c r="E16">
        <v>0</v>
      </c>
      <c r="F16">
        <v>0</v>
      </c>
    </row>
    <row r="17" spans="1:6">
      <c r="A17">
        <v>92</v>
      </c>
      <c r="B17" t="s">
        <v>1166</v>
      </c>
      <c r="C17" t="s">
        <v>672</v>
      </c>
      <c r="D17">
        <v>0</v>
      </c>
      <c r="E17">
        <v>0</v>
      </c>
      <c r="F17">
        <v>0</v>
      </c>
    </row>
    <row r="18" spans="1:6">
      <c r="A18">
        <v>101</v>
      </c>
      <c r="B18" t="s">
        <v>91</v>
      </c>
      <c r="C18" t="s">
        <v>114</v>
      </c>
      <c r="D18">
        <v>0</v>
      </c>
      <c r="E18">
        <v>0</v>
      </c>
      <c r="F18">
        <v>0</v>
      </c>
    </row>
    <row r="19" spans="1:6">
      <c r="A19">
        <v>102</v>
      </c>
      <c r="B19" t="s">
        <v>91</v>
      </c>
      <c r="C19" t="s">
        <v>129</v>
      </c>
      <c r="D19">
        <v>0</v>
      </c>
      <c r="E19">
        <v>0</v>
      </c>
      <c r="F19">
        <v>0</v>
      </c>
    </row>
    <row r="20" spans="1:6">
      <c r="A20">
        <v>121</v>
      </c>
      <c r="B20" t="s">
        <v>909</v>
      </c>
      <c r="C20" t="s">
        <v>762</v>
      </c>
      <c r="D20">
        <v>288395.40999999997</v>
      </c>
      <c r="E20">
        <v>403000</v>
      </c>
      <c r="F20">
        <v>42952.929999999993</v>
      </c>
    </row>
    <row r="21" spans="1:6">
      <c r="A21">
        <v>122</v>
      </c>
      <c r="B21" t="s">
        <v>909</v>
      </c>
      <c r="C21" t="s">
        <v>463</v>
      </c>
      <c r="D21">
        <v>0</v>
      </c>
      <c r="E21">
        <v>0</v>
      </c>
      <c r="F21">
        <v>0</v>
      </c>
    </row>
    <row r="22" spans="1:6">
      <c r="A22">
        <v>131</v>
      </c>
      <c r="B22" t="s">
        <v>354</v>
      </c>
      <c r="C22" t="s">
        <v>75</v>
      </c>
      <c r="D22">
        <v>249500.71</v>
      </c>
      <c r="E22">
        <v>0</v>
      </c>
      <c r="F22">
        <v>0</v>
      </c>
    </row>
    <row r="23" spans="1:6">
      <c r="A23">
        <v>132</v>
      </c>
      <c r="B23" t="s">
        <v>354</v>
      </c>
      <c r="C23" t="s">
        <v>723</v>
      </c>
      <c r="D23">
        <v>51907.87</v>
      </c>
      <c r="E23">
        <v>0</v>
      </c>
      <c r="F23">
        <v>12741</v>
      </c>
    </row>
    <row r="24" spans="1:6">
      <c r="A24">
        <v>141</v>
      </c>
      <c r="B24" t="s">
        <v>743</v>
      </c>
      <c r="C24" t="s">
        <v>615</v>
      </c>
      <c r="D24">
        <v>1226244.3599999999</v>
      </c>
      <c r="E24">
        <v>0</v>
      </c>
      <c r="F24">
        <v>118588.76</v>
      </c>
    </row>
    <row r="25" spans="1:6">
      <c r="A25">
        <v>142</v>
      </c>
      <c r="B25" t="s">
        <v>743</v>
      </c>
      <c r="C25" t="s">
        <v>1165</v>
      </c>
      <c r="D25">
        <v>853677.95</v>
      </c>
      <c r="E25">
        <v>118588.76</v>
      </c>
      <c r="F25">
        <v>181341.15</v>
      </c>
    </row>
    <row r="26" spans="1:6">
      <c r="A26">
        <v>151</v>
      </c>
      <c r="B26" t="s">
        <v>1339</v>
      </c>
      <c r="C26" t="s">
        <v>1344</v>
      </c>
      <c r="D26">
        <v>0</v>
      </c>
      <c r="E26">
        <v>0</v>
      </c>
      <c r="F26">
        <v>0</v>
      </c>
    </row>
    <row r="27" spans="1:6">
      <c r="A27">
        <v>152</v>
      </c>
      <c r="B27" t="s">
        <v>1339</v>
      </c>
      <c r="C27" t="s">
        <v>789</v>
      </c>
      <c r="D27">
        <v>0</v>
      </c>
      <c r="E27">
        <v>0</v>
      </c>
      <c r="F27">
        <v>0</v>
      </c>
    </row>
    <row r="28" spans="1:6">
      <c r="A28">
        <v>153</v>
      </c>
      <c r="B28" t="s">
        <v>1339</v>
      </c>
      <c r="C28" t="s">
        <v>463</v>
      </c>
      <c r="D28">
        <v>0</v>
      </c>
      <c r="E28">
        <v>0</v>
      </c>
      <c r="F28">
        <v>0</v>
      </c>
    </row>
    <row r="29" spans="1:6">
      <c r="A29">
        <v>161</v>
      </c>
      <c r="B29" t="s">
        <v>635</v>
      </c>
      <c r="C29" t="s">
        <v>518</v>
      </c>
      <c r="D29">
        <v>0</v>
      </c>
      <c r="E29">
        <v>0</v>
      </c>
      <c r="F29">
        <v>0</v>
      </c>
    </row>
    <row r="30" spans="1:6">
      <c r="A30">
        <v>162</v>
      </c>
      <c r="B30" t="s">
        <v>635</v>
      </c>
      <c r="C30" t="s">
        <v>1248</v>
      </c>
      <c r="D30">
        <v>0</v>
      </c>
      <c r="E30">
        <v>0</v>
      </c>
      <c r="F30">
        <v>0</v>
      </c>
    </row>
    <row r="31" spans="1:6">
      <c r="A31">
        <v>163</v>
      </c>
      <c r="B31" t="s">
        <v>635</v>
      </c>
      <c r="C31" t="s">
        <v>463</v>
      </c>
      <c r="D31">
        <v>0</v>
      </c>
      <c r="E31">
        <v>0</v>
      </c>
      <c r="F31">
        <v>0</v>
      </c>
    </row>
    <row r="32" spans="1:6">
      <c r="A32">
        <v>171</v>
      </c>
      <c r="B32" t="s">
        <v>659</v>
      </c>
      <c r="C32" t="s">
        <v>569</v>
      </c>
      <c r="D32">
        <v>4469.53</v>
      </c>
      <c r="E32">
        <v>0</v>
      </c>
      <c r="F32">
        <v>0</v>
      </c>
    </row>
    <row r="33" spans="1:6">
      <c r="A33">
        <v>172</v>
      </c>
      <c r="B33" t="s">
        <v>659</v>
      </c>
      <c r="C33" t="s">
        <v>1286</v>
      </c>
      <c r="D33">
        <v>0</v>
      </c>
      <c r="E33">
        <v>0</v>
      </c>
      <c r="F33">
        <v>0</v>
      </c>
    </row>
    <row r="34" spans="1:6">
      <c r="A34">
        <v>173</v>
      </c>
      <c r="B34" t="s">
        <v>659</v>
      </c>
      <c r="C34" t="s">
        <v>1215</v>
      </c>
      <c r="D34">
        <v>4469.53</v>
      </c>
      <c r="E34">
        <v>0</v>
      </c>
      <c r="F34">
        <v>0</v>
      </c>
    </row>
    <row r="35" spans="1:6">
      <c r="A35">
        <v>174</v>
      </c>
      <c r="B35" t="s">
        <v>659</v>
      </c>
      <c r="C35" t="s">
        <v>463</v>
      </c>
      <c r="D35">
        <v>0</v>
      </c>
      <c r="E35">
        <v>0</v>
      </c>
      <c r="F35">
        <v>0</v>
      </c>
    </row>
    <row r="36" spans="1:6">
      <c r="A36">
        <v>181</v>
      </c>
      <c r="B36" t="s">
        <v>671</v>
      </c>
      <c r="C36" t="s">
        <v>1259</v>
      </c>
      <c r="D36">
        <v>2207.3799999999997</v>
      </c>
      <c r="E36">
        <v>403000</v>
      </c>
      <c r="F36">
        <v>403000</v>
      </c>
    </row>
    <row r="37" spans="1:6">
      <c r="A37">
        <v>182</v>
      </c>
      <c r="B37" t="s">
        <v>671</v>
      </c>
      <c r="C37" t="s">
        <v>1301</v>
      </c>
      <c r="D37">
        <v>0</v>
      </c>
      <c r="E37">
        <v>0</v>
      </c>
      <c r="F37">
        <v>0</v>
      </c>
    </row>
    <row r="38" spans="1:6">
      <c r="A38">
        <v>191</v>
      </c>
      <c r="B38" t="s">
        <v>82</v>
      </c>
      <c r="C38" t="s">
        <v>558</v>
      </c>
      <c r="D38">
        <v>0</v>
      </c>
      <c r="E38">
        <v>0</v>
      </c>
      <c r="F38">
        <v>0</v>
      </c>
    </row>
    <row r="39" spans="1:6">
      <c r="A39">
        <v>192</v>
      </c>
      <c r="B39" t="s">
        <v>82</v>
      </c>
      <c r="C39" t="s">
        <v>129</v>
      </c>
      <c r="D39">
        <v>0</v>
      </c>
      <c r="E39">
        <v>0</v>
      </c>
      <c r="F39">
        <v>0</v>
      </c>
    </row>
    <row r="40" spans="1:6">
      <c r="A40">
        <v>202</v>
      </c>
      <c r="B40" t="s">
        <v>393</v>
      </c>
      <c r="C40" t="s">
        <v>90</v>
      </c>
      <c r="D40">
        <v>0</v>
      </c>
      <c r="E40">
        <v>0</v>
      </c>
      <c r="F40">
        <v>0</v>
      </c>
    </row>
    <row r="41" spans="1:6">
      <c r="A41">
        <v>221</v>
      </c>
      <c r="B41" t="s">
        <v>788</v>
      </c>
      <c r="C41" t="s">
        <v>1104</v>
      </c>
      <c r="D41">
        <v>0</v>
      </c>
      <c r="E41">
        <v>0</v>
      </c>
      <c r="F41">
        <v>0</v>
      </c>
    </row>
    <row r="42" spans="1:6">
      <c r="A42">
        <v>222</v>
      </c>
      <c r="B42" t="s">
        <v>788</v>
      </c>
      <c r="C42" t="s">
        <v>563</v>
      </c>
      <c r="D42">
        <v>0</v>
      </c>
      <c r="E42">
        <v>0</v>
      </c>
      <c r="F42">
        <v>0</v>
      </c>
    </row>
    <row r="43" spans="1:6">
      <c r="A43">
        <v>231</v>
      </c>
      <c r="B43" t="s">
        <v>812</v>
      </c>
      <c r="C43" t="s">
        <v>928</v>
      </c>
      <c r="D43">
        <v>0</v>
      </c>
      <c r="E43">
        <v>0</v>
      </c>
      <c r="F43">
        <v>0</v>
      </c>
    </row>
    <row r="44" spans="1:6">
      <c r="A44">
        <v>232</v>
      </c>
      <c r="B44" t="s">
        <v>812</v>
      </c>
      <c r="C44" t="s">
        <v>563</v>
      </c>
      <c r="D44">
        <v>0</v>
      </c>
      <c r="E44">
        <v>0</v>
      </c>
      <c r="F44">
        <v>0</v>
      </c>
    </row>
    <row r="45" spans="1:6">
      <c r="A45">
        <v>241</v>
      </c>
      <c r="B45" t="s">
        <v>941</v>
      </c>
      <c r="C45" t="s">
        <v>310</v>
      </c>
      <c r="D45">
        <v>0</v>
      </c>
      <c r="E45">
        <v>0</v>
      </c>
      <c r="F45">
        <v>0</v>
      </c>
    </row>
    <row r="46" spans="1:6">
      <c r="A46">
        <v>242</v>
      </c>
      <c r="B46" t="s">
        <v>941</v>
      </c>
      <c r="C46" t="s">
        <v>563</v>
      </c>
      <c r="D46">
        <v>0</v>
      </c>
      <c r="E46">
        <v>0</v>
      </c>
      <c r="F46">
        <v>0</v>
      </c>
    </row>
    <row r="47" spans="1:6">
      <c r="A47">
        <v>251</v>
      </c>
      <c r="B47" t="s">
        <v>1034</v>
      </c>
      <c r="C47" t="s">
        <v>839</v>
      </c>
      <c r="D47">
        <v>0</v>
      </c>
      <c r="E47">
        <v>0</v>
      </c>
      <c r="F47">
        <v>0</v>
      </c>
    </row>
    <row r="48" spans="1:6">
      <c r="A48">
        <v>252</v>
      </c>
      <c r="B48" t="s">
        <v>1034</v>
      </c>
      <c r="C48" t="s">
        <v>563</v>
      </c>
      <c r="D48">
        <v>0</v>
      </c>
      <c r="E48">
        <v>0</v>
      </c>
      <c r="F48">
        <v>0</v>
      </c>
    </row>
    <row r="49" spans="1:6">
      <c r="A49">
        <v>261</v>
      </c>
      <c r="B49" t="s">
        <v>1316</v>
      </c>
      <c r="C49" t="s">
        <v>1029</v>
      </c>
      <c r="D49">
        <v>0</v>
      </c>
      <c r="E49">
        <v>0</v>
      </c>
      <c r="F49">
        <v>0</v>
      </c>
    </row>
    <row r="50" spans="1:6">
      <c r="A50">
        <v>262</v>
      </c>
      <c r="B50" t="s">
        <v>1316</v>
      </c>
      <c r="C50" t="s">
        <v>563</v>
      </c>
      <c r="D50">
        <v>0</v>
      </c>
      <c r="E50">
        <v>0</v>
      </c>
      <c r="F50">
        <v>0</v>
      </c>
    </row>
    <row r="51" spans="1:6">
      <c r="A51">
        <v>281</v>
      </c>
      <c r="B51" t="s">
        <v>1157</v>
      </c>
      <c r="C51" t="s">
        <v>81</v>
      </c>
      <c r="D51">
        <v>0</v>
      </c>
      <c r="E51">
        <v>0</v>
      </c>
      <c r="F51">
        <v>0</v>
      </c>
    </row>
    <row r="52" spans="1:6">
      <c r="A52">
        <v>282</v>
      </c>
      <c r="B52" t="s">
        <v>1157</v>
      </c>
      <c r="C52" t="s">
        <v>563</v>
      </c>
      <c r="D52">
        <v>0</v>
      </c>
      <c r="E52">
        <v>0</v>
      </c>
      <c r="F52">
        <v>0</v>
      </c>
    </row>
    <row r="53" spans="1:6">
      <c r="A53">
        <v>291</v>
      </c>
      <c r="B53" t="s">
        <v>551</v>
      </c>
      <c r="C53" t="s">
        <v>759</v>
      </c>
      <c r="D53">
        <v>0</v>
      </c>
      <c r="E53">
        <v>0</v>
      </c>
      <c r="F53">
        <v>0</v>
      </c>
    </row>
    <row r="54" spans="1:6">
      <c r="A54">
        <v>292</v>
      </c>
      <c r="B54" t="s">
        <v>551</v>
      </c>
      <c r="C54" t="s">
        <v>129</v>
      </c>
      <c r="D54">
        <v>0</v>
      </c>
      <c r="E54">
        <v>0</v>
      </c>
      <c r="F54">
        <v>0</v>
      </c>
    </row>
    <row r="55" spans="1:6">
      <c r="A55">
        <v>321</v>
      </c>
      <c r="B55" t="s">
        <v>353</v>
      </c>
      <c r="C55" t="s">
        <v>981</v>
      </c>
      <c r="D55">
        <v>0</v>
      </c>
      <c r="E55">
        <v>0</v>
      </c>
      <c r="F55">
        <v>0</v>
      </c>
    </row>
    <row r="56" spans="1:6">
      <c r="A56">
        <v>322</v>
      </c>
      <c r="B56" t="s">
        <v>353</v>
      </c>
      <c r="C56" t="s">
        <v>1274</v>
      </c>
      <c r="D56">
        <v>0</v>
      </c>
      <c r="E56">
        <v>0</v>
      </c>
      <c r="F56">
        <v>0</v>
      </c>
    </row>
    <row r="57" spans="1:6">
      <c r="A57">
        <v>331</v>
      </c>
      <c r="B57" t="s">
        <v>965</v>
      </c>
      <c r="C57" t="s">
        <v>203</v>
      </c>
      <c r="D57">
        <v>0</v>
      </c>
      <c r="E57">
        <v>0</v>
      </c>
      <c r="F57">
        <v>0</v>
      </c>
    </row>
    <row r="58" spans="1:6">
      <c r="A58">
        <v>332</v>
      </c>
      <c r="B58" t="s">
        <v>965</v>
      </c>
      <c r="C58" t="s">
        <v>1109</v>
      </c>
      <c r="D58">
        <v>0</v>
      </c>
      <c r="E58">
        <v>0</v>
      </c>
      <c r="F58">
        <v>0</v>
      </c>
    </row>
    <row r="59" spans="1:6">
      <c r="A59">
        <v>341</v>
      </c>
      <c r="B59" t="s">
        <v>888</v>
      </c>
      <c r="C59" t="s">
        <v>488</v>
      </c>
      <c r="D59">
        <v>0</v>
      </c>
      <c r="E59">
        <v>0</v>
      </c>
      <c r="F59">
        <v>0</v>
      </c>
    </row>
    <row r="60" spans="1:6">
      <c r="A60">
        <v>342</v>
      </c>
      <c r="B60" t="s">
        <v>888</v>
      </c>
      <c r="C60" t="s">
        <v>1327</v>
      </c>
      <c r="D60">
        <v>0</v>
      </c>
      <c r="E60">
        <v>0</v>
      </c>
      <c r="F60">
        <v>0</v>
      </c>
    </row>
    <row r="61" spans="1:6">
      <c r="A61">
        <v>351</v>
      </c>
      <c r="B61" t="s">
        <v>1271</v>
      </c>
      <c r="C61" t="s">
        <v>101</v>
      </c>
      <c r="D61">
        <v>0</v>
      </c>
      <c r="E61">
        <v>0</v>
      </c>
      <c r="F61">
        <v>0</v>
      </c>
    </row>
    <row r="62" spans="1:6">
      <c r="A62">
        <v>352</v>
      </c>
      <c r="B62" t="s">
        <v>1271</v>
      </c>
      <c r="C62" t="s">
        <v>1172</v>
      </c>
      <c r="D62">
        <v>0</v>
      </c>
      <c r="E62">
        <v>0</v>
      </c>
      <c r="F62">
        <v>0</v>
      </c>
    </row>
    <row r="63" spans="1:6">
      <c r="A63">
        <v>361</v>
      </c>
      <c r="B63" t="s">
        <v>378</v>
      </c>
      <c r="C63" t="s">
        <v>838</v>
      </c>
      <c r="D63">
        <v>639293.23</v>
      </c>
      <c r="E63">
        <v>9134860.8399999999</v>
      </c>
      <c r="F63">
        <v>9349606.7799999993</v>
      </c>
    </row>
    <row r="64" spans="1:6">
      <c r="A64">
        <v>362</v>
      </c>
      <c r="B64" t="s">
        <v>378</v>
      </c>
      <c r="C64" t="s">
        <v>47</v>
      </c>
      <c r="D64">
        <v>0</v>
      </c>
      <c r="E64">
        <v>1976178.2999999998</v>
      </c>
      <c r="F64">
        <v>1976178.2999999998</v>
      </c>
    </row>
    <row r="65" spans="1:6">
      <c r="A65">
        <v>363</v>
      </c>
      <c r="B65" t="s">
        <v>378</v>
      </c>
      <c r="C65" t="s">
        <v>704</v>
      </c>
      <c r="D65">
        <v>0</v>
      </c>
      <c r="E65">
        <v>0</v>
      </c>
      <c r="F65">
        <v>0</v>
      </c>
    </row>
    <row r="66" spans="1:6">
      <c r="A66">
        <v>451</v>
      </c>
      <c r="B66" t="s">
        <v>1203</v>
      </c>
      <c r="C66" t="s">
        <v>148</v>
      </c>
      <c r="D66">
        <v>0</v>
      </c>
      <c r="E66">
        <v>0</v>
      </c>
      <c r="F66">
        <v>0</v>
      </c>
    </row>
    <row r="67" spans="1:6">
      <c r="A67">
        <v>471</v>
      </c>
      <c r="B67" t="s">
        <v>823</v>
      </c>
      <c r="C67" t="s">
        <v>1117</v>
      </c>
      <c r="D67">
        <v>154204.81999999998</v>
      </c>
      <c r="E67">
        <v>4549866.8299999991</v>
      </c>
      <c r="F67">
        <v>4337227.6099999994</v>
      </c>
    </row>
    <row r="68" spans="1:6">
      <c r="A68">
        <v>472</v>
      </c>
      <c r="B68" t="s">
        <v>823</v>
      </c>
      <c r="C68" t="s">
        <v>1326</v>
      </c>
      <c r="D68">
        <v>0</v>
      </c>
      <c r="E68">
        <v>0</v>
      </c>
      <c r="F68">
        <v>0</v>
      </c>
    </row>
    <row r="69" spans="1:6">
      <c r="A69">
        <v>481</v>
      </c>
      <c r="B69" t="s">
        <v>1041</v>
      </c>
      <c r="C69" t="s">
        <v>807</v>
      </c>
      <c r="D69">
        <v>0</v>
      </c>
      <c r="E69">
        <v>0</v>
      </c>
      <c r="F69">
        <v>0</v>
      </c>
    </row>
    <row r="70" spans="1:6">
      <c r="A70">
        <v>501</v>
      </c>
      <c r="B70" t="s">
        <v>644</v>
      </c>
      <c r="C70" t="s">
        <v>33</v>
      </c>
      <c r="D70">
        <v>0</v>
      </c>
      <c r="E70">
        <v>0</v>
      </c>
      <c r="F70">
        <v>0</v>
      </c>
    </row>
    <row r="71" spans="1:6">
      <c r="A71">
        <v>511</v>
      </c>
      <c r="B71" t="s">
        <v>133</v>
      </c>
      <c r="C71" t="s">
        <v>607</v>
      </c>
      <c r="D71">
        <v>0</v>
      </c>
      <c r="E71">
        <v>0</v>
      </c>
      <c r="F71">
        <v>0</v>
      </c>
    </row>
    <row r="72" spans="1:6">
      <c r="A72">
        <v>512</v>
      </c>
      <c r="B72" t="s">
        <v>133</v>
      </c>
      <c r="C72" t="s">
        <v>658</v>
      </c>
      <c r="D72">
        <v>0</v>
      </c>
      <c r="E72">
        <v>0</v>
      </c>
      <c r="F72">
        <v>0</v>
      </c>
    </row>
    <row r="73" spans="1:6">
      <c r="A73">
        <v>521</v>
      </c>
      <c r="B73" t="s">
        <v>603</v>
      </c>
      <c r="C73" t="s">
        <v>1200</v>
      </c>
      <c r="D73">
        <v>-34345.379999999997</v>
      </c>
      <c r="E73">
        <v>166641.29999999999</v>
      </c>
      <c r="F73">
        <v>153808.63999999998</v>
      </c>
    </row>
    <row r="74" spans="1:6">
      <c r="A74">
        <v>531</v>
      </c>
      <c r="B74" t="s">
        <v>1014</v>
      </c>
      <c r="C74" t="s">
        <v>52</v>
      </c>
      <c r="D74">
        <v>79154.62</v>
      </c>
      <c r="E74">
        <v>1752662.5299999998</v>
      </c>
      <c r="F74">
        <v>1729309.94</v>
      </c>
    </row>
    <row r="75" spans="1:6">
      <c r="A75">
        <v>541</v>
      </c>
      <c r="B75" t="s">
        <v>850</v>
      </c>
      <c r="C75" t="s">
        <v>904</v>
      </c>
      <c r="D75">
        <v>2257</v>
      </c>
      <c r="E75">
        <v>0</v>
      </c>
      <c r="F75">
        <v>0</v>
      </c>
    </row>
    <row r="76" spans="1:6">
      <c r="A76">
        <v>542</v>
      </c>
      <c r="B76" t="s">
        <v>850</v>
      </c>
      <c r="C76" t="s">
        <v>422</v>
      </c>
      <c r="D76">
        <v>0</v>
      </c>
      <c r="E76">
        <v>0</v>
      </c>
      <c r="F76">
        <v>0</v>
      </c>
    </row>
    <row r="77" spans="1:6">
      <c r="A77">
        <v>561</v>
      </c>
      <c r="B77" t="s">
        <v>820</v>
      </c>
      <c r="C77" t="s">
        <v>837</v>
      </c>
      <c r="D77">
        <v>244681.33</v>
      </c>
      <c r="E77">
        <v>3351578.24</v>
      </c>
      <c r="F77">
        <v>3136379.93</v>
      </c>
    </row>
    <row r="78" spans="1:6">
      <c r="A78">
        <v>571</v>
      </c>
      <c r="B78" t="s">
        <v>365</v>
      </c>
      <c r="C78" t="s">
        <v>1150</v>
      </c>
      <c r="D78">
        <v>-751588.15999999992</v>
      </c>
      <c r="E78">
        <v>5096076.8199999994</v>
      </c>
      <c r="F78">
        <v>5042780.1899999995</v>
      </c>
    </row>
    <row r="79" spans="1:6">
      <c r="A79">
        <v>572</v>
      </c>
      <c r="B79" t="s">
        <v>365</v>
      </c>
      <c r="C79" t="s">
        <v>208</v>
      </c>
      <c r="D79">
        <v>-145440.50999999998</v>
      </c>
      <c r="E79">
        <v>3555798.0999999996</v>
      </c>
      <c r="F79">
        <v>3611686.78</v>
      </c>
    </row>
    <row r="80" spans="1:6">
      <c r="A80">
        <v>591</v>
      </c>
      <c r="B80" t="s">
        <v>86</v>
      </c>
      <c r="C80" t="s">
        <v>674</v>
      </c>
      <c r="D80">
        <v>0</v>
      </c>
      <c r="E80">
        <v>0</v>
      </c>
      <c r="F80">
        <v>0</v>
      </c>
    </row>
    <row r="81" spans="1:6">
      <c r="A81">
        <v>592</v>
      </c>
      <c r="B81" t="s">
        <v>86</v>
      </c>
      <c r="C81" t="s">
        <v>1300</v>
      </c>
      <c r="D81">
        <v>0</v>
      </c>
      <c r="E81">
        <v>0</v>
      </c>
      <c r="F81">
        <v>0</v>
      </c>
    </row>
    <row r="82" spans="1:6">
      <c r="A82">
        <v>601</v>
      </c>
      <c r="B82" t="s">
        <v>895</v>
      </c>
      <c r="C82" t="s">
        <v>722</v>
      </c>
      <c r="D82">
        <v>0</v>
      </c>
      <c r="E82">
        <v>0</v>
      </c>
      <c r="F82">
        <v>0</v>
      </c>
    </row>
    <row r="83" spans="1:6">
      <c r="A83">
        <v>602</v>
      </c>
      <c r="B83" t="s">
        <v>895</v>
      </c>
      <c r="C83" t="s">
        <v>1300</v>
      </c>
      <c r="D83">
        <v>0</v>
      </c>
      <c r="E83">
        <v>0</v>
      </c>
      <c r="F83">
        <v>0</v>
      </c>
    </row>
    <row r="84" spans="1:6">
      <c r="A84">
        <v>621</v>
      </c>
      <c r="B84" t="s">
        <v>795</v>
      </c>
      <c r="C84" t="s">
        <v>285</v>
      </c>
      <c r="D84">
        <v>3610.54</v>
      </c>
      <c r="E84">
        <v>0</v>
      </c>
      <c r="F84">
        <v>0</v>
      </c>
    </row>
    <row r="85" spans="1:6">
      <c r="A85">
        <v>641</v>
      </c>
      <c r="B85" t="s">
        <v>1007</v>
      </c>
      <c r="C85" t="s">
        <v>742</v>
      </c>
      <c r="D85">
        <v>50856.57</v>
      </c>
      <c r="E85">
        <v>0</v>
      </c>
      <c r="F85">
        <v>50856.57</v>
      </c>
    </row>
    <row r="86" spans="1:6">
      <c r="A86">
        <v>691</v>
      </c>
      <c r="B86" t="s">
        <v>1053</v>
      </c>
      <c r="C86" t="s">
        <v>643</v>
      </c>
      <c r="D86">
        <v>33193.919999999998</v>
      </c>
      <c r="E86">
        <v>0</v>
      </c>
      <c r="F86">
        <v>403000.07999999996</v>
      </c>
    </row>
    <row r="87" spans="1:6">
      <c r="A87">
        <v>701</v>
      </c>
      <c r="B87" t="s">
        <v>262</v>
      </c>
      <c r="C87" t="s">
        <v>685</v>
      </c>
      <c r="D87">
        <v>0</v>
      </c>
      <c r="E87">
        <v>0</v>
      </c>
      <c r="F87">
        <v>0</v>
      </c>
    </row>
    <row r="88" spans="1:6">
      <c r="A88">
        <v>711</v>
      </c>
      <c r="B88" t="s">
        <v>1349</v>
      </c>
      <c r="C88" t="s">
        <v>94</v>
      </c>
      <c r="D88">
        <v>0</v>
      </c>
      <c r="E88">
        <v>0</v>
      </c>
      <c r="F88">
        <v>0</v>
      </c>
    </row>
    <row r="89" spans="1:6">
      <c r="A89">
        <v>721</v>
      </c>
      <c r="B89" t="s">
        <v>649</v>
      </c>
      <c r="C89" t="s">
        <v>773</v>
      </c>
      <c r="D89">
        <v>0</v>
      </c>
      <c r="E89">
        <v>0</v>
      </c>
      <c r="F89">
        <v>0</v>
      </c>
    </row>
    <row r="90" spans="1:6">
      <c r="A90">
        <v>741</v>
      </c>
      <c r="B90" t="s">
        <v>1019</v>
      </c>
      <c r="C90" t="s">
        <v>46</v>
      </c>
      <c r="D90">
        <v>0</v>
      </c>
      <c r="E90">
        <v>0</v>
      </c>
      <c r="F90">
        <v>0</v>
      </c>
    </row>
    <row r="91" spans="1:6">
      <c r="A91">
        <v>751</v>
      </c>
      <c r="B91" t="s">
        <v>621</v>
      </c>
      <c r="C91" t="s">
        <v>1273</v>
      </c>
      <c r="D91">
        <v>0</v>
      </c>
      <c r="E91">
        <v>0</v>
      </c>
      <c r="F91">
        <v>0</v>
      </c>
    </row>
    <row r="92" spans="1:6">
      <c r="A92">
        <v>761</v>
      </c>
      <c r="B92" t="s">
        <v>348</v>
      </c>
      <c r="C92" t="s">
        <v>185</v>
      </c>
      <c r="D92">
        <v>0</v>
      </c>
      <c r="E92">
        <v>0</v>
      </c>
      <c r="F92">
        <v>0</v>
      </c>
    </row>
    <row r="93" spans="1:6">
      <c r="A93">
        <v>771</v>
      </c>
      <c r="B93" t="s">
        <v>710</v>
      </c>
      <c r="C93" t="s">
        <v>703</v>
      </c>
      <c r="D93">
        <v>0</v>
      </c>
      <c r="E93">
        <v>0</v>
      </c>
      <c r="F93">
        <v>0</v>
      </c>
    </row>
    <row r="94" spans="1:6">
      <c r="A94">
        <v>781</v>
      </c>
      <c r="B94" t="s">
        <v>753</v>
      </c>
      <c r="C94" t="s">
        <v>534</v>
      </c>
      <c r="D94">
        <v>0</v>
      </c>
      <c r="E94">
        <v>0</v>
      </c>
      <c r="F94">
        <v>0</v>
      </c>
    </row>
    <row r="95" spans="1:6">
      <c r="A95">
        <v>791</v>
      </c>
      <c r="B95" t="s">
        <v>1356</v>
      </c>
      <c r="C95" t="s">
        <v>1325</v>
      </c>
      <c r="D95">
        <v>0</v>
      </c>
      <c r="E95">
        <v>0</v>
      </c>
      <c r="F95">
        <v>0</v>
      </c>
    </row>
    <row r="96" spans="1:6">
      <c r="A96">
        <v>811</v>
      </c>
      <c r="B96" t="s">
        <v>385</v>
      </c>
      <c r="C96" t="s">
        <v>954</v>
      </c>
      <c r="D96">
        <v>6030.11</v>
      </c>
      <c r="E96">
        <v>0</v>
      </c>
      <c r="F96">
        <v>0</v>
      </c>
    </row>
    <row r="97" spans="1:6">
      <c r="A97">
        <v>821</v>
      </c>
      <c r="B97" t="s">
        <v>577</v>
      </c>
      <c r="C97" t="s">
        <v>1088</v>
      </c>
      <c r="D97">
        <v>0</v>
      </c>
      <c r="E97">
        <v>0</v>
      </c>
      <c r="F97">
        <v>0</v>
      </c>
    </row>
    <row r="98" spans="1:6">
      <c r="A98">
        <v>831</v>
      </c>
      <c r="B98" t="s">
        <v>826</v>
      </c>
      <c r="C98" t="s">
        <v>1205</v>
      </c>
      <c r="D98">
        <v>0</v>
      </c>
      <c r="E98">
        <v>0</v>
      </c>
      <c r="F98">
        <v>0</v>
      </c>
    </row>
    <row r="99" spans="1:6">
      <c r="A99">
        <v>851</v>
      </c>
      <c r="B99" t="s">
        <v>284</v>
      </c>
      <c r="C99" t="s">
        <v>254</v>
      </c>
      <c r="D99">
        <v>404561.5</v>
      </c>
      <c r="E99">
        <v>0</v>
      </c>
      <c r="F99">
        <v>0</v>
      </c>
    </row>
    <row r="100" spans="1:6">
      <c r="A100">
        <v>852</v>
      </c>
      <c r="B100" t="s">
        <v>284</v>
      </c>
      <c r="C100" t="s">
        <v>247</v>
      </c>
      <c r="D100">
        <v>-482044.15999999997</v>
      </c>
      <c r="E100">
        <v>0</v>
      </c>
      <c r="F100">
        <v>482044.15999999997</v>
      </c>
    </row>
    <row r="101" spans="1:6">
      <c r="A101">
        <v>861</v>
      </c>
      <c r="B101" t="s">
        <v>443</v>
      </c>
      <c r="C101" t="s">
        <v>1135</v>
      </c>
      <c r="D101">
        <v>-125274.1</v>
      </c>
      <c r="E101">
        <v>482044.15999999997</v>
      </c>
      <c r="F101">
        <v>165000</v>
      </c>
    </row>
    <row r="102" spans="1:6">
      <c r="A102">
        <v>862</v>
      </c>
      <c r="B102" t="s">
        <v>443</v>
      </c>
      <c r="C102" t="s">
        <v>247</v>
      </c>
      <c r="D102">
        <v>-482044.15999999997</v>
      </c>
      <c r="E102">
        <v>0</v>
      </c>
      <c r="F102">
        <v>482044.15999999997</v>
      </c>
    </row>
    <row r="103" spans="1:6">
      <c r="A103">
        <v>901</v>
      </c>
      <c r="B103" t="s">
        <v>1253</v>
      </c>
      <c r="C103" t="s">
        <v>903</v>
      </c>
      <c r="D103">
        <v>0</v>
      </c>
      <c r="E103">
        <v>0</v>
      </c>
      <c r="F103">
        <v>0</v>
      </c>
    </row>
    <row r="104" spans="1:6">
      <c r="A104">
        <v>911</v>
      </c>
      <c r="B104" t="s">
        <v>980</v>
      </c>
      <c r="C104" t="s">
        <v>751</v>
      </c>
      <c r="D104">
        <v>0</v>
      </c>
      <c r="E104">
        <v>0</v>
      </c>
      <c r="F104">
        <v>1500</v>
      </c>
    </row>
    <row r="105" spans="1:6">
      <c r="A105">
        <v>921</v>
      </c>
      <c r="B105" t="s">
        <v>538</v>
      </c>
      <c r="C105" t="s">
        <v>1084</v>
      </c>
      <c r="D105">
        <v>0</v>
      </c>
      <c r="E105">
        <v>0</v>
      </c>
      <c r="F105">
        <v>0</v>
      </c>
    </row>
    <row r="106" spans="1:6">
      <c r="A106">
        <v>1001</v>
      </c>
      <c r="B106" t="s">
        <v>350</v>
      </c>
      <c r="C106" t="s">
        <v>1178</v>
      </c>
      <c r="D106">
        <v>0</v>
      </c>
      <c r="E106">
        <v>0</v>
      </c>
      <c r="F106">
        <v>0</v>
      </c>
    </row>
    <row r="107" spans="1:6">
      <c r="A107">
        <v>1021</v>
      </c>
      <c r="B107" t="s">
        <v>507</v>
      </c>
      <c r="C107" t="s">
        <v>1290</v>
      </c>
      <c r="D107">
        <v>0</v>
      </c>
      <c r="E107">
        <v>0</v>
      </c>
      <c r="F107">
        <v>0</v>
      </c>
    </row>
    <row r="108" spans="1:6">
      <c r="A108">
        <v>1022</v>
      </c>
      <c r="B108" t="s">
        <v>507</v>
      </c>
      <c r="C108" t="s">
        <v>638</v>
      </c>
      <c r="D108">
        <v>0</v>
      </c>
      <c r="E108">
        <v>0</v>
      </c>
      <c r="F108">
        <v>0</v>
      </c>
    </row>
    <row r="109" spans="1:6">
      <c r="A109">
        <v>1031</v>
      </c>
      <c r="B109" t="s">
        <v>1334</v>
      </c>
      <c r="C109" t="s">
        <v>777</v>
      </c>
      <c r="D109">
        <v>7000.83</v>
      </c>
      <c r="E109">
        <v>0</v>
      </c>
      <c r="F109">
        <v>0</v>
      </c>
    </row>
    <row r="110" spans="1:6">
      <c r="A110">
        <v>1041</v>
      </c>
      <c r="B110" t="s">
        <v>664</v>
      </c>
      <c r="C110" t="s">
        <v>750</v>
      </c>
      <c r="D110">
        <v>0</v>
      </c>
      <c r="E110">
        <v>0</v>
      </c>
      <c r="F110">
        <v>0</v>
      </c>
    </row>
    <row r="111" spans="1:6">
      <c r="A111">
        <v>1051</v>
      </c>
      <c r="B111" t="s">
        <v>1142</v>
      </c>
      <c r="C111" t="s">
        <v>148</v>
      </c>
      <c r="D111">
        <v>0</v>
      </c>
      <c r="E111">
        <v>0</v>
      </c>
      <c r="F111">
        <v>0</v>
      </c>
    </row>
    <row r="112" spans="1:6">
      <c r="A112">
        <v>1071</v>
      </c>
      <c r="B112" t="s">
        <v>1230</v>
      </c>
      <c r="C112" t="s">
        <v>1049</v>
      </c>
      <c r="D112">
        <v>943547.71</v>
      </c>
      <c r="E112">
        <v>7266966.3299999991</v>
      </c>
      <c r="F112">
        <v>7333589.6999999993</v>
      </c>
    </row>
    <row r="113" spans="1:6">
      <c r="A113">
        <v>1072</v>
      </c>
      <c r="B113" t="s">
        <v>1230</v>
      </c>
      <c r="C113" t="s">
        <v>583</v>
      </c>
      <c r="D113">
        <v>0</v>
      </c>
      <c r="E113">
        <v>0</v>
      </c>
      <c r="F113">
        <v>0</v>
      </c>
    </row>
    <row r="114" spans="1:6">
      <c r="A114">
        <v>1081</v>
      </c>
      <c r="B114" t="s">
        <v>1041</v>
      </c>
      <c r="C114" t="s">
        <v>807</v>
      </c>
      <c r="D114">
        <v>0</v>
      </c>
      <c r="E114">
        <v>0</v>
      </c>
      <c r="F114">
        <v>0</v>
      </c>
    </row>
    <row r="115" spans="1:6">
      <c r="A115">
        <v>1091</v>
      </c>
      <c r="B115" t="s">
        <v>401</v>
      </c>
      <c r="C115" t="s">
        <v>487</v>
      </c>
      <c r="D115">
        <v>-33006.71</v>
      </c>
      <c r="E115">
        <v>-33006.71</v>
      </c>
      <c r="F115">
        <v>0</v>
      </c>
    </row>
    <row r="116" spans="1:6">
      <c r="A116">
        <v>1092</v>
      </c>
      <c r="B116" t="s">
        <v>401</v>
      </c>
      <c r="C116" t="s">
        <v>700</v>
      </c>
      <c r="D116">
        <v>0</v>
      </c>
      <c r="E116">
        <v>0</v>
      </c>
      <c r="F116">
        <v>0</v>
      </c>
    </row>
    <row r="117" spans="1:6">
      <c r="A117">
        <v>1101</v>
      </c>
      <c r="B117" t="s">
        <v>167</v>
      </c>
      <c r="C117" t="s">
        <v>1080</v>
      </c>
      <c r="D117">
        <v>0</v>
      </c>
      <c r="E117">
        <v>0</v>
      </c>
      <c r="F117">
        <v>0</v>
      </c>
    </row>
    <row r="118" spans="1:6">
      <c r="A118">
        <v>1102</v>
      </c>
      <c r="B118" t="s">
        <v>167</v>
      </c>
      <c r="C118" t="s">
        <v>1279</v>
      </c>
      <c r="D118">
        <v>0</v>
      </c>
      <c r="E118">
        <v>0</v>
      </c>
      <c r="F118">
        <v>0</v>
      </c>
    </row>
    <row r="119" spans="1:6">
      <c r="A119">
        <v>1121</v>
      </c>
      <c r="B119" t="s">
        <v>1355</v>
      </c>
      <c r="C119" t="s">
        <v>202</v>
      </c>
      <c r="D119">
        <v>0</v>
      </c>
      <c r="E119">
        <v>0</v>
      </c>
      <c r="F119">
        <v>0</v>
      </c>
    </row>
    <row r="120" spans="1:6">
      <c r="A120">
        <v>1122</v>
      </c>
      <c r="B120" t="s">
        <v>1355</v>
      </c>
      <c r="C120" t="s">
        <v>658</v>
      </c>
      <c r="D120">
        <v>0</v>
      </c>
      <c r="E120">
        <v>0</v>
      </c>
      <c r="F120">
        <v>0</v>
      </c>
    </row>
    <row r="121" spans="1:6">
      <c r="A121">
        <v>1131</v>
      </c>
      <c r="B121" t="s">
        <v>1028</v>
      </c>
      <c r="C121" t="s">
        <v>309</v>
      </c>
      <c r="D121">
        <v>32326.76</v>
      </c>
      <c r="E121">
        <v>358215.55</v>
      </c>
      <c r="F121">
        <v>345543.62</v>
      </c>
    </row>
    <row r="122" spans="1:6">
      <c r="A122">
        <v>1141</v>
      </c>
      <c r="B122" t="s">
        <v>225</v>
      </c>
      <c r="C122" t="s">
        <v>1200</v>
      </c>
      <c r="D122">
        <v>34345.379999999997</v>
      </c>
      <c r="E122">
        <v>166641.29999999999</v>
      </c>
      <c r="F122">
        <v>153808.63999999998</v>
      </c>
    </row>
    <row r="123" spans="1:6">
      <c r="A123">
        <v>1151</v>
      </c>
      <c r="B123" t="s">
        <v>637</v>
      </c>
      <c r="C123" t="s">
        <v>667</v>
      </c>
      <c r="D123">
        <v>-79154.62</v>
      </c>
      <c r="E123">
        <v>1752662.5299999998</v>
      </c>
      <c r="F123">
        <v>1729309.94</v>
      </c>
    </row>
    <row r="124" spans="1:6">
      <c r="A124">
        <v>1161</v>
      </c>
      <c r="B124" t="s">
        <v>1027</v>
      </c>
      <c r="C124" t="s">
        <v>1045</v>
      </c>
      <c r="D124">
        <v>0</v>
      </c>
      <c r="E124">
        <v>0</v>
      </c>
      <c r="F124">
        <v>0</v>
      </c>
    </row>
    <row r="125" spans="1:6">
      <c r="A125">
        <v>1162</v>
      </c>
      <c r="B125" t="s">
        <v>1027</v>
      </c>
      <c r="C125" t="s">
        <v>1333</v>
      </c>
      <c r="D125">
        <v>317110.24</v>
      </c>
      <c r="E125">
        <v>172169.65</v>
      </c>
      <c r="F125">
        <v>32127.609999999997</v>
      </c>
    </row>
    <row r="126" spans="1:6">
      <c r="A126">
        <v>1171</v>
      </c>
      <c r="B126" t="s">
        <v>121</v>
      </c>
      <c r="C126" t="s">
        <v>1134</v>
      </c>
      <c r="D126">
        <v>0</v>
      </c>
      <c r="E126">
        <v>0</v>
      </c>
      <c r="F126">
        <v>0</v>
      </c>
    </row>
    <row r="127" spans="1:6">
      <c r="A127">
        <v>1191</v>
      </c>
      <c r="B127" t="s">
        <v>657</v>
      </c>
      <c r="C127" t="s">
        <v>576</v>
      </c>
      <c r="D127">
        <v>0</v>
      </c>
      <c r="E127">
        <v>0</v>
      </c>
      <c r="F127">
        <v>0</v>
      </c>
    </row>
    <row r="128" spans="1:6">
      <c r="A128">
        <v>1201</v>
      </c>
      <c r="B128" t="s">
        <v>1202</v>
      </c>
      <c r="C128" t="s">
        <v>1150</v>
      </c>
      <c r="D128">
        <v>751588.15999999992</v>
      </c>
      <c r="E128">
        <v>5096076.8199999994</v>
      </c>
      <c r="F128">
        <v>5042780.1899999995</v>
      </c>
    </row>
    <row r="129" spans="1:6">
      <c r="A129">
        <v>1202</v>
      </c>
      <c r="B129" t="s">
        <v>1202</v>
      </c>
      <c r="C129" t="s">
        <v>806</v>
      </c>
      <c r="D129">
        <v>0</v>
      </c>
      <c r="E129">
        <v>0</v>
      </c>
      <c r="F129">
        <v>0</v>
      </c>
    </row>
    <row r="130" spans="1:6">
      <c r="A130">
        <v>1221</v>
      </c>
      <c r="B130" t="s">
        <v>537</v>
      </c>
      <c r="C130" t="s">
        <v>13</v>
      </c>
      <c r="D130">
        <v>0</v>
      </c>
      <c r="E130">
        <v>0</v>
      </c>
      <c r="F130">
        <v>0</v>
      </c>
    </row>
    <row r="131" spans="1:6">
      <c r="A131">
        <v>1241</v>
      </c>
      <c r="B131" t="s">
        <v>471</v>
      </c>
      <c r="C131" t="s">
        <v>1242</v>
      </c>
      <c r="D131">
        <v>0</v>
      </c>
      <c r="E131">
        <v>0</v>
      </c>
      <c r="F131">
        <v>0</v>
      </c>
    </row>
  </sheetData>
  <sheetProtection sheet="1"/>
  <phoneticPr fontId="0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:N48"/>
  <sheetViews>
    <sheetView topLeftCell="A18" workbookViewId="0"/>
  </sheetViews>
  <sheetFormatPr defaultRowHeight="15"/>
  <cols>
    <col min="1" max="14" width="6" customWidth="1"/>
  </cols>
  <sheetData>
    <row r="1" spans="1:14">
      <c r="A1" s="60"/>
      <c r="B1" s="60"/>
      <c r="C1" s="60"/>
      <c r="D1" s="60"/>
      <c r="E1" s="60"/>
      <c r="F1" s="60"/>
      <c r="G1" s="61"/>
      <c r="H1" s="61"/>
      <c r="I1" s="61"/>
      <c r="J1" s="61"/>
      <c r="K1" s="61"/>
      <c r="L1" s="61"/>
      <c r="M1" s="61"/>
      <c r="N1" s="61"/>
    </row>
    <row r="2" spans="1:14" ht="18.75">
      <c r="A2" s="334" t="s">
        <v>1078</v>
      </c>
      <c r="B2" s="334"/>
      <c r="C2" s="334"/>
      <c r="D2" s="334"/>
      <c r="E2" s="334"/>
      <c r="F2" s="334"/>
      <c r="G2" s="334"/>
      <c r="H2" s="334"/>
      <c r="I2" s="334"/>
      <c r="J2" s="334"/>
      <c r="K2" s="334"/>
      <c r="L2" s="334"/>
      <c r="M2" s="334"/>
      <c r="N2" s="334"/>
    </row>
    <row r="4" spans="1:14" ht="15.75" customHeight="1">
      <c r="A4" s="133" t="s">
        <v>1030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</row>
    <row r="6" spans="1:14" ht="15" customHeight="1">
      <c r="A6" s="204" t="s">
        <v>201</v>
      </c>
      <c r="B6" s="204"/>
      <c r="C6" s="204"/>
      <c r="D6" s="204"/>
      <c r="E6" s="204"/>
      <c r="F6" s="204"/>
      <c r="G6" s="181" t="s">
        <v>332</v>
      </c>
      <c r="H6" s="181"/>
      <c r="I6" s="181"/>
      <c r="J6" s="181"/>
      <c r="K6" s="181"/>
      <c r="L6" s="181"/>
      <c r="M6" s="181"/>
      <c r="N6" s="181"/>
    </row>
    <row r="7" spans="1:14" ht="24.95" customHeight="1">
      <c r="A7" s="205"/>
      <c r="B7" s="205"/>
      <c r="C7" s="205"/>
      <c r="D7" s="205"/>
      <c r="E7" s="205"/>
      <c r="F7" s="205"/>
      <c r="G7" s="199" t="s">
        <v>641</v>
      </c>
      <c r="H7" s="199"/>
      <c r="I7" s="199"/>
      <c r="J7" s="199"/>
      <c r="K7" s="199" t="s">
        <v>1295</v>
      </c>
      <c r="L7" s="199"/>
      <c r="M7" s="199"/>
      <c r="N7" s="199"/>
    </row>
    <row r="8" spans="1:14" ht="15" customHeight="1">
      <c r="A8" s="335" t="s">
        <v>231</v>
      </c>
      <c r="B8" s="335"/>
      <c r="C8" s="335"/>
      <c r="D8" s="335"/>
      <c r="E8" s="335"/>
      <c r="F8" s="335"/>
      <c r="G8" s="341"/>
      <c r="H8" s="341"/>
      <c r="I8" s="341"/>
      <c r="J8" s="341"/>
      <c r="K8" s="184"/>
      <c r="L8" s="184"/>
      <c r="M8" s="184"/>
      <c r="N8" s="184"/>
    </row>
    <row r="9" spans="1:14" ht="15" customHeight="1">
      <c r="A9" s="338" t="s">
        <v>58</v>
      </c>
      <c r="B9" s="338"/>
      <c r="C9" s="338"/>
      <c r="D9" s="338"/>
      <c r="E9" s="338"/>
      <c r="F9" s="338"/>
      <c r="G9" s="339"/>
      <c r="H9" s="339"/>
      <c r="I9" s="339"/>
      <c r="J9" s="339"/>
      <c r="K9" s="339"/>
      <c r="L9" s="339"/>
      <c r="M9" s="339"/>
      <c r="N9" s="339"/>
    </row>
    <row r="10" spans="1:14" ht="15" customHeight="1">
      <c r="A10" s="338" t="s">
        <v>1179</v>
      </c>
      <c r="B10" s="338"/>
      <c r="C10" s="338"/>
      <c r="D10" s="338"/>
      <c r="E10" s="338"/>
      <c r="F10" s="338"/>
      <c r="G10" s="339"/>
      <c r="H10" s="339"/>
      <c r="I10" s="339"/>
      <c r="J10" s="339"/>
      <c r="K10" s="339"/>
      <c r="L10" s="339"/>
      <c r="M10" s="339"/>
      <c r="N10" s="339"/>
    </row>
    <row r="11" spans="1:14" ht="15" customHeight="1">
      <c r="A11" s="338" t="s">
        <v>831</v>
      </c>
      <c r="B11" s="338"/>
      <c r="C11" s="338"/>
      <c r="D11" s="338"/>
      <c r="E11" s="338"/>
      <c r="F11" s="338"/>
      <c r="G11" s="338"/>
      <c r="H11" s="338"/>
      <c r="I11" s="338"/>
      <c r="J11" s="338"/>
      <c r="K11" s="180"/>
      <c r="L11" s="180"/>
      <c r="M11" s="180"/>
      <c r="N11" s="180"/>
    </row>
    <row r="12" spans="1:14" ht="15" customHeight="1">
      <c r="A12" s="338" t="s">
        <v>452</v>
      </c>
      <c r="B12" s="338"/>
      <c r="C12" s="338"/>
      <c r="D12" s="338"/>
      <c r="E12" s="338"/>
      <c r="F12" s="338"/>
      <c r="G12" s="339"/>
      <c r="H12" s="339"/>
      <c r="I12" s="339"/>
      <c r="J12" s="339"/>
      <c r="K12" s="339"/>
      <c r="L12" s="339"/>
      <c r="M12" s="339"/>
      <c r="N12" s="339"/>
    </row>
    <row r="13" spans="1:14" ht="15" customHeight="1">
      <c r="A13" s="338" t="s">
        <v>561</v>
      </c>
      <c r="B13" s="338"/>
      <c r="C13" s="338"/>
      <c r="D13" s="338"/>
      <c r="E13" s="338"/>
      <c r="F13" s="338"/>
      <c r="G13" s="339"/>
      <c r="H13" s="339"/>
      <c r="I13" s="339"/>
      <c r="J13" s="339"/>
      <c r="K13" s="339"/>
      <c r="L13" s="339"/>
      <c r="M13" s="339"/>
      <c r="N13" s="339"/>
    </row>
    <row r="14" spans="1:14" ht="15" customHeight="1"/>
    <row r="15" spans="1:14" ht="15" customHeight="1">
      <c r="A15" s="133" t="s">
        <v>1161</v>
      </c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</row>
    <row r="17" spans="1:14">
      <c r="A17" s="204" t="s">
        <v>201</v>
      </c>
      <c r="B17" s="204"/>
      <c r="C17" s="204"/>
      <c r="D17" s="204"/>
      <c r="E17" s="204"/>
      <c r="F17" s="204"/>
      <c r="G17" s="181" t="s">
        <v>360</v>
      </c>
      <c r="H17" s="181"/>
      <c r="I17" s="181"/>
      <c r="J17" s="181"/>
      <c r="K17" s="181"/>
      <c r="L17" s="181"/>
      <c r="M17" s="181"/>
      <c r="N17" s="181"/>
    </row>
    <row r="18" spans="1:14" ht="24.95" customHeight="1">
      <c r="A18" s="205"/>
      <c r="B18" s="205"/>
      <c r="C18" s="205"/>
      <c r="D18" s="205"/>
      <c r="E18" s="205"/>
      <c r="F18" s="205"/>
      <c r="G18" s="199" t="s">
        <v>641</v>
      </c>
      <c r="H18" s="199"/>
      <c r="I18" s="199"/>
      <c r="J18" s="199"/>
      <c r="K18" s="199" t="s">
        <v>1295</v>
      </c>
      <c r="L18" s="199"/>
      <c r="M18" s="199"/>
      <c r="N18" s="199"/>
    </row>
    <row r="19" spans="1:14" ht="15" customHeight="1">
      <c r="A19" s="335" t="s">
        <v>231</v>
      </c>
      <c r="B19" s="335"/>
      <c r="C19" s="335"/>
      <c r="D19" s="335"/>
      <c r="E19" s="335"/>
      <c r="F19" s="335"/>
      <c r="G19" s="341"/>
      <c r="H19" s="341"/>
      <c r="I19" s="341"/>
      <c r="J19" s="341"/>
      <c r="K19" s="184"/>
      <c r="L19" s="184"/>
      <c r="M19" s="184"/>
      <c r="N19" s="184"/>
    </row>
    <row r="20" spans="1:14" ht="15" customHeight="1">
      <c r="A20" s="338" t="s">
        <v>58</v>
      </c>
      <c r="B20" s="338"/>
      <c r="C20" s="338"/>
      <c r="D20" s="338"/>
      <c r="E20" s="338"/>
      <c r="F20" s="338"/>
      <c r="G20" s="339"/>
      <c r="H20" s="339"/>
      <c r="I20" s="339"/>
      <c r="J20" s="339"/>
      <c r="K20" s="339"/>
      <c r="L20" s="339"/>
      <c r="M20" s="339"/>
      <c r="N20" s="339"/>
    </row>
    <row r="21" spans="1:14" ht="15" customHeight="1">
      <c r="A21" s="338" t="s">
        <v>1179</v>
      </c>
      <c r="B21" s="338"/>
      <c r="C21" s="338"/>
      <c r="D21" s="338"/>
      <c r="E21" s="338"/>
      <c r="F21" s="338"/>
      <c r="G21" s="339"/>
      <c r="H21" s="339"/>
      <c r="I21" s="339"/>
      <c r="J21" s="339"/>
      <c r="K21" s="339"/>
      <c r="L21" s="339"/>
      <c r="M21" s="339"/>
      <c r="N21" s="339"/>
    </row>
    <row r="22" spans="1:14" ht="15" customHeight="1">
      <c r="A22" s="338" t="s">
        <v>831</v>
      </c>
      <c r="B22" s="338"/>
      <c r="C22" s="338"/>
      <c r="D22" s="338"/>
      <c r="E22" s="338"/>
      <c r="F22" s="338"/>
      <c r="G22" s="338"/>
      <c r="H22" s="338"/>
      <c r="I22" s="338"/>
      <c r="J22" s="338"/>
      <c r="K22" s="180"/>
      <c r="L22" s="180"/>
      <c r="M22" s="180"/>
      <c r="N22" s="180"/>
    </row>
    <row r="23" spans="1:14" ht="15" customHeight="1">
      <c r="A23" s="338" t="s">
        <v>452</v>
      </c>
      <c r="B23" s="338"/>
      <c r="C23" s="338"/>
      <c r="D23" s="338"/>
      <c r="E23" s="338"/>
      <c r="F23" s="338"/>
      <c r="G23" s="339"/>
      <c r="H23" s="339"/>
      <c r="I23" s="339"/>
      <c r="J23" s="339"/>
      <c r="K23" s="339"/>
      <c r="L23" s="339"/>
      <c r="M23" s="339"/>
      <c r="N23" s="339"/>
    </row>
    <row r="24" spans="1:14" ht="15" customHeight="1">
      <c r="A24" s="338" t="s">
        <v>561</v>
      </c>
      <c r="B24" s="338"/>
      <c r="C24" s="338"/>
      <c r="D24" s="338"/>
      <c r="E24" s="338"/>
      <c r="F24" s="338"/>
      <c r="G24" s="339"/>
      <c r="H24" s="339"/>
      <c r="I24" s="339"/>
      <c r="J24" s="339"/>
      <c r="K24" s="339"/>
      <c r="L24" s="339"/>
      <c r="M24" s="339"/>
      <c r="N24" s="339"/>
    </row>
    <row r="26" spans="1:14" ht="15.75">
      <c r="A26" s="133" t="s">
        <v>1181</v>
      </c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</row>
    <row r="28" spans="1:14" ht="24.95" customHeight="1">
      <c r="A28" s="205" t="s">
        <v>478</v>
      </c>
      <c r="B28" s="205"/>
      <c r="C28" s="205"/>
      <c r="D28" s="205"/>
      <c r="E28" s="205"/>
      <c r="F28" s="205"/>
      <c r="G28" s="199" t="s">
        <v>332</v>
      </c>
      <c r="H28" s="199"/>
      <c r="I28" s="199"/>
      <c r="J28" s="199"/>
      <c r="K28" s="199" t="s">
        <v>360</v>
      </c>
      <c r="L28" s="199"/>
      <c r="M28" s="199"/>
      <c r="N28" s="199"/>
    </row>
    <row r="29" spans="1:14">
      <c r="A29" s="335" t="s">
        <v>725</v>
      </c>
      <c r="B29" s="335"/>
      <c r="C29" s="335"/>
      <c r="D29" s="335"/>
      <c r="E29" s="335"/>
      <c r="F29" s="335"/>
      <c r="G29" s="406"/>
      <c r="H29" s="406"/>
      <c r="I29" s="406"/>
      <c r="J29" s="406"/>
      <c r="K29" s="407"/>
      <c r="L29" s="407"/>
      <c r="M29" s="407"/>
      <c r="N29" s="407"/>
    </row>
    <row r="30" spans="1:14">
      <c r="A30" s="338" t="s">
        <v>467</v>
      </c>
      <c r="B30" s="338"/>
      <c r="C30" s="338"/>
      <c r="D30" s="338"/>
      <c r="E30" s="338"/>
      <c r="F30" s="338"/>
      <c r="G30" s="399"/>
      <c r="H30" s="399"/>
      <c r="I30" s="399"/>
      <c r="J30" s="399"/>
      <c r="K30" s="399"/>
      <c r="L30" s="399"/>
      <c r="M30" s="399"/>
      <c r="N30" s="399"/>
    </row>
    <row r="31" spans="1:14">
      <c r="A31" s="338" t="s">
        <v>852</v>
      </c>
      <c r="B31" s="338"/>
      <c r="C31" s="338"/>
      <c r="D31" s="338"/>
      <c r="E31" s="338"/>
      <c r="F31" s="338"/>
      <c r="G31" s="399"/>
      <c r="H31" s="399"/>
      <c r="I31" s="399"/>
      <c r="J31" s="399"/>
      <c r="K31" s="399"/>
      <c r="L31" s="399"/>
      <c r="M31" s="399"/>
      <c r="N31" s="399"/>
    </row>
    <row r="32" spans="1:14" ht="15" customHeight="1">
      <c r="A32" s="338" t="s">
        <v>35</v>
      </c>
      <c r="B32" s="338"/>
      <c r="C32" s="338"/>
      <c r="D32" s="338"/>
      <c r="E32" s="338"/>
      <c r="F32" s="338"/>
      <c r="G32" s="367"/>
      <c r="H32" s="367"/>
      <c r="I32" s="367"/>
      <c r="J32" s="367"/>
      <c r="K32" s="224"/>
      <c r="L32" s="224"/>
      <c r="M32" s="224"/>
      <c r="N32" s="224"/>
    </row>
    <row r="33" spans="1:14">
      <c r="A33" s="338" t="s">
        <v>255</v>
      </c>
      <c r="B33" s="338"/>
      <c r="C33" s="338"/>
      <c r="D33" s="338"/>
      <c r="E33" s="338"/>
      <c r="F33" s="338"/>
      <c r="G33" s="399"/>
      <c r="H33" s="399"/>
      <c r="I33" s="399"/>
      <c r="J33" s="399"/>
      <c r="K33" s="399"/>
      <c r="L33" s="399"/>
      <c r="M33" s="399"/>
      <c r="N33" s="399"/>
    </row>
    <row r="34" spans="1:14">
      <c r="A34" s="400" t="s">
        <v>911</v>
      </c>
      <c r="B34" s="401"/>
      <c r="C34" s="401"/>
      <c r="D34" s="401"/>
      <c r="E34" s="401"/>
      <c r="F34" s="402"/>
      <c r="G34" s="403"/>
      <c r="H34" s="404"/>
      <c r="I34" s="404"/>
      <c r="J34" s="405"/>
      <c r="K34" s="403"/>
      <c r="L34" s="404"/>
      <c r="M34" s="404"/>
      <c r="N34" s="405"/>
    </row>
    <row r="35" spans="1:14">
      <c r="A35" s="287" t="s">
        <v>1060</v>
      </c>
      <c r="B35" s="287"/>
      <c r="C35" s="287"/>
      <c r="D35" s="287"/>
      <c r="E35" s="287"/>
      <c r="F35" s="287"/>
      <c r="G35" s="224"/>
      <c r="H35" s="224"/>
      <c r="I35" s="224"/>
      <c r="J35" s="224"/>
      <c r="K35" s="224"/>
      <c r="L35" s="224"/>
      <c r="M35" s="224"/>
      <c r="N35" s="224"/>
    </row>
    <row r="36" spans="1:14">
      <c r="A36" s="287" t="s">
        <v>693</v>
      </c>
      <c r="B36" s="287"/>
      <c r="C36" s="287"/>
      <c r="D36" s="287"/>
      <c r="E36" s="287"/>
      <c r="F36" s="287"/>
      <c r="G36" s="224"/>
      <c r="H36" s="224"/>
      <c r="I36" s="224"/>
      <c r="J36" s="224"/>
      <c r="K36" s="224"/>
      <c r="L36" s="224"/>
      <c r="M36" s="224"/>
      <c r="N36" s="224"/>
    </row>
    <row r="48" spans="1:14" ht="15" customHeight="1"/>
  </sheetData>
  <sheetProtection sheet="1"/>
  <mergeCells count="75">
    <mergeCell ref="A2:N2"/>
    <mergeCell ref="A4:N4"/>
    <mergeCell ref="A6:F7"/>
    <mergeCell ref="G6:N6"/>
    <mergeCell ref="G7:J7"/>
    <mergeCell ref="K7:N7"/>
    <mergeCell ref="A8:F8"/>
    <mergeCell ref="G8:J8"/>
    <mergeCell ref="K8:N8"/>
    <mergeCell ref="A9:F9"/>
    <mergeCell ref="G9:J9"/>
    <mergeCell ref="K9:N9"/>
    <mergeCell ref="A10:F10"/>
    <mergeCell ref="G10:J10"/>
    <mergeCell ref="K10:N10"/>
    <mergeCell ref="A11:F11"/>
    <mergeCell ref="G11:J11"/>
    <mergeCell ref="K11:N11"/>
    <mergeCell ref="A12:F12"/>
    <mergeCell ref="G12:J12"/>
    <mergeCell ref="K12:N12"/>
    <mergeCell ref="A13:F13"/>
    <mergeCell ref="G13:J13"/>
    <mergeCell ref="K13:N13"/>
    <mergeCell ref="A15:N15"/>
    <mergeCell ref="A17:F18"/>
    <mergeCell ref="G17:N17"/>
    <mergeCell ref="G18:J18"/>
    <mergeCell ref="K18:N18"/>
    <mergeCell ref="A19:F19"/>
    <mergeCell ref="G19:J19"/>
    <mergeCell ref="K19:N19"/>
    <mergeCell ref="A20:F20"/>
    <mergeCell ref="G20:J20"/>
    <mergeCell ref="K20:N20"/>
    <mergeCell ref="A21:F21"/>
    <mergeCell ref="G21:J21"/>
    <mergeCell ref="K21:N21"/>
    <mergeCell ref="A22:F22"/>
    <mergeCell ref="G22:J22"/>
    <mergeCell ref="K22:N22"/>
    <mergeCell ref="A23:F23"/>
    <mergeCell ref="G23:J23"/>
    <mergeCell ref="K23:N23"/>
    <mergeCell ref="A24:F24"/>
    <mergeCell ref="G24:J24"/>
    <mergeCell ref="K24:N24"/>
    <mergeCell ref="A26:N26"/>
    <mergeCell ref="A28:F28"/>
    <mergeCell ref="G28:J28"/>
    <mergeCell ref="K28:N28"/>
    <mergeCell ref="A29:F29"/>
    <mergeCell ref="G29:J29"/>
    <mergeCell ref="K29:N29"/>
    <mergeCell ref="A30:F30"/>
    <mergeCell ref="G30:J30"/>
    <mergeCell ref="K30:N30"/>
    <mergeCell ref="A31:F31"/>
    <mergeCell ref="G31:J31"/>
    <mergeCell ref="K31:N31"/>
    <mergeCell ref="A32:F32"/>
    <mergeCell ref="G32:J32"/>
    <mergeCell ref="K32:N32"/>
    <mergeCell ref="A33:F33"/>
    <mergeCell ref="G33:J33"/>
    <mergeCell ref="K33:N33"/>
    <mergeCell ref="A34:F34"/>
    <mergeCell ref="G34:J34"/>
    <mergeCell ref="K34:N34"/>
    <mergeCell ref="A35:F35"/>
    <mergeCell ref="G35:J35"/>
    <mergeCell ref="K35:N35"/>
    <mergeCell ref="A36:F36"/>
    <mergeCell ref="G36:J36"/>
    <mergeCell ref="K36:N36"/>
  </mergeCells>
  <phoneticPr fontId="0" type="noConversion"/>
  <pageMargins left="0.7" right="0.7" top="0.75" bottom="0.75" header="0.3" footer="0.3"/>
  <pageSetup paperSize="9" scale="85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O22"/>
  <sheetViews>
    <sheetView workbookViewId="0">
      <selection activeCell="S22" sqref="S22"/>
    </sheetView>
  </sheetViews>
  <sheetFormatPr defaultRowHeight="15"/>
  <cols>
    <col min="1" max="3" width="6" customWidth="1"/>
    <col min="4" max="15" width="5.7109375" customWidth="1"/>
  </cols>
  <sheetData>
    <row r="1" spans="1:15">
      <c r="A1" s="60"/>
      <c r="B1" s="60"/>
      <c r="C1" s="60"/>
      <c r="D1" s="60"/>
      <c r="E1" s="60"/>
      <c r="F1" s="60"/>
      <c r="G1" s="61"/>
      <c r="H1" s="61"/>
      <c r="I1" s="61"/>
      <c r="J1" s="61"/>
      <c r="K1" s="61"/>
      <c r="L1" s="61"/>
      <c r="M1" s="61"/>
      <c r="N1" s="61"/>
    </row>
    <row r="2" spans="1:15" ht="18.75">
      <c r="A2" s="334" t="s">
        <v>227</v>
      </c>
      <c r="B2" s="334"/>
      <c r="C2" s="334"/>
      <c r="D2" s="334"/>
      <c r="E2" s="334"/>
      <c r="F2" s="334"/>
      <c r="G2" s="334"/>
      <c r="H2" s="334"/>
      <c r="I2" s="334"/>
      <c r="J2" s="334"/>
      <c r="K2" s="334"/>
      <c r="L2" s="334"/>
      <c r="M2" s="334"/>
      <c r="N2" s="334"/>
    </row>
    <row r="4" spans="1:15" ht="15.75">
      <c r="A4" s="133" t="s">
        <v>1153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</row>
    <row r="6" spans="1:15">
      <c r="A6" s="408" t="s">
        <v>491</v>
      </c>
      <c r="B6" s="409"/>
      <c r="C6" s="410"/>
      <c r="D6" s="204" t="s">
        <v>732</v>
      </c>
      <c r="E6" s="204"/>
      <c r="F6" s="204"/>
      <c r="G6" s="204"/>
      <c r="H6" s="204"/>
      <c r="I6" s="204"/>
      <c r="J6" s="204" t="s">
        <v>819</v>
      </c>
      <c r="K6" s="204"/>
      <c r="L6" s="204"/>
      <c r="M6" s="204"/>
      <c r="N6" s="204"/>
      <c r="O6" s="204"/>
    </row>
    <row r="7" spans="1:15">
      <c r="A7" s="411"/>
      <c r="B7" s="412"/>
      <c r="C7" s="413"/>
      <c r="D7" s="204" t="s">
        <v>1350</v>
      </c>
      <c r="E7" s="204"/>
      <c r="F7" s="204"/>
      <c r="G7" s="204"/>
      <c r="H7" s="204"/>
      <c r="I7" s="204"/>
      <c r="J7" s="204" t="s">
        <v>737</v>
      </c>
      <c r="K7" s="204"/>
      <c r="L7" s="204"/>
      <c r="M7" s="204"/>
      <c r="N7" s="204"/>
      <c r="O7" s="204"/>
    </row>
    <row r="8" spans="1:15">
      <c r="A8" s="411"/>
      <c r="B8" s="412"/>
      <c r="C8" s="413"/>
      <c r="D8" s="204" t="s">
        <v>1335</v>
      </c>
      <c r="E8" s="204"/>
      <c r="F8" s="204" t="s">
        <v>74</v>
      </c>
      <c r="G8" s="204"/>
      <c r="H8" s="204" t="s">
        <v>485</v>
      </c>
      <c r="I8" s="204"/>
      <c r="J8" s="204" t="s">
        <v>1335</v>
      </c>
      <c r="K8" s="204"/>
      <c r="L8" s="204" t="s">
        <v>74</v>
      </c>
      <c r="M8" s="204"/>
      <c r="N8" s="204" t="s">
        <v>485</v>
      </c>
      <c r="O8" s="204"/>
    </row>
    <row r="9" spans="1:15">
      <c r="A9" s="414"/>
      <c r="B9" s="415"/>
      <c r="C9" s="416"/>
      <c r="D9" s="204" t="s">
        <v>960</v>
      </c>
      <c r="E9" s="204"/>
      <c r="F9" s="204"/>
      <c r="G9" s="204"/>
      <c r="H9" s="204"/>
      <c r="I9" s="204"/>
      <c r="J9" s="204" t="s">
        <v>960</v>
      </c>
      <c r="K9" s="204"/>
      <c r="L9" s="204"/>
      <c r="M9" s="204"/>
      <c r="N9" s="204"/>
      <c r="O9" s="204"/>
    </row>
    <row r="10" spans="1:15" ht="24.95" customHeight="1">
      <c r="A10" s="205" t="s">
        <v>958</v>
      </c>
      <c r="B10" s="205"/>
      <c r="C10" s="205"/>
      <c r="D10" s="199" t="s">
        <v>1340</v>
      </c>
      <c r="E10" s="199"/>
      <c r="F10" s="199"/>
      <c r="G10" s="199"/>
      <c r="H10" s="199"/>
      <c r="I10" s="199"/>
      <c r="J10" s="199" t="s">
        <v>1340</v>
      </c>
      <c r="K10" s="199"/>
      <c r="L10" s="199"/>
      <c r="M10" s="199"/>
      <c r="N10" s="199"/>
      <c r="O10" s="199"/>
    </row>
    <row r="11" spans="1:15" ht="15" customHeight="1">
      <c r="A11" s="423" t="s">
        <v>387</v>
      </c>
      <c r="B11" s="424"/>
      <c r="C11" s="425"/>
      <c r="D11" s="286"/>
      <c r="E11" s="286"/>
      <c r="F11" s="286"/>
      <c r="G11" s="286"/>
      <c r="H11" s="286"/>
      <c r="I11" s="286"/>
      <c r="J11" s="286"/>
      <c r="K11" s="286"/>
      <c r="L11" s="286"/>
      <c r="M11" s="286"/>
      <c r="N11" s="286"/>
      <c r="O11" s="286"/>
    </row>
    <row r="12" spans="1:15">
      <c r="A12" s="420"/>
      <c r="B12" s="421"/>
      <c r="C12" s="422"/>
      <c r="D12" s="300"/>
      <c r="E12" s="301"/>
      <c r="F12" s="300"/>
      <c r="G12" s="301"/>
      <c r="H12" s="300"/>
      <c r="I12" s="301"/>
      <c r="J12" s="300"/>
      <c r="K12" s="301"/>
      <c r="L12" s="300"/>
      <c r="M12" s="301"/>
      <c r="N12" s="300"/>
      <c r="O12" s="301"/>
    </row>
    <row r="13" spans="1:15" ht="15" customHeight="1">
      <c r="A13" s="417" t="s">
        <v>127</v>
      </c>
      <c r="B13" s="418"/>
      <c r="C13" s="419"/>
      <c r="D13" s="287"/>
      <c r="E13" s="287"/>
      <c r="F13" s="287"/>
      <c r="G13" s="287"/>
      <c r="H13" s="287"/>
      <c r="I13" s="287"/>
      <c r="J13" s="287"/>
      <c r="K13" s="287"/>
      <c r="L13" s="287"/>
      <c r="M13" s="287"/>
      <c r="N13" s="287"/>
      <c r="O13" s="287"/>
    </row>
    <row r="14" spans="1:15">
      <c r="A14" s="420"/>
      <c r="B14" s="421"/>
      <c r="C14" s="422"/>
      <c r="D14" s="300"/>
      <c r="E14" s="301"/>
      <c r="F14" s="300"/>
      <c r="G14" s="301"/>
      <c r="H14" s="300"/>
      <c r="I14" s="301"/>
      <c r="J14" s="300"/>
      <c r="K14" s="301"/>
      <c r="L14" s="300"/>
      <c r="M14" s="301"/>
      <c r="N14" s="300"/>
      <c r="O14" s="301"/>
    </row>
    <row r="15" spans="1:15" ht="15" customHeight="1">
      <c r="A15" s="417" t="s">
        <v>95</v>
      </c>
      <c r="B15" s="418"/>
      <c r="C15" s="419"/>
      <c r="D15" s="287"/>
      <c r="E15" s="287"/>
      <c r="F15" s="287"/>
      <c r="G15" s="287"/>
      <c r="H15" s="287"/>
      <c r="I15" s="287"/>
      <c r="J15" s="287"/>
      <c r="K15" s="287"/>
      <c r="L15" s="287"/>
      <c r="M15" s="287"/>
      <c r="N15" s="287"/>
      <c r="O15" s="287"/>
    </row>
    <row r="16" spans="1:15">
      <c r="A16" s="420"/>
      <c r="B16" s="421"/>
      <c r="C16" s="422"/>
      <c r="D16" s="300"/>
      <c r="E16" s="301"/>
      <c r="F16" s="300"/>
      <c r="G16" s="301"/>
      <c r="H16" s="300"/>
      <c r="I16" s="301"/>
      <c r="J16" s="300"/>
      <c r="K16" s="301"/>
      <c r="L16" s="300"/>
      <c r="M16" s="301"/>
      <c r="N16" s="300"/>
      <c r="O16" s="301"/>
    </row>
    <row r="17" spans="1:15" ht="15" customHeight="1">
      <c r="A17" s="417" t="s">
        <v>1167</v>
      </c>
      <c r="B17" s="418"/>
      <c r="C17" s="419"/>
      <c r="D17" s="287"/>
      <c r="E17" s="287"/>
      <c r="F17" s="287"/>
      <c r="G17" s="287"/>
      <c r="H17" s="287"/>
      <c r="I17" s="287"/>
      <c r="J17" s="287"/>
      <c r="K17" s="287"/>
      <c r="L17" s="287"/>
      <c r="M17" s="287"/>
      <c r="N17" s="287"/>
      <c r="O17" s="287"/>
    </row>
    <row r="18" spans="1:15">
      <c r="A18" s="420"/>
      <c r="B18" s="421"/>
      <c r="C18" s="422"/>
      <c r="D18" s="300"/>
      <c r="E18" s="301"/>
      <c r="F18" s="300"/>
      <c r="G18" s="301"/>
      <c r="H18" s="300"/>
      <c r="I18" s="301"/>
      <c r="J18" s="300"/>
      <c r="K18" s="301"/>
      <c r="L18" s="300"/>
      <c r="M18" s="301"/>
      <c r="N18" s="300"/>
      <c r="O18" s="301"/>
    </row>
    <row r="19" spans="1:15" ht="15" customHeight="1">
      <c r="A19" s="417" t="s">
        <v>798</v>
      </c>
      <c r="B19" s="418"/>
      <c r="C19" s="419"/>
      <c r="D19" s="287"/>
      <c r="E19" s="287"/>
      <c r="F19" s="287"/>
      <c r="G19" s="287"/>
      <c r="H19" s="287"/>
      <c r="I19" s="287"/>
      <c r="J19" s="287"/>
      <c r="K19" s="287"/>
      <c r="L19" s="287"/>
      <c r="M19" s="287"/>
      <c r="N19" s="287"/>
      <c r="O19" s="287"/>
    </row>
    <row r="20" spans="1:15">
      <c r="A20" s="420"/>
      <c r="B20" s="421"/>
      <c r="C20" s="422"/>
      <c r="D20" s="300"/>
      <c r="E20" s="301"/>
      <c r="F20" s="300"/>
      <c r="G20" s="301"/>
      <c r="H20" s="300"/>
      <c r="I20" s="301"/>
      <c r="J20" s="300"/>
      <c r="K20" s="301"/>
      <c r="L20" s="300"/>
      <c r="M20" s="301"/>
      <c r="N20" s="300"/>
      <c r="O20" s="301"/>
    </row>
    <row r="21" spans="1:15">
      <c r="A21" s="417" t="s">
        <v>423</v>
      </c>
      <c r="B21" s="418"/>
      <c r="C21" s="419"/>
      <c r="D21" s="287"/>
      <c r="E21" s="287"/>
      <c r="F21" s="287"/>
      <c r="G21" s="287"/>
      <c r="H21" s="287"/>
      <c r="I21" s="287"/>
      <c r="J21" s="287"/>
      <c r="K21" s="287"/>
      <c r="L21" s="287"/>
      <c r="M21" s="287"/>
      <c r="N21" s="287"/>
      <c r="O21" s="287"/>
    </row>
    <row r="22" spans="1:15">
      <c r="A22" s="420"/>
      <c r="B22" s="421"/>
      <c r="C22" s="422"/>
      <c r="D22" s="300"/>
      <c r="E22" s="301"/>
      <c r="F22" s="300"/>
      <c r="G22" s="301"/>
      <c r="H22" s="300"/>
      <c r="I22" s="301"/>
      <c r="J22" s="300"/>
      <c r="K22" s="301"/>
      <c r="L22" s="300"/>
      <c r="M22" s="301"/>
      <c r="N22" s="300"/>
      <c r="O22" s="301"/>
    </row>
  </sheetData>
  <sheetProtection sheet="1"/>
  <mergeCells count="96">
    <mergeCell ref="N22:O22"/>
    <mergeCell ref="J21:K21"/>
    <mergeCell ref="N21:O21"/>
    <mergeCell ref="A21:C22"/>
    <mergeCell ref="D22:E22"/>
    <mergeCell ref="F22:G22"/>
    <mergeCell ref="H22:I22"/>
    <mergeCell ref="F21:G21"/>
    <mergeCell ref="L21:M21"/>
    <mergeCell ref="H21:I21"/>
    <mergeCell ref="A11:C12"/>
    <mergeCell ref="A13:C14"/>
    <mergeCell ref="J22:K22"/>
    <mergeCell ref="L22:M22"/>
    <mergeCell ref="D21:E21"/>
    <mergeCell ref="L12:M12"/>
    <mergeCell ref="D19:E19"/>
    <mergeCell ref="F20:G20"/>
    <mergeCell ref="H20:I20"/>
    <mergeCell ref="J20:K20"/>
    <mergeCell ref="F19:G19"/>
    <mergeCell ref="L20:M20"/>
    <mergeCell ref="D20:E20"/>
    <mergeCell ref="F15:G15"/>
    <mergeCell ref="D15:E15"/>
    <mergeCell ref="H18:I18"/>
    <mergeCell ref="J18:K18"/>
    <mergeCell ref="J19:K19"/>
    <mergeCell ref="H19:I19"/>
    <mergeCell ref="J16:K16"/>
    <mergeCell ref="D12:E12"/>
    <mergeCell ref="D13:E13"/>
    <mergeCell ref="A19:C20"/>
    <mergeCell ref="D17:E17"/>
    <mergeCell ref="D16:E16"/>
    <mergeCell ref="F17:G17"/>
    <mergeCell ref="A15:C16"/>
    <mergeCell ref="A17:C18"/>
    <mergeCell ref="D18:E18"/>
    <mergeCell ref="F18:G18"/>
    <mergeCell ref="D14:E14"/>
    <mergeCell ref="F14:G14"/>
    <mergeCell ref="H14:I14"/>
    <mergeCell ref="J14:K14"/>
    <mergeCell ref="L14:M14"/>
    <mergeCell ref="N14:O14"/>
    <mergeCell ref="A2:N2"/>
    <mergeCell ref="A4:N4"/>
    <mergeCell ref="A10:C10"/>
    <mergeCell ref="N11:O11"/>
    <mergeCell ref="F11:G11"/>
    <mergeCell ref="L11:M11"/>
    <mergeCell ref="N8:O8"/>
    <mergeCell ref="D10:I10"/>
    <mergeCell ref="J10:O10"/>
    <mergeCell ref="A6:C9"/>
    <mergeCell ref="F16:G16"/>
    <mergeCell ref="H16:I16"/>
    <mergeCell ref="J17:K17"/>
    <mergeCell ref="L17:M17"/>
    <mergeCell ref="H13:I13"/>
    <mergeCell ref="H15:I15"/>
    <mergeCell ref="H17:I17"/>
    <mergeCell ref="L13:M13"/>
    <mergeCell ref="F13:G13"/>
    <mergeCell ref="L15:M15"/>
    <mergeCell ref="L16:M16"/>
    <mergeCell ref="N16:O16"/>
    <mergeCell ref="N18:O18"/>
    <mergeCell ref="N20:O20"/>
    <mergeCell ref="L8:M8"/>
    <mergeCell ref="N13:O13"/>
    <mergeCell ref="N15:O15"/>
    <mergeCell ref="N19:O19"/>
    <mergeCell ref="L19:M19"/>
    <mergeCell ref="N17:O17"/>
    <mergeCell ref="L18:M18"/>
    <mergeCell ref="D11:E11"/>
    <mergeCell ref="D9:I9"/>
    <mergeCell ref="J9:O9"/>
    <mergeCell ref="J11:K11"/>
    <mergeCell ref="D8:E8"/>
    <mergeCell ref="F8:G8"/>
    <mergeCell ref="H8:I8"/>
    <mergeCell ref="J8:K8"/>
    <mergeCell ref="J15:K15"/>
    <mergeCell ref="D6:I6"/>
    <mergeCell ref="J6:O6"/>
    <mergeCell ref="D7:I7"/>
    <mergeCell ref="J7:O7"/>
    <mergeCell ref="J12:K12"/>
    <mergeCell ref="J13:K13"/>
    <mergeCell ref="H11:I11"/>
    <mergeCell ref="F12:G12"/>
    <mergeCell ref="H12:I12"/>
    <mergeCell ref="N12:O12"/>
  </mergeCells>
  <phoneticPr fontId="0" type="noConversion"/>
  <pageMargins left="0.7" right="0.7" top="0.75" bottom="0.75" header="0.3" footer="0.3"/>
  <pageSetup paperSize="9" scale="85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N38"/>
  <sheetViews>
    <sheetView topLeftCell="A18" workbookViewId="0">
      <selection activeCell="A2" sqref="A2"/>
    </sheetView>
  </sheetViews>
  <sheetFormatPr defaultRowHeight="15"/>
  <cols>
    <col min="1" max="5" width="6" customWidth="1"/>
    <col min="6" max="6" width="7" customWidth="1"/>
    <col min="7" max="13" width="6" customWidth="1"/>
    <col min="14" max="14" width="6.140625" customWidth="1"/>
  </cols>
  <sheetData>
    <row r="1" spans="1:14" ht="18.75">
      <c r="A1" s="334" t="s">
        <v>77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</row>
    <row r="2" spans="1:14" ht="9.9499999999999993" customHeight="1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13.25" customHeight="1">
      <c r="A3" s="140" t="s">
        <v>197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</row>
    <row r="4" spans="1:14" ht="15.75" customHeight="1">
      <c r="A4" s="133" t="s">
        <v>53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</row>
    <row r="5" spans="1:14" ht="15" customHeight="1">
      <c r="A5" s="204" t="s">
        <v>1255</v>
      </c>
      <c r="B5" s="204"/>
      <c r="C5" s="204"/>
      <c r="D5" s="204"/>
      <c r="E5" s="204"/>
      <c r="F5" s="204"/>
      <c r="G5" s="233" t="s">
        <v>736</v>
      </c>
      <c r="H5" s="234"/>
      <c r="I5" s="181" t="s">
        <v>890</v>
      </c>
      <c r="J5" s="181"/>
      <c r="K5" s="181"/>
      <c r="L5" s="181"/>
      <c r="M5" s="181"/>
      <c r="N5" s="181"/>
    </row>
    <row r="6" spans="1:14" ht="35.1" customHeight="1">
      <c r="A6" s="426"/>
      <c r="B6" s="426"/>
      <c r="C6" s="426"/>
      <c r="D6" s="426"/>
      <c r="E6" s="426"/>
      <c r="F6" s="426"/>
      <c r="G6" s="427"/>
      <c r="H6" s="428"/>
      <c r="I6" s="183" t="s">
        <v>332</v>
      </c>
      <c r="J6" s="183"/>
      <c r="K6" s="183"/>
      <c r="L6" s="183" t="s">
        <v>360</v>
      </c>
      <c r="M6" s="183"/>
      <c r="N6" s="183"/>
    </row>
    <row r="7" spans="1:14" ht="15" customHeight="1">
      <c r="A7" s="208" t="s">
        <v>958</v>
      </c>
      <c r="B7" s="208"/>
      <c r="C7" s="208"/>
      <c r="D7" s="208"/>
      <c r="E7" s="208"/>
      <c r="F7" s="208"/>
      <c r="G7" s="208" t="s">
        <v>1350</v>
      </c>
      <c r="H7" s="208"/>
      <c r="I7" s="208" t="s">
        <v>737</v>
      </c>
      <c r="J7" s="208"/>
      <c r="K7" s="208"/>
      <c r="L7" s="285" t="s">
        <v>226</v>
      </c>
      <c r="M7" s="285"/>
      <c r="N7" s="285"/>
    </row>
    <row r="8" spans="1:14" ht="15" customHeight="1">
      <c r="A8" s="194"/>
      <c r="B8" s="194"/>
      <c r="C8" s="194"/>
      <c r="D8" s="194"/>
      <c r="E8" s="194"/>
      <c r="F8" s="194"/>
      <c r="G8" s="431"/>
      <c r="H8" s="431"/>
      <c r="I8" s="429"/>
      <c r="J8" s="429"/>
      <c r="K8" s="429"/>
      <c r="L8" s="429"/>
      <c r="M8" s="429"/>
      <c r="N8" s="429"/>
    </row>
    <row r="9" spans="1:14" ht="15" customHeight="1">
      <c r="A9" s="196"/>
      <c r="B9" s="196"/>
      <c r="C9" s="196"/>
      <c r="D9" s="196"/>
      <c r="E9" s="196"/>
      <c r="F9" s="196"/>
      <c r="G9" s="430"/>
      <c r="H9" s="430"/>
      <c r="I9" s="278"/>
      <c r="J9" s="278"/>
      <c r="K9" s="278"/>
      <c r="L9" s="278"/>
      <c r="M9" s="278"/>
      <c r="N9" s="278"/>
    </row>
    <row r="10" spans="1:14" ht="15" customHeight="1">
      <c r="A10" s="196"/>
      <c r="B10" s="196"/>
      <c r="C10" s="196"/>
      <c r="D10" s="196"/>
      <c r="E10" s="196"/>
      <c r="F10" s="196"/>
      <c r="G10" s="196"/>
      <c r="H10" s="196"/>
      <c r="I10" s="295"/>
      <c r="J10" s="295"/>
      <c r="K10" s="295"/>
      <c r="L10" s="278"/>
      <c r="M10" s="278"/>
      <c r="N10" s="278"/>
    </row>
    <row r="11" spans="1:14" ht="15" customHeight="1">
      <c r="A11" s="196"/>
      <c r="B11" s="196"/>
      <c r="C11" s="196"/>
      <c r="D11" s="196"/>
      <c r="E11" s="196"/>
      <c r="F11" s="196"/>
      <c r="G11" s="430"/>
      <c r="H11" s="430"/>
      <c r="I11" s="278"/>
      <c r="J11" s="278"/>
      <c r="K11" s="278"/>
      <c r="L11" s="278"/>
      <c r="M11" s="278"/>
      <c r="N11" s="278"/>
    </row>
    <row r="12" spans="1:14" ht="15" customHeight="1">
      <c r="A12" s="196"/>
      <c r="B12" s="196"/>
      <c r="C12" s="196"/>
      <c r="D12" s="196"/>
      <c r="E12" s="196"/>
      <c r="F12" s="196"/>
      <c r="G12" s="430"/>
      <c r="H12" s="430"/>
      <c r="I12" s="278"/>
      <c r="J12" s="278"/>
      <c r="K12" s="278"/>
      <c r="L12" s="278"/>
      <c r="M12" s="278"/>
      <c r="N12" s="278"/>
    </row>
    <row r="13" spans="1:14" ht="15" customHeight="1">
      <c r="A13" s="196"/>
      <c r="B13" s="196"/>
      <c r="C13" s="196"/>
      <c r="D13" s="196"/>
      <c r="E13" s="196"/>
      <c r="F13" s="196"/>
      <c r="G13" s="430"/>
      <c r="H13" s="430"/>
      <c r="I13" s="278"/>
      <c r="J13" s="278"/>
      <c r="K13" s="278"/>
      <c r="L13" s="278"/>
      <c r="M13" s="278"/>
      <c r="N13" s="278"/>
    </row>
    <row r="14" spans="1:14">
      <c r="A14" s="196"/>
      <c r="B14" s="196"/>
      <c r="C14" s="196"/>
      <c r="D14" s="196"/>
      <c r="E14" s="196"/>
      <c r="F14" s="196"/>
      <c r="G14" s="430"/>
      <c r="H14" s="430"/>
      <c r="I14" s="278"/>
      <c r="J14" s="278"/>
      <c r="K14" s="278"/>
      <c r="L14" s="278"/>
      <c r="M14" s="278"/>
      <c r="N14" s="278"/>
    </row>
    <row r="15" spans="1:14" ht="9.9499999999999993" customHeight="1"/>
    <row r="16" spans="1:14" ht="15.75" customHeight="1">
      <c r="A16" s="133" t="s">
        <v>540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</row>
    <row r="17" spans="1:14" ht="15" customHeight="1">
      <c r="A17" s="233" t="s">
        <v>41</v>
      </c>
      <c r="B17" s="234"/>
      <c r="C17" s="234"/>
      <c r="D17" s="234"/>
      <c r="E17" s="234"/>
      <c r="F17" s="235"/>
      <c r="G17" s="233" t="s">
        <v>736</v>
      </c>
      <c r="H17" s="234"/>
      <c r="I17" s="181" t="s">
        <v>890</v>
      </c>
      <c r="J17" s="181"/>
      <c r="K17" s="181"/>
      <c r="L17" s="181"/>
      <c r="M17" s="181"/>
      <c r="N17" s="181"/>
    </row>
    <row r="18" spans="1:14" ht="35.1" customHeight="1">
      <c r="A18" s="236"/>
      <c r="B18" s="237"/>
      <c r="C18" s="237"/>
      <c r="D18" s="237"/>
      <c r="E18" s="237"/>
      <c r="F18" s="238"/>
      <c r="G18" s="427"/>
      <c r="H18" s="428"/>
      <c r="I18" s="183" t="s">
        <v>332</v>
      </c>
      <c r="J18" s="183"/>
      <c r="K18" s="183"/>
      <c r="L18" s="183" t="s">
        <v>360</v>
      </c>
      <c r="M18" s="183"/>
      <c r="N18" s="183"/>
    </row>
    <row r="19" spans="1:14" ht="15" customHeight="1">
      <c r="A19" s="208" t="s">
        <v>958</v>
      </c>
      <c r="B19" s="208"/>
      <c r="C19" s="208"/>
      <c r="D19" s="208"/>
      <c r="E19" s="208"/>
      <c r="F19" s="208"/>
      <c r="G19" s="208" t="s">
        <v>1350</v>
      </c>
      <c r="H19" s="208"/>
      <c r="I19" s="208" t="s">
        <v>737</v>
      </c>
      <c r="J19" s="208"/>
      <c r="K19" s="208"/>
      <c r="L19" s="285" t="s">
        <v>226</v>
      </c>
      <c r="M19" s="285"/>
      <c r="N19" s="285"/>
    </row>
    <row r="20" spans="1:14">
      <c r="A20" s="194"/>
      <c r="B20" s="194"/>
      <c r="C20" s="194"/>
      <c r="D20" s="194"/>
      <c r="E20" s="194"/>
      <c r="F20" s="194"/>
      <c r="G20" s="431"/>
      <c r="H20" s="431"/>
      <c r="I20" s="429"/>
      <c r="J20" s="429"/>
      <c r="K20" s="429"/>
      <c r="L20" s="429"/>
      <c r="M20" s="429"/>
      <c r="N20" s="429"/>
    </row>
    <row r="21" spans="1:14">
      <c r="A21" s="196"/>
      <c r="B21" s="196"/>
      <c r="C21" s="196"/>
      <c r="D21" s="196"/>
      <c r="E21" s="196"/>
      <c r="F21" s="196"/>
      <c r="G21" s="430"/>
      <c r="H21" s="430"/>
      <c r="I21" s="278"/>
      <c r="J21" s="278"/>
      <c r="K21" s="278"/>
      <c r="L21" s="278"/>
      <c r="M21" s="278"/>
      <c r="N21" s="278"/>
    </row>
    <row r="22" spans="1:14">
      <c r="A22" s="196"/>
      <c r="B22" s="196"/>
      <c r="C22" s="196"/>
      <c r="D22" s="196"/>
      <c r="E22" s="196"/>
      <c r="F22" s="196"/>
      <c r="G22" s="196"/>
      <c r="H22" s="196"/>
      <c r="I22" s="295"/>
      <c r="J22" s="295"/>
      <c r="K22" s="295"/>
      <c r="L22" s="278"/>
      <c r="M22" s="278"/>
      <c r="N22" s="278"/>
    </row>
    <row r="23" spans="1:14">
      <c r="A23" s="196"/>
      <c r="B23" s="196"/>
      <c r="C23" s="196"/>
      <c r="D23" s="196"/>
      <c r="E23" s="196"/>
      <c r="F23" s="196"/>
      <c r="G23" s="430"/>
      <c r="H23" s="430"/>
      <c r="I23" s="278"/>
      <c r="J23" s="278"/>
      <c r="K23" s="278"/>
      <c r="L23" s="278"/>
      <c r="M23" s="278"/>
      <c r="N23" s="278"/>
    </row>
    <row r="24" spans="1:14">
      <c r="A24" s="196"/>
      <c r="B24" s="196"/>
      <c r="C24" s="196"/>
      <c r="D24" s="196"/>
      <c r="E24" s="196"/>
      <c r="F24" s="196"/>
      <c r="G24" s="430"/>
      <c r="H24" s="430"/>
      <c r="I24" s="278"/>
      <c r="J24" s="278"/>
      <c r="K24" s="278"/>
      <c r="L24" s="278"/>
      <c r="M24" s="278"/>
      <c r="N24" s="278"/>
    </row>
    <row r="25" spans="1:14" ht="15" customHeight="1">
      <c r="A25" s="196"/>
      <c r="B25" s="196"/>
      <c r="C25" s="196"/>
      <c r="D25" s="196"/>
      <c r="E25" s="196"/>
      <c r="F25" s="196"/>
      <c r="G25" s="430"/>
      <c r="H25" s="430"/>
      <c r="I25" s="278"/>
      <c r="J25" s="278"/>
      <c r="K25" s="278"/>
      <c r="L25" s="278"/>
      <c r="M25" s="278"/>
      <c r="N25" s="278"/>
    </row>
    <row r="26" spans="1:14">
      <c r="A26" s="196"/>
      <c r="B26" s="196"/>
      <c r="C26" s="196"/>
      <c r="D26" s="196"/>
      <c r="E26" s="196"/>
      <c r="F26" s="196"/>
      <c r="G26" s="430"/>
      <c r="H26" s="430"/>
      <c r="I26" s="278"/>
      <c r="J26" s="278"/>
      <c r="K26" s="278"/>
      <c r="L26" s="278"/>
      <c r="M26" s="278"/>
      <c r="N26" s="278"/>
    </row>
    <row r="27" spans="1:14" ht="9.9499999999999993" customHeight="1"/>
    <row r="28" spans="1:14" ht="45.75" customHeight="1">
      <c r="A28" s="133" t="s">
        <v>1311</v>
      </c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3"/>
    </row>
    <row r="29" spans="1:14">
      <c r="A29" s="233" t="s">
        <v>41</v>
      </c>
      <c r="B29" s="234"/>
      <c r="C29" s="234"/>
      <c r="D29" s="234"/>
      <c r="E29" s="234"/>
      <c r="F29" s="235"/>
      <c r="G29" s="233" t="s">
        <v>736</v>
      </c>
      <c r="H29" s="234"/>
      <c r="I29" s="181" t="s">
        <v>890</v>
      </c>
      <c r="J29" s="181"/>
      <c r="K29" s="181"/>
      <c r="L29" s="181"/>
      <c r="M29" s="181"/>
      <c r="N29" s="181"/>
    </row>
    <row r="30" spans="1:14" ht="35.1" customHeight="1">
      <c r="A30" s="236"/>
      <c r="B30" s="237"/>
      <c r="C30" s="237"/>
      <c r="D30" s="237"/>
      <c r="E30" s="237"/>
      <c r="F30" s="238"/>
      <c r="G30" s="427"/>
      <c r="H30" s="428"/>
      <c r="I30" s="183" t="s">
        <v>332</v>
      </c>
      <c r="J30" s="183"/>
      <c r="K30" s="183"/>
      <c r="L30" s="183" t="s">
        <v>360</v>
      </c>
      <c r="M30" s="183"/>
      <c r="N30" s="183"/>
    </row>
    <row r="31" spans="1:14">
      <c r="A31" s="208" t="s">
        <v>958</v>
      </c>
      <c r="B31" s="208"/>
      <c r="C31" s="208"/>
      <c r="D31" s="208"/>
      <c r="E31" s="208"/>
      <c r="F31" s="208"/>
      <c r="G31" s="208" t="s">
        <v>1350</v>
      </c>
      <c r="H31" s="208"/>
      <c r="I31" s="208" t="s">
        <v>737</v>
      </c>
      <c r="J31" s="208"/>
      <c r="K31" s="208"/>
      <c r="L31" s="285" t="s">
        <v>226</v>
      </c>
      <c r="M31" s="285"/>
      <c r="N31" s="285"/>
    </row>
    <row r="32" spans="1:14">
      <c r="A32" s="194"/>
      <c r="B32" s="194"/>
      <c r="C32" s="194"/>
      <c r="D32" s="194"/>
      <c r="E32" s="194"/>
      <c r="F32" s="194"/>
      <c r="G32" s="431"/>
      <c r="H32" s="431"/>
      <c r="I32" s="429"/>
      <c r="J32" s="429"/>
      <c r="K32" s="429"/>
      <c r="L32" s="429"/>
      <c r="M32" s="429"/>
      <c r="N32" s="429"/>
    </row>
    <row r="33" spans="1:14">
      <c r="A33" s="196"/>
      <c r="B33" s="196"/>
      <c r="C33" s="196"/>
      <c r="D33" s="196"/>
      <c r="E33" s="196"/>
      <c r="F33" s="196"/>
      <c r="G33" s="430"/>
      <c r="H33" s="430"/>
      <c r="I33" s="278"/>
      <c r="J33" s="278"/>
      <c r="K33" s="278"/>
      <c r="L33" s="278"/>
      <c r="M33" s="278"/>
      <c r="N33" s="278"/>
    </row>
    <row r="34" spans="1:14">
      <c r="A34" s="196"/>
      <c r="B34" s="196"/>
      <c r="C34" s="196"/>
      <c r="D34" s="196"/>
      <c r="E34" s="196"/>
      <c r="F34" s="196"/>
      <c r="G34" s="196"/>
      <c r="H34" s="196"/>
      <c r="I34" s="295"/>
      <c r="J34" s="295"/>
      <c r="K34" s="295"/>
      <c r="L34" s="278"/>
      <c r="M34" s="278"/>
      <c r="N34" s="278"/>
    </row>
    <row r="35" spans="1:14">
      <c r="A35" s="196"/>
      <c r="B35" s="196"/>
      <c r="C35" s="196"/>
      <c r="D35" s="196"/>
      <c r="E35" s="196"/>
      <c r="F35" s="196"/>
      <c r="G35" s="430"/>
      <c r="H35" s="430"/>
      <c r="I35" s="278"/>
      <c r="J35" s="278"/>
      <c r="K35" s="278"/>
      <c r="L35" s="278"/>
      <c r="M35" s="278"/>
      <c r="N35" s="278"/>
    </row>
    <row r="36" spans="1:14">
      <c r="A36" s="196"/>
      <c r="B36" s="196"/>
      <c r="C36" s="196"/>
      <c r="D36" s="196"/>
      <c r="E36" s="196"/>
      <c r="F36" s="196"/>
      <c r="G36" s="430"/>
      <c r="H36" s="430"/>
      <c r="I36" s="278"/>
      <c r="J36" s="278"/>
      <c r="K36" s="278"/>
      <c r="L36" s="278"/>
      <c r="M36" s="278"/>
      <c r="N36" s="278"/>
    </row>
    <row r="37" spans="1:14">
      <c r="A37" s="196"/>
      <c r="B37" s="196"/>
      <c r="C37" s="196"/>
      <c r="D37" s="196"/>
      <c r="E37" s="196"/>
      <c r="F37" s="196"/>
      <c r="G37" s="430"/>
      <c r="H37" s="430"/>
      <c r="I37" s="278"/>
      <c r="J37" s="278"/>
      <c r="K37" s="278"/>
      <c r="L37" s="278"/>
      <c r="M37" s="278"/>
      <c r="N37" s="278"/>
    </row>
    <row r="38" spans="1:14">
      <c r="A38" s="196"/>
      <c r="B38" s="196"/>
      <c r="C38" s="196"/>
      <c r="D38" s="196"/>
      <c r="E38" s="196"/>
      <c r="F38" s="196"/>
      <c r="G38" s="430"/>
      <c r="H38" s="430"/>
      <c r="I38" s="278"/>
      <c r="J38" s="278"/>
      <c r="K38" s="278"/>
      <c r="L38" s="278"/>
      <c r="M38" s="278"/>
      <c r="N38" s="278"/>
    </row>
  </sheetData>
  <sheetProtection sheet="1"/>
  <mergeCells count="116">
    <mergeCell ref="A38:F38"/>
    <mergeCell ref="G38:H38"/>
    <mergeCell ref="I38:K38"/>
    <mergeCell ref="L38:N38"/>
    <mergeCell ref="A32:F32"/>
    <mergeCell ref="L37:N37"/>
    <mergeCell ref="A37:F37"/>
    <mergeCell ref="G37:H37"/>
    <mergeCell ref="I37:K37"/>
    <mergeCell ref="G35:H35"/>
    <mergeCell ref="A36:F36"/>
    <mergeCell ref="G36:H36"/>
    <mergeCell ref="I36:K36"/>
    <mergeCell ref="L36:N36"/>
    <mergeCell ref="A34:F34"/>
    <mergeCell ref="G34:H34"/>
    <mergeCell ref="I34:K34"/>
    <mergeCell ref="A35:F35"/>
    <mergeCell ref="I35:K35"/>
    <mergeCell ref="L35:N35"/>
    <mergeCell ref="I26:K26"/>
    <mergeCell ref="I29:N29"/>
    <mergeCell ref="I30:K30"/>
    <mergeCell ref="L34:N34"/>
    <mergeCell ref="A28:N28"/>
    <mergeCell ref="L32:N32"/>
    <mergeCell ref="A33:F33"/>
    <mergeCell ref="G33:H33"/>
    <mergeCell ref="I33:K33"/>
    <mergeCell ref="L30:N30"/>
    <mergeCell ref="G31:H31"/>
    <mergeCell ref="I31:K31"/>
    <mergeCell ref="L31:N31"/>
    <mergeCell ref="G32:H32"/>
    <mergeCell ref="I32:K32"/>
    <mergeCell ref="L18:N18"/>
    <mergeCell ref="G19:H19"/>
    <mergeCell ref="I19:K19"/>
    <mergeCell ref="L19:N19"/>
    <mergeCell ref="L26:N26"/>
    <mergeCell ref="A16:N16"/>
    <mergeCell ref="A25:F25"/>
    <mergeCell ref="G25:H25"/>
    <mergeCell ref="A12:F12"/>
    <mergeCell ref="I12:K12"/>
    <mergeCell ref="A13:F13"/>
    <mergeCell ref="G13:H13"/>
    <mergeCell ref="I13:K13"/>
    <mergeCell ref="L14:N14"/>
    <mergeCell ref="A19:F19"/>
    <mergeCell ref="G12:H12"/>
    <mergeCell ref="I9:K9"/>
    <mergeCell ref="I10:K10"/>
    <mergeCell ref="I11:K11"/>
    <mergeCell ref="A9:F9"/>
    <mergeCell ref="A10:F10"/>
    <mergeCell ref="G9:H9"/>
    <mergeCell ref="G11:H11"/>
    <mergeCell ref="G14:H14"/>
    <mergeCell ref="I14:K14"/>
    <mergeCell ref="A11:F11"/>
    <mergeCell ref="A22:F22"/>
    <mergeCell ref="L8:N8"/>
    <mergeCell ref="L9:N9"/>
    <mergeCell ref="L10:N10"/>
    <mergeCell ref="L11:N11"/>
    <mergeCell ref="L12:N12"/>
    <mergeCell ref="G8:H8"/>
    <mergeCell ref="A20:F20"/>
    <mergeCell ref="A21:F21"/>
    <mergeCell ref="A29:F30"/>
    <mergeCell ref="G29:H30"/>
    <mergeCell ref="I25:K25"/>
    <mergeCell ref="L25:N25"/>
    <mergeCell ref="A24:F24"/>
    <mergeCell ref="G24:H24"/>
    <mergeCell ref="I24:K24"/>
    <mergeCell ref="L24:N24"/>
    <mergeCell ref="G26:H26"/>
    <mergeCell ref="L33:N33"/>
    <mergeCell ref="A26:F26"/>
    <mergeCell ref="G22:H22"/>
    <mergeCell ref="I22:K22"/>
    <mergeCell ref="L22:N22"/>
    <mergeCell ref="A23:F23"/>
    <mergeCell ref="G23:H23"/>
    <mergeCell ref="I23:K23"/>
    <mergeCell ref="L23:N23"/>
    <mergeCell ref="A31:F31"/>
    <mergeCell ref="G21:H21"/>
    <mergeCell ref="I21:K21"/>
    <mergeCell ref="A17:F18"/>
    <mergeCell ref="G17:H18"/>
    <mergeCell ref="I17:N17"/>
    <mergeCell ref="I18:K18"/>
    <mergeCell ref="G20:H20"/>
    <mergeCell ref="I20:K20"/>
    <mergeCell ref="L20:N20"/>
    <mergeCell ref="L21:N21"/>
    <mergeCell ref="L13:N13"/>
    <mergeCell ref="A14:F14"/>
    <mergeCell ref="A7:F7"/>
    <mergeCell ref="A8:F8"/>
    <mergeCell ref="L7:N7"/>
    <mergeCell ref="I7:K7"/>
    <mergeCell ref="I8:K8"/>
    <mergeCell ref="G7:H7"/>
    <mergeCell ref="G10:H10"/>
    <mergeCell ref="A1:N1"/>
    <mergeCell ref="A4:N4"/>
    <mergeCell ref="A5:F6"/>
    <mergeCell ref="I5:N5"/>
    <mergeCell ref="G5:H6"/>
    <mergeCell ref="A3:N3"/>
    <mergeCell ref="L6:N6"/>
    <mergeCell ref="I6:K6"/>
  </mergeCells>
  <phoneticPr fontId="0" type="noConversion"/>
  <pageMargins left="0.7" right="0.7" top="0.75" bottom="0.75" header="0.3" footer="0.3"/>
  <pageSetup paperSize="9" scale="8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N14"/>
  <sheetViews>
    <sheetView workbookViewId="0">
      <selection sqref="A1:N1"/>
    </sheetView>
  </sheetViews>
  <sheetFormatPr defaultRowHeight="15"/>
  <cols>
    <col min="1" max="5" width="6" customWidth="1"/>
    <col min="6" max="6" width="8.85546875" customWidth="1"/>
    <col min="7" max="13" width="6" customWidth="1"/>
    <col min="14" max="14" width="6.140625" customWidth="1"/>
  </cols>
  <sheetData>
    <row r="1" spans="1:14" ht="38.25" customHeight="1">
      <c r="A1" s="432" t="s">
        <v>439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</row>
    <row r="2" spans="1:14" ht="15" customHeight="1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39.950000000000003" customHeight="1">
      <c r="A3" s="318" t="s">
        <v>1194</v>
      </c>
      <c r="B3" s="319"/>
      <c r="C3" s="319"/>
      <c r="D3" s="319"/>
      <c r="E3" s="319"/>
      <c r="F3" s="320"/>
      <c r="G3" s="199" t="s">
        <v>381</v>
      </c>
      <c r="H3" s="199"/>
      <c r="I3" s="199" t="s">
        <v>332</v>
      </c>
      <c r="J3" s="199"/>
      <c r="K3" s="199"/>
      <c r="L3" s="199" t="s">
        <v>360</v>
      </c>
      <c r="M3" s="199"/>
      <c r="N3" s="199"/>
    </row>
    <row r="4" spans="1:14" ht="50.1" customHeight="1">
      <c r="A4" s="194" t="s">
        <v>1152</v>
      </c>
      <c r="B4" s="194"/>
      <c r="C4" s="194"/>
      <c r="D4" s="194"/>
      <c r="E4" s="194"/>
      <c r="F4" s="194"/>
      <c r="G4" s="431"/>
      <c r="H4" s="431"/>
      <c r="I4" s="429"/>
      <c r="J4" s="429"/>
      <c r="K4" s="429"/>
      <c r="L4" s="429"/>
      <c r="M4" s="429"/>
      <c r="N4" s="429"/>
    </row>
    <row r="5" spans="1:14" ht="35.1" customHeight="1">
      <c r="A5" s="196" t="s">
        <v>1108</v>
      </c>
      <c r="B5" s="196"/>
      <c r="C5" s="196"/>
      <c r="D5" s="196"/>
      <c r="E5" s="196"/>
      <c r="F5" s="196"/>
      <c r="G5" s="430"/>
      <c r="H5" s="430"/>
      <c r="I5" s="278"/>
      <c r="J5" s="278"/>
      <c r="K5" s="278"/>
      <c r="L5" s="278"/>
      <c r="M5" s="278"/>
      <c r="N5" s="278"/>
    </row>
    <row r="6" spans="1:14" ht="24.95" customHeight="1">
      <c r="A6" s="196" t="s">
        <v>1358</v>
      </c>
      <c r="B6" s="196"/>
      <c r="C6" s="196"/>
      <c r="D6" s="196"/>
      <c r="E6" s="196"/>
      <c r="F6" s="196"/>
      <c r="G6" s="196"/>
      <c r="H6" s="196"/>
      <c r="I6" s="295"/>
      <c r="J6" s="295"/>
      <c r="K6" s="295"/>
      <c r="L6" s="278"/>
      <c r="M6" s="278"/>
      <c r="N6" s="278"/>
    </row>
    <row r="7" spans="1:14" ht="24.95" customHeight="1">
      <c r="A7" s="196" t="s">
        <v>154</v>
      </c>
      <c r="B7" s="196"/>
      <c r="C7" s="196"/>
      <c r="D7" s="196"/>
      <c r="E7" s="196"/>
      <c r="F7" s="196"/>
      <c r="G7" s="430"/>
      <c r="H7" s="430"/>
      <c r="I7" s="278"/>
      <c r="J7" s="278"/>
      <c r="K7" s="278"/>
      <c r="L7" s="278"/>
      <c r="M7" s="278"/>
      <c r="N7" s="278"/>
    </row>
    <row r="8" spans="1:14" ht="24.95" customHeight="1">
      <c r="A8" s="196" t="s">
        <v>380</v>
      </c>
      <c r="B8" s="196"/>
      <c r="C8" s="196"/>
      <c r="D8" s="196"/>
      <c r="E8" s="196"/>
      <c r="F8" s="196"/>
      <c r="G8" s="430"/>
      <c r="H8" s="430"/>
      <c r="I8" s="278"/>
      <c r="J8" s="278"/>
      <c r="K8" s="278"/>
      <c r="L8" s="278"/>
      <c r="M8" s="278"/>
      <c r="N8" s="278"/>
    </row>
    <row r="9" spans="1:14" ht="24.95" customHeight="1">
      <c r="A9" s="196" t="s">
        <v>1031</v>
      </c>
      <c r="B9" s="196"/>
      <c r="C9" s="196"/>
      <c r="D9" s="196"/>
      <c r="E9" s="196"/>
      <c r="F9" s="196"/>
      <c r="G9" s="430"/>
      <c r="H9" s="430"/>
      <c r="I9" s="278"/>
      <c r="J9" s="278"/>
      <c r="K9" s="278"/>
      <c r="L9" s="278"/>
      <c r="M9" s="278"/>
      <c r="N9" s="278"/>
    </row>
    <row r="10" spans="1:14" ht="24.95" customHeight="1">
      <c r="A10" s="196" t="s">
        <v>955</v>
      </c>
      <c r="B10" s="196"/>
      <c r="C10" s="196"/>
      <c r="D10" s="196"/>
      <c r="E10" s="196"/>
      <c r="F10" s="196"/>
      <c r="G10" s="430"/>
      <c r="H10" s="430"/>
      <c r="I10" s="278"/>
      <c r="J10" s="278"/>
      <c r="K10" s="278"/>
      <c r="L10" s="278"/>
      <c r="M10" s="278"/>
      <c r="N10" s="278"/>
    </row>
    <row r="11" spans="1:14" ht="24.95" customHeight="1">
      <c r="A11" s="196" t="s">
        <v>942</v>
      </c>
      <c r="B11" s="196"/>
      <c r="C11" s="196"/>
      <c r="D11" s="196"/>
      <c r="E11" s="196"/>
      <c r="F11" s="196"/>
      <c r="G11" s="430"/>
      <c r="H11" s="430"/>
      <c r="I11" s="278"/>
      <c r="J11" s="278"/>
      <c r="K11" s="278"/>
      <c r="L11" s="278"/>
      <c r="M11" s="278"/>
      <c r="N11" s="278"/>
    </row>
    <row r="12" spans="1:14" ht="24.95" customHeight="1">
      <c r="A12" s="196" t="s">
        <v>425</v>
      </c>
      <c r="B12" s="196"/>
      <c r="C12" s="196"/>
      <c r="D12" s="196"/>
      <c r="E12" s="196"/>
      <c r="F12" s="196"/>
      <c r="G12" s="430"/>
      <c r="H12" s="430"/>
      <c r="I12" s="278"/>
      <c r="J12" s="278"/>
      <c r="K12" s="278"/>
      <c r="L12" s="278"/>
      <c r="M12" s="278"/>
      <c r="N12" s="278"/>
    </row>
    <row r="13" spans="1:14" ht="24.95" customHeight="1">
      <c r="A13" s="196" t="s">
        <v>686</v>
      </c>
      <c r="B13" s="196"/>
      <c r="C13" s="196"/>
      <c r="D13" s="196"/>
      <c r="E13" s="196"/>
      <c r="F13" s="196"/>
      <c r="G13" s="430"/>
      <c r="H13" s="430"/>
      <c r="I13" s="278"/>
      <c r="J13" s="278"/>
      <c r="K13" s="278"/>
      <c r="L13" s="278"/>
      <c r="M13" s="278"/>
      <c r="N13" s="278"/>
    </row>
    <row r="14" spans="1:14" ht="24.95" customHeight="1">
      <c r="A14" s="196" t="s">
        <v>514</v>
      </c>
      <c r="B14" s="196"/>
      <c r="C14" s="196"/>
      <c r="D14" s="196"/>
      <c r="E14" s="196"/>
      <c r="F14" s="196"/>
      <c r="G14" s="430"/>
      <c r="H14" s="430"/>
      <c r="I14" s="278"/>
      <c r="J14" s="278"/>
      <c r="K14" s="278"/>
      <c r="L14" s="278"/>
      <c r="M14" s="278"/>
      <c r="N14" s="278"/>
    </row>
  </sheetData>
  <sheetProtection sheet="1"/>
  <mergeCells count="49">
    <mergeCell ref="A13:F13"/>
    <mergeCell ref="G13:H13"/>
    <mergeCell ref="I13:K13"/>
    <mergeCell ref="L13:N13"/>
    <mergeCell ref="A14:F14"/>
    <mergeCell ref="G14:H14"/>
    <mergeCell ref="I14:K14"/>
    <mergeCell ref="L14:N14"/>
    <mergeCell ref="A11:F11"/>
    <mergeCell ref="G11:H11"/>
    <mergeCell ref="I11:K11"/>
    <mergeCell ref="L11:N11"/>
    <mergeCell ref="A12:F12"/>
    <mergeCell ref="G12:H12"/>
    <mergeCell ref="I12:K12"/>
    <mergeCell ref="L12:N12"/>
    <mergeCell ref="A9:F9"/>
    <mergeCell ref="G9:H9"/>
    <mergeCell ref="I9:K9"/>
    <mergeCell ref="L9:N9"/>
    <mergeCell ref="A10:F10"/>
    <mergeCell ref="G10:H10"/>
    <mergeCell ref="I10:K10"/>
    <mergeCell ref="L10:N10"/>
    <mergeCell ref="A7:F7"/>
    <mergeCell ref="G7:H7"/>
    <mergeCell ref="I7:K7"/>
    <mergeCell ref="L7:N7"/>
    <mergeCell ref="A8:F8"/>
    <mergeCell ref="G8:H8"/>
    <mergeCell ref="I8:K8"/>
    <mergeCell ref="L8:N8"/>
    <mergeCell ref="A5:F5"/>
    <mergeCell ref="G5:H5"/>
    <mergeCell ref="I5:K5"/>
    <mergeCell ref="L5:N5"/>
    <mergeCell ref="A6:F6"/>
    <mergeCell ref="G6:H6"/>
    <mergeCell ref="I6:K6"/>
    <mergeCell ref="L6:N6"/>
    <mergeCell ref="A4:F4"/>
    <mergeCell ref="G4:H4"/>
    <mergeCell ref="I4:K4"/>
    <mergeCell ref="L4:N4"/>
    <mergeCell ref="A1:N1"/>
    <mergeCell ref="I3:K3"/>
    <mergeCell ref="L3:N3"/>
    <mergeCell ref="G3:H3"/>
    <mergeCell ref="A3:F3"/>
  </mergeCells>
  <phoneticPr fontId="0" type="noConversion"/>
  <pageMargins left="0.7" right="0.7" top="0.75" bottom="0.75" header="0.3" footer="0.3"/>
  <pageSetup paperSize="9" scale="85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N63"/>
  <sheetViews>
    <sheetView topLeftCell="A42" workbookViewId="0">
      <selection activeCell="E54" sqref="E54:F54"/>
    </sheetView>
  </sheetViews>
  <sheetFormatPr defaultRowHeight="15"/>
  <cols>
    <col min="1" max="3" width="6" customWidth="1"/>
    <col min="4" max="4" width="7.140625" customWidth="1"/>
    <col min="5" max="14" width="6" customWidth="1"/>
  </cols>
  <sheetData>
    <row r="1" spans="1:14" ht="18.75">
      <c r="A1" s="334" t="s">
        <v>783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</row>
    <row r="3" spans="1:14" ht="15.75">
      <c r="A3" s="133" t="s">
        <v>923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</row>
    <row r="5" spans="1:14" ht="15" customHeight="1">
      <c r="A5" s="233" t="s">
        <v>1357</v>
      </c>
      <c r="B5" s="234"/>
      <c r="C5" s="234"/>
      <c r="D5" s="235"/>
      <c r="E5" s="216" t="s">
        <v>332</v>
      </c>
      <c r="F5" s="216"/>
      <c r="G5" s="216"/>
      <c r="H5" s="216"/>
      <c r="I5" s="216"/>
      <c r="J5" s="216"/>
      <c r="K5" s="216"/>
      <c r="L5" s="216"/>
      <c r="M5" s="216"/>
      <c r="N5" s="217"/>
    </row>
    <row r="6" spans="1:14" ht="45" customHeight="1">
      <c r="A6" s="236"/>
      <c r="B6" s="237"/>
      <c r="C6" s="237"/>
      <c r="D6" s="238"/>
      <c r="E6" s="217" t="s">
        <v>326</v>
      </c>
      <c r="F6" s="183"/>
      <c r="G6" s="183" t="s">
        <v>140</v>
      </c>
      <c r="H6" s="183"/>
      <c r="I6" s="183" t="s">
        <v>420</v>
      </c>
      <c r="J6" s="183"/>
      <c r="K6" s="183" t="s">
        <v>948</v>
      </c>
      <c r="L6" s="183"/>
      <c r="M6" s="183" t="s">
        <v>1280</v>
      </c>
      <c r="N6" s="183"/>
    </row>
    <row r="7" spans="1:14">
      <c r="A7" s="191" t="s">
        <v>958</v>
      </c>
      <c r="B7" s="386"/>
      <c r="C7" s="386"/>
      <c r="D7" s="375"/>
      <c r="E7" s="182" t="s">
        <v>1350</v>
      </c>
      <c r="F7" s="182"/>
      <c r="G7" s="182" t="s">
        <v>737</v>
      </c>
      <c r="H7" s="182"/>
      <c r="I7" s="182" t="s">
        <v>226</v>
      </c>
      <c r="J7" s="182"/>
      <c r="K7" s="182" t="s">
        <v>830</v>
      </c>
      <c r="L7" s="182"/>
      <c r="M7" s="182" t="s">
        <v>126</v>
      </c>
      <c r="N7" s="182"/>
    </row>
    <row r="8" spans="1:14" ht="24.95" customHeight="1">
      <c r="A8" s="225" t="s">
        <v>1308</v>
      </c>
      <c r="B8" s="226"/>
      <c r="C8" s="226"/>
      <c r="D8" s="227"/>
      <c r="E8" s="220">
        <v>6639</v>
      </c>
      <c r="F8" s="220"/>
      <c r="G8" s="220"/>
      <c r="H8" s="220"/>
      <c r="I8" s="220"/>
      <c r="J8" s="220"/>
      <c r="K8" s="220"/>
      <c r="L8" s="220"/>
      <c r="M8" s="220">
        <v>6639</v>
      </c>
      <c r="N8" s="220"/>
    </row>
    <row r="9" spans="1:14" ht="24.95" customHeight="1">
      <c r="A9" s="230" t="s">
        <v>220</v>
      </c>
      <c r="B9" s="433"/>
      <c r="C9" s="433"/>
      <c r="D9" s="434"/>
      <c r="E9" s="219"/>
      <c r="F9" s="219"/>
      <c r="G9" s="219"/>
      <c r="H9" s="219"/>
      <c r="I9" s="219"/>
      <c r="J9" s="219"/>
      <c r="K9" s="219"/>
      <c r="L9" s="219"/>
      <c r="M9" s="219"/>
      <c r="N9" s="219"/>
    </row>
    <row r="10" spans="1:14" ht="24.95" customHeight="1">
      <c r="A10" s="230" t="s">
        <v>151</v>
      </c>
      <c r="B10" s="433"/>
      <c r="C10" s="433"/>
      <c r="D10" s="434"/>
      <c r="E10" s="219"/>
      <c r="F10" s="219"/>
      <c r="G10" s="219"/>
      <c r="H10" s="219"/>
      <c r="I10" s="219"/>
      <c r="J10" s="219"/>
      <c r="K10" s="219"/>
      <c r="L10" s="219"/>
      <c r="M10" s="219"/>
      <c r="N10" s="219"/>
    </row>
    <row r="11" spans="1:14" ht="24.95" customHeight="1">
      <c r="A11" s="230" t="s">
        <v>166</v>
      </c>
      <c r="B11" s="433"/>
      <c r="C11" s="433"/>
      <c r="D11" s="434"/>
      <c r="E11" s="219"/>
      <c r="F11" s="219"/>
      <c r="G11" s="219"/>
      <c r="H11" s="219"/>
      <c r="I11" s="219"/>
      <c r="J11" s="219"/>
      <c r="K11" s="219"/>
      <c r="L11" s="219"/>
      <c r="M11" s="219"/>
      <c r="N11" s="219"/>
    </row>
    <row r="12" spans="1:14" ht="24.95" customHeight="1">
      <c r="A12" s="230" t="s">
        <v>1160</v>
      </c>
      <c r="B12" s="433"/>
      <c r="C12" s="433"/>
      <c r="D12" s="434"/>
      <c r="E12" s="213"/>
      <c r="F12" s="213"/>
      <c r="G12" s="213"/>
      <c r="H12" s="213"/>
      <c r="I12" s="213"/>
      <c r="J12" s="213"/>
      <c r="K12" s="213"/>
      <c r="L12" s="213"/>
      <c r="M12" s="213"/>
      <c r="N12" s="213"/>
    </row>
    <row r="13" spans="1:14" ht="24.95" customHeight="1">
      <c r="A13" s="230" t="s">
        <v>532</v>
      </c>
      <c r="B13" s="433"/>
      <c r="C13" s="433"/>
      <c r="D13" s="434"/>
      <c r="E13" s="219"/>
      <c r="F13" s="219"/>
      <c r="G13" s="219"/>
      <c r="H13" s="219"/>
      <c r="I13" s="219"/>
      <c r="J13" s="219"/>
      <c r="K13" s="219"/>
      <c r="L13" s="219"/>
      <c r="M13" s="219"/>
      <c r="N13" s="219"/>
    </row>
    <row r="14" spans="1:14" ht="35.1" customHeight="1">
      <c r="A14" s="230" t="s">
        <v>811</v>
      </c>
      <c r="B14" s="433"/>
      <c r="C14" s="433"/>
      <c r="D14" s="434"/>
      <c r="E14" s="219">
        <v>664</v>
      </c>
      <c r="F14" s="219"/>
      <c r="G14" s="219"/>
      <c r="H14" s="219"/>
      <c r="I14" s="219"/>
      <c r="J14" s="219"/>
      <c r="K14" s="219"/>
      <c r="L14" s="219"/>
      <c r="M14" s="219">
        <v>664</v>
      </c>
      <c r="N14" s="219"/>
    </row>
    <row r="15" spans="1:14" ht="35.1" customHeight="1">
      <c r="A15" s="230" t="s">
        <v>120</v>
      </c>
      <c r="B15" s="433"/>
      <c r="C15" s="433"/>
      <c r="D15" s="434"/>
      <c r="E15" s="213"/>
      <c r="F15" s="213"/>
      <c r="G15" s="213"/>
      <c r="H15" s="213"/>
      <c r="I15" s="213"/>
      <c r="J15" s="213"/>
      <c r="K15" s="213"/>
      <c r="L15" s="213"/>
      <c r="M15" s="213"/>
      <c r="N15" s="213"/>
    </row>
    <row r="16" spans="1:14" ht="35.1" customHeight="1">
      <c r="A16" s="230" t="s">
        <v>842</v>
      </c>
      <c r="B16" s="433"/>
      <c r="C16" s="433"/>
      <c r="D16" s="434"/>
      <c r="E16" s="219"/>
      <c r="F16" s="219"/>
      <c r="G16" s="219"/>
      <c r="H16" s="219"/>
      <c r="I16" s="219"/>
      <c r="J16" s="219"/>
      <c r="K16" s="219"/>
      <c r="L16" s="219"/>
      <c r="M16" s="219"/>
      <c r="N16" s="219"/>
    </row>
    <row r="17" spans="1:14" ht="35.1" customHeight="1">
      <c r="A17" s="230" t="s">
        <v>163</v>
      </c>
      <c r="B17" s="433"/>
      <c r="C17" s="433"/>
      <c r="D17" s="434"/>
      <c r="E17" s="213"/>
      <c r="F17" s="213"/>
      <c r="G17" s="213"/>
      <c r="H17" s="213"/>
      <c r="I17" s="213"/>
      <c r="J17" s="213"/>
      <c r="K17" s="213"/>
      <c r="L17" s="213"/>
      <c r="M17" s="213"/>
      <c r="N17" s="213"/>
    </row>
    <row r="18" spans="1:14" ht="35.1" customHeight="1">
      <c r="A18" s="230" t="s">
        <v>811</v>
      </c>
      <c r="B18" s="433"/>
      <c r="C18" s="433"/>
      <c r="D18" s="434"/>
      <c r="E18" s="219"/>
      <c r="F18" s="219"/>
      <c r="G18" s="219"/>
      <c r="H18" s="219"/>
      <c r="I18" s="219"/>
      <c r="J18" s="219"/>
      <c r="K18" s="219"/>
      <c r="L18" s="219"/>
      <c r="M18" s="219"/>
      <c r="N18" s="219"/>
    </row>
    <row r="19" spans="1:14" ht="24.95" customHeight="1">
      <c r="A19" s="230" t="s">
        <v>702</v>
      </c>
      <c r="B19" s="433"/>
      <c r="C19" s="433"/>
      <c r="D19" s="434"/>
      <c r="E19" s="219"/>
      <c r="F19" s="219"/>
      <c r="G19" s="219"/>
      <c r="H19" s="219"/>
      <c r="I19" s="219"/>
      <c r="J19" s="219"/>
      <c r="K19" s="219"/>
      <c r="L19" s="219"/>
      <c r="M19" s="219"/>
      <c r="N19" s="219"/>
    </row>
    <row r="20" spans="1:14" ht="24.95" customHeight="1">
      <c r="A20" s="230" t="s">
        <v>1021</v>
      </c>
      <c r="B20" s="433"/>
      <c r="C20" s="433"/>
      <c r="D20" s="434"/>
      <c r="E20" s="219"/>
      <c r="F20" s="219"/>
      <c r="G20" s="219"/>
      <c r="H20" s="219"/>
      <c r="I20" s="219"/>
      <c r="J20" s="219"/>
      <c r="K20" s="219"/>
      <c r="L20" s="219"/>
      <c r="M20" s="219"/>
      <c r="N20" s="219"/>
    </row>
    <row r="21" spans="1:14" ht="24.95" customHeight="1">
      <c r="A21" s="230" t="s">
        <v>293</v>
      </c>
      <c r="B21" s="433"/>
      <c r="C21" s="433"/>
      <c r="D21" s="434"/>
      <c r="E21" s="213">
        <v>89569</v>
      </c>
      <c r="F21" s="213"/>
      <c r="G21" s="213">
        <v>21689</v>
      </c>
      <c r="H21" s="213"/>
      <c r="I21" s="213"/>
      <c r="J21" s="213"/>
      <c r="K21" s="213"/>
      <c r="L21" s="213"/>
      <c r="M21" s="213">
        <v>111258</v>
      </c>
      <c r="N21" s="213"/>
    </row>
    <row r="22" spans="1:14" ht="24.95" customHeight="1">
      <c r="A22" s="230" t="s">
        <v>697</v>
      </c>
      <c r="B22" s="433"/>
      <c r="C22" s="433"/>
      <c r="D22" s="434"/>
      <c r="E22" s="255" t="s">
        <v>1363</v>
      </c>
      <c r="F22" s="219"/>
      <c r="G22" s="255" t="s">
        <v>1363</v>
      </c>
      <c r="H22" s="219"/>
      <c r="I22" s="219"/>
      <c r="J22" s="219"/>
      <c r="K22" s="219"/>
      <c r="L22" s="219"/>
      <c r="M22" s="255" t="s">
        <v>1363</v>
      </c>
      <c r="N22" s="219"/>
    </row>
    <row r="23" spans="1:14" ht="24.95" customHeight="1">
      <c r="A23" s="230" t="s">
        <v>300</v>
      </c>
      <c r="B23" s="433"/>
      <c r="C23" s="433"/>
      <c r="D23" s="434"/>
      <c r="E23" s="219">
        <v>0</v>
      </c>
      <c r="F23" s="219"/>
      <c r="G23" s="219">
        <v>30766</v>
      </c>
      <c r="H23" s="219"/>
      <c r="I23" s="219"/>
      <c r="J23" s="219"/>
      <c r="K23" s="219"/>
      <c r="L23" s="219"/>
      <c r="M23" s="219">
        <v>30766</v>
      </c>
      <c r="N23" s="219"/>
    </row>
    <row r="24" spans="1:14" ht="24.95" customHeight="1">
      <c r="A24" s="230" t="s">
        <v>1069</v>
      </c>
      <c r="B24" s="433"/>
      <c r="C24" s="433"/>
      <c r="D24" s="434"/>
      <c r="E24" s="219"/>
      <c r="F24" s="219"/>
      <c r="G24" s="219"/>
      <c r="H24" s="219"/>
      <c r="I24" s="219"/>
      <c r="J24" s="219"/>
      <c r="K24" s="219"/>
      <c r="L24" s="219"/>
      <c r="M24" s="219"/>
      <c r="N24" s="219"/>
    </row>
    <row r="25" spans="1:14" ht="24.95" customHeight="1">
      <c r="A25" s="230" t="s">
        <v>809</v>
      </c>
      <c r="B25" s="433"/>
      <c r="C25" s="433"/>
      <c r="D25" s="434"/>
      <c r="E25" s="213"/>
      <c r="F25" s="213"/>
      <c r="G25" s="213"/>
      <c r="H25" s="213"/>
      <c r="I25" s="213"/>
      <c r="J25" s="213"/>
      <c r="K25" s="213"/>
      <c r="L25" s="213"/>
      <c r="M25" s="213"/>
      <c r="N25" s="213"/>
    </row>
    <row r="26" spans="1:14" ht="24.95" customHeight="1">
      <c r="A26" s="230" t="s">
        <v>857</v>
      </c>
      <c r="B26" s="433"/>
      <c r="C26" s="433"/>
      <c r="D26" s="434"/>
      <c r="E26" s="213"/>
      <c r="F26" s="213"/>
      <c r="G26" s="213"/>
      <c r="H26" s="213"/>
      <c r="I26" s="213"/>
      <c r="J26" s="213"/>
      <c r="K26" s="213"/>
      <c r="L26" s="213"/>
      <c r="M26" s="213"/>
      <c r="N26" s="213"/>
    </row>
    <row r="34" spans="1:14" ht="15.75">
      <c r="A34" s="133" t="s">
        <v>923</v>
      </c>
      <c r="B34" s="133"/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</row>
    <row r="36" spans="1:14">
      <c r="A36" s="233" t="s">
        <v>1357</v>
      </c>
      <c r="B36" s="234"/>
      <c r="C36" s="234"/>
      <c r="D36" s="235"/>
      <c r="E36" s="216" t="s">
        <v>360</v>
      </c>
      <c r="F36" s="216"/>
      <c r="G36" s="216"/>
      <c r="H36" s="216"/>
      <c r="I36" s="216"/>
      <c r="J36" s="216"/>
      <c r="K36" s="216"/>
      <c r="L36" s="216"/>
      <c r="M36" s="216"/>
      <c r="N36" s="217"/>
    </row>
    <row r="37" spans="1:14" ht="45" customHeight="1">
      <c r="A37" s="236"/>
      <c r="B37" s="237"/>
      <c r="C37" s="237"/>
      <c r="D37" s="238"/>
      <c r="E37" s="217" t="s">
        <v>326</v>
      </c>
      <c r="F37" s="183"/>
      <c r="G37" s="183" t="s">
        <v>140</v>
      </c>
      <c r="H37" s="183"/>
      <c r="I37" s="183" t="s">
        <v>420</v>
      </c>
      <c r="J37" s="183"/>
      <c r="K37" s="183" t="s">
        <v>948</v>
      </c>
      <c r="L37" s="183"/>
      <c r="M37" s="183" t="s">
        <v>1280</v>
      </c>
      <c r="N37" s="183"/>
    </row>
    <row r="38" spans="1:14">
      <c r="A38" s="191" t="s">
        <v>958</v>
      </c>
      <c r="B38" s="386"/>
      <c r="C38" s="386"/>
      <c r="D38" s="375"/>
      <c r="E38" s="182" t="s">
        <v>1350</v>
      </c>
      <c r="F38" s="182"/>
      <c r="G38" s="182" t="s">
        <v>737</v>
      </c>
      <c r="H38" s="182"/>
      <c r="I38" s="182" t="s">
        <v>226</v>
      </c>
      <c r="J38" s="182"/>
      <c r="K38" s="182" t="s">
        <v>830</v>
      </c>
      <c r="L38" s="182"/>
      <c r="M38" s="182" t="s">
        <v>126</v>
      </c>
      <c r="N38" s="182"/>
    </row>
    <row r="39" spans="1:14" ht="24.95" customHeight="1">
      <c r="A39" s="225" t="s">
        <v>1308</v>
      </c>
      <c r="B39" s="226"/>
      <c r="C39" s="226"/>
      <c r="D39" s="227"/>
      <c r="E39" s="220">
        <v>6639</v>
      </c>
      <c r="F39" s="220"/>
      <c r="G39" s="220"/>
      <c r="H39" s="220"/>
      <c r="I39" s="220"/>
      <c r="J39" s="220"/>
      <c r="K39" s="220"/>
      <c r="L39" s="220"/>
      <c r="M39" s="220">
        <v>6639</v>
      </c>
      <c r="N39" s="220"/>
    </row>
    <row r="40" spans="1:14" ht="24.95" customHeight="1">
      <c r="A40" s="230" t="s">
        <v>220</v>
      </c>
      <c r="B40" s="433"/>
      <c r="C40" s="433"/>
      <c r="D40" s="434"/>
      <c r="E40" s="219"/>
      <c r="F40" s="219"/>
      <c r="G40" s="219"/>
      <c r="H40" s="219"/>
      <c r="I40" s="219"/>
      <c r="J40" s="219"/>
      <c r="K40" s="219"/>
      <c r="L40" s="219"/>
      <c r="M40" s="219"/>
      <c r="N40" s="219"/>
    </row>
    <row r="41" spans="1:14" ht="24.95" customHeight="1">
      <c r="A41" s="230" t="s">
        <v>151</v>
      </c>
      <c r="B41" s="433"/>
      <c r="C41" s="433"/>
      <c r="D41" s="434"/>
      <c r="E41" s="219"/>
      <c r="F41" s="219"/>
      <c r="G41" s="219"/>
      <c r="H41" s="219"/>
      <c r="I41" s="219"/>
      <c r="J41" s="219"/>
      <c r="K41" s="219"/>
      <c r="L41" s="219"/>
      <c r="M41" s="219"/>
      <c r="N41" s="219"/>
    </row>
    <row r="42" spans="1:14" ht="24.95" customHeight="1">
      <c r="A42" s="230" t="s">
        <v>166</v>
      </c>
      <c r="B42" s="433"/>
      <c r="C42" s="433"/>
      <c r="D42" s="434"/>
      <c r="E42" s="219"/>
      <c r="F42" s="219"/>
      <c r="G42" s="219"/>
      <c r="H42" s="219"/>
      <c r="I42" s="219"/>
      <c r="J42" s="219"/>
      <c r="K42" s="219"/>
      <c r="L42" s="219"/>
      <c r="M42" s="219"/>
      <c r="N42" s="219"/>
    </row>
    <row r="43" spans="1:14" ht="24.95" customHeight="1">
      <c r="A43" s="230" t="s">
        <v>1160</v>
      </c>
      <c r="B43" s="433"/>
      <c r="C43" s="433"/>
      <c r="D43" s="434"/>
      <c r="E43" s="213"/>
      <c r="F43" s="213"/>
      <c r="G43" s="213"/>
      <c r="H43" s="213"/>
      <c r="I43" s="213"/>
      <c r="J43" s="213"/>
      <c r="K43" s="213"/>
      <c r="L43" s="213"/>
      <c r="M43" s="213"/>
      <c r="N43" s="213"/>
    </row>
    <row r="44" spans="1:14" ht="24.95" customHeight="1">
      <c r="A44" s="230" t="s">
        <v>532</v>
      </c>
      <c r="B44" s="433"/>
      <c r="C44" s="433"/>
      <c r="D44" s="434"/>
      <c r="E44" s="219"/>
      <c r="F44" s="219"/>
      <c r="G44" s="219"/>
      <c r="H44" s="219"/>
      <c r="I44" s="219"/>
      <c r="J44" s="219"/>
      <c r="K44" s="219"/>
      <c r="L44" s="219"/>
      <c r="M44" s="219"/>
      <c r="N44" s="219"/>
    </row>
    <row r="45" spans="1:14" ht="35.1" customHeight="1">
      <c r="A45" s="230" t="s">
        <v>811</v>
      </c>
      <c r="B45" s="433"/>
      <c r="C45" s="433"/>
      <c r="D45" s="434"/>
      <c r="E45" s="219">
        <v>664</v>
      </c>
      <c r="F45" s="219"/>
      <c r="G45" s="219"/>
      <c r="H45" s="219"/>
      <c r="I45" s="219"/>
      <c r="J45" s="219"/>
      <c r="K45" s="219"/>
      <c r="L45" s="219"/>
      <c r="M45" s="219">
        <v>664</v>
      </c>
      <c r="N45" s="219"/>
    </row>
    <row r="46" spans="1:14" ht="35.1" customHeight="1">
      <c r="A46" s="230" t="s">
        <v>120</v>
      </c>
      <c r="B46" s="433"/>
      <c r="C46" s="433"/>
      <c r="D46" s="434"/>
      <c r="E46" s="213"/>
      <c r="F46" s="213"/>
      <c r="G46" s="213"/>
      <c r="H46" s="213"/>
      <c r="I46" s="213"/>
      <c r="J46" s="213"/>
      <c r="K46" s="213"/>
      <c r="L46" s="213"/>
      <c r="M46" s="213"/>
      <c r="N46" s="213"/>
    </row>
    <row r="47" spans="1:14" ht="35.1" customHeight="1">
      <c r="A47" s="230" t="s">
        <v>842</v>
      </c>
      <c r="B47" s="433"/>
      <c r="C47" s="433"/>
      <c r="D47" s="434"/>
      <c r="E47" s="219"/>
      <c r="F47" s="219"/>
      <c r="G47" s="219"/>
      <c r="H47" s="219"/>
      <c r="I47" s="219"/>
      <c r="J47" s="219"/>
      <c r="K47" s="219"/>
      <c r="L47" s="219"/>
      <c r="M47" s="219"/>
      <c r="N47" s="219"/>
    </row>
    <row r="48" spans="1:14" ht="35.1" customHeight="1">
      <c r="A48" s="230" t="s">
        <v>163</v>
      </c>
      <c r="B48" s="433"/>
      <c r="C48" s="433"/>
      <c r="D48" s="434"/>
      <c r="E48" s="213"/>
      <c r="F48" s="213"/>
      <c r="G48" s="213"/>
      <c r="H48" s="213"/>
      <c r="I48" s="213"/>
      <c r="J48" s="213"/>
      <c r="K48" s="213"/>
      <c r="L48" s="213"/>
      <c r="M48" s="213"/>
      <c r="N48" s="213"/>
    </row>
    <row r="49" spans="1:14" ht="35.1" customHeight="1">
      <c r="A49" s="230" t="s">
        <v>811</v>
      </c>
      <c r="B49" s="433"/>
      <c r="C49" s="433"/>
      <c r="D49" s="434"/>
      <c r="E49" s="255" t="s">
        <v>1363</v>
      </c>
      <c r="F49" s="219"/>
      <c r="G49" s="219"/>
      <c r="H49" s="219"/>
      <c r="I49" s="219"/>
      <c r="J49" s="219"/>
      <c r="K49" s="219"/>
      <c r="L49" s="219"/>
      <c r="M49" s="255" t="s">
        <v>1363</v>
      </c>
      <c r="N49" s="219"/>
    </row>
    <row r="50" spans="1:14" ht="24.95" customHeight="1">
      <c r="A50" s="230" t="s">
        <v>702</v>
      </c>
      <c r="B50" s="433"/>
      <c r="C50" s="433"/>
      <c r="D50" s="434"/>
      <c r="E50" s="219"/>
      <c r="F50" s="219"/>
      <c r="G50" s="219"/>
      <c r="H50" s="219"/>
      <c r="I50" s="219"/>
      <c r="J50" s="219"/>
      <c r="K50" s="219"/>
      <c r="L50" s="219"/>
      <c r="M50" s="219"/>
      <c r="N50" s="219"/>
    </row>
    <row r="51" spans="1:14" ht="24.95" customHeight="1">
      <c r="A51" s="230" t="s">
        <v>1021</v>
      </c>
      <c r="B51" s="433"/>
      <c r="C51" s="433"/>
      <c r="D51" s="434"/>
      <c r="E51" s="219"/>
      <c r="F51" s="219"/>
      <c r="G51" s="219"/>
      <c r="H51" s="219"/>
      <c r="I51" s="219"/>
      <c r="J51" s="219"/>
      <c r="K51" s="219"/>
      <c r="L51" s="219"/>
      <c r="M51" s="219"/>
      <c r="N51" s="219"/>
    </row>
    <row r="52" spans="1:14" ht="24.95" customHeight="1">
      <c r="A52" s="230" t="s">
        <v>293</v>
      </c>
      <c r="B52" s="433"/>
      <c r="C52" s="433"/>
      <c r="D52" s="434"/>
      <c r="E52" s="213">
        <v>54847</v>
      </c>
      <c r="F52" s="213"/>
      <c r="G52" s="213"/>
      <c r="H52" s="213"/>
      <c r="I52" s="213"/>
      <c r="J52" s="213"/>
      <c r="K52" s="213"/>
      <c r="L52" s="213"/>
      <c r="M52" s="213">
        <v>89569</v>
      </c>
      <c r="N52" s="213"/>
    </row>
    <row r="53" spans="1:14" ht="24.95" customHeight="1">
      <c r="A53" s="230" t="s">
        <v>697</v>
      </c>
      <c r="B53" s="433"/>
      <c r="C53" s="433"/>
      <c r="D53" s="434"/>
      <c r="E53" s="255" t="s">
        <v>1363</v>
      </c>
      <c r="F53" s="219"/>
      <c r="G53" s="255" t="s">
        <v>1363</v>
      </c>
      <c r="H53" s="219"/>
      <c r="I53" s="219"/>
      <c r="J53" s="219"/>
      <c r="K53" s="219"/>
      <c r="L53" s="219"/>
      <c r="M53" s="255" t="s">
        <v>1363</v>
      </c>
      <c r="N53" s="219"/>
    </row>
    <row r="54" spans="1:14" ht="24.95" customHeight="1">
      <c r="A54" s="230" t="s">
        <v>300</v>
      </c>
      <c r="B54" s="433"/>
      <c r="C54" s="433"/>
      <c r="D54" s="434"/>
      <c r="E54" s="219">
        <v>30476</v>
      </c>
      <c r="F54" s="219"/>
      <c r="G54" s="255" t="s">
        <v>1363</v>
      </c>
      <c r="H54" s="219"/>
      <c r="I54" s="219"/>
      <c r="J54" s="219"/>
      <c r="K54" s="219"/>
      <c r="L54" s="219"/>
      <c r="M54" s="219">
        <v>34722</v>
      </c>
      <c r="N54" s="219"/>
    </row>
    <row r="55" spans="1:14" ht="24.95" customHeight="1">
      <c r="A55" s="230" t="s">
        <v>1069</v>
      </c>
      <c r="B55" s="433"/>
      <c r="C55" s="433"/>
      <c r="D55" s="434"/>
      <c r="E55" s="219"/>
      <c r="F55" s="219"/>
      <c r="G55" s="219"/>
      <c r="H55" s="219"/>
      <c r="I55" s="219"/>
      <c r="J55" s="219"/>
      <c r="K55" s="219"/>
      <c r="L55" s="219"/>
      <c r="M55" s="219"/>
      <c r="N55" s="219"/>
    </row>
    <row r="56" spans="1:14" ht="24.95" customHeight="1">
      <c r="A56" s="230" t="s">
        <v>809</v>
      </c>
      <c r="B56" s="433"/>
      <c r="C56" s="433"/>
      <c r="D56" s="434"/>
      <c r="E56" s="213"/>
      <c r="F56" s="213"/>
      <c r="G56" s="213"/>
      <c r="H56" s="213"/>
      <c r="I56" s="213"/>
      <c r="J56" s="213"/>
      <c r="K56" s="213"/>
      <c r="L56" s="213"/>
      <c r="M56" s="213"/>
      <c r="N56" s="213"/>
    </row>
    <row r="57" spans="1:14" ht="24.95" customHeight="1">
      <c r="A57" s="230" t="s">
        <v>857</v>
      </c>
      <c r="B57" s="433"/>
      <c r="C57" s="433"/>
      <c r="D57" s="434"/>
      <c r="E57" s="213"/>
      <c r="F57" s="213"/>
      <c r="G57" s="213"/>
      <c r="H57" s="213"/>
      <c r="I57" s="213"/>
      <c r="J57" s="213"/>
      <c r="K57" s="213"/>
      <c r="L57" s="213"/>
      <c r="M57" s="213"/>
      <c r="N57" s="213"/>
    </row>
    <row r="62" spans="1:14">
      <c r="A62" t="s">
        <v>974</v>
      </c>
      <c r="I62" t="s">
        <v>1036</v>
      </c>
    </row>
    <row r="63" spans="1:14">
      <c r="J63" t="s">
        <v>1282</v>
      </c>
    </row>
  </sheetData>
  <mergeCells count="257">
    <mergeCell ref="K57:L57"/>
    <mergeCell ref="M57:N57"/>
    <mergeCell ref="K56:L56"/>
    <mergeCell ref="M56:N56"/>
    <mergeCell ref="A57:D57"/>
    <mergeCell ref="E57:F57"/>
    <mergeCell ref="A56:D56"/>
    <mergeCell ref="E56:F56"/>
    <mergeCell ref="G56:H56"/>
    <mergeCell ref="I56:J56"/>
    <mergeCell ref="G57:H57"/>
    <mergeCell ref="I57:J57"/>
    <mergeCell ref="A55:D55"/>
    <mergeCell ref="E55:F55"/>
    <mergeCell ref="G55:H55"/>
    <mergeCell ref="I55:J55"/>
    <mergeCell ref="A54:D54"/>
    <mergeCell ref="E54:F54"/>
    <mergeCell ref="G54:H54"/>
    <mergeCell ref="I54:J54"/>
    <mergeCell ref="A53:D53"/>
    <mergeCell ref="E53:F53"/>
    <mergeCell ref="K55:L55"/>
    <mergeCell ref="M55:N55"/>
    <mergeCell ref="K54:L54"/>
    <mergeCell ref="M54:N54"/>
    <mergeCell ref="K52:L52"/>
    <mergeCell ref="M52:N52"/>
    <mergeCell ref="K53:L53"/>
    <mergeCell ref="M53:N53"/>
    <mergeCell ref="A52:D52"/>
    <mergeCell ref="E52:F52"/>
    <mergeCell ref="G52:H52"/>
    <mergeCell ref="I52:J52"/>
    <mergeCell ref="G53:H53"/>
    <mergeCell ref="I53:J53"/>
    <mergeCell ref="A51:D51"/>
    <mergeCell ref="E51:F51"/>
    <mergeCell ref="G51:H51"/>
    <mergeCell ref="I51:J51"/>
    <mergeCell ref="K49:L49"/>
    <mergeCell ref="M49:N49"/>
    <mergeCell ref="A50:D50"/>
    <mergeCell ref="E50:F50"/>
    <mergeCell ref="G50:H50"/>
    <mergeCell ref="I50:J50"/>
    <mergeCell ref="K51:L51"/>
    <mergeCell ref="M51:N51"/>
    <mergeCell ref="K50:L50"/>
    <mergeCell ref="M50:N50"/>
    <mergeCell ref="K48:L48"/>
    <mergeCell ref="M48:N48"/>
    <mergeCell ref="A49:D49"/>
    <mergeCell ref="E49:F49"/>
    <mergeCell ref="A48:D48"/>
    <mergeCell ref="E48:F48"/>
    <mergeCell ref="G48:H48"/>
    <mergeCell ref="I48:J48"/>
    <mergeCell ref="G49:H49"/>
    <mergeCell ref="I49:J49"/>
    <mergeCell ref="A47:D47"/>
    <mergeCell ref="E47:F47"/>
    <mergeCell ref="G47:H47"/>
    <mergeCell ref="I47:J47"/>
    <mergeCell ref="K45:L45"/>
    <mergeCell ref="M45:N45"/>
    <mergeCell ref="A46:D46"/>
    <mergeCell ref="E46:F46"/>
    <mergeCell ref="G46:H46"/>
    <mergeCell ref="I46:J46"/>
    <mergeCell ref="K47:L47"/>
    <mergeCell ref="M47:N47"/>
    <mergeCell ref="K46:L46"/>
    <mergeCell ref="M46:N46"/>
    <mergeCell ref="K44:L44"/>
    <mergeCell ref="M44:N44"/>
    <mergeCell ref="A45:D45"/>
    <mergeCell ref="E45:F45"/>
    <mergeCell ref="A44:D44"/>
    <mergeCell ref="E44:F44"/>
    <mergeCell ref="G44:H44"/>
    <mergeCell ref="I44:J44"/>
    <mergeCell ref="G45:H45"/>
    <mergeCell ref="I45:J45"/>
    <mergeCell ref="A43:D43"/>
    <mergeCell ref="E43:F43"/>
    <mergeCell ref="G43:H43"/>
    <mergeCell ref="I43:J43"/>
    <mergeCell ref="K41:L41"/>
    <mergeCell ref="M41:N41"/>
    <mergeCell ref="A42:D42"/>
    <mergeCell ref="E42:F42"/>
    <mergeCell ref="G42:H42"/>
    <mergeCell ref="I42:J42"/>
    <mergeCell ref="K43:L43"/>
    <mergeCell ref="M43:N43"/>
    <mergeCell ref="K42:L42"/>
    <mergeCell ref="M42:N42"/>
    <mergeCell ref="K40:L40"/>
    <mergeCell ref="M40:N40"/>
    <mergeCell ref="A41:D41"/>
    <mergeCell ref="E41:F41"/>
    <mergeCell ref="A40:D40"/>
    <mergeCell ref="E40:F40"/>
    <mergeCell ref="G40:H40"/>
    <mergeCell ref="I40:J40"/>
    <mergeCell ref="G41:H41"/>
    <mergeCell ref="I41:J41"/>
    <mergeCell ref="A39:D39"/>
    <mergeCell ref="E39:F39"/>
    <mergeCell ref="G39:H39"/>
    <mergeCell ref="I39:J39"/>
    <mergeCell ref="K39:L39"/>
    <mergeCell ref="M39:N39"/>
    <mergeCell ref="G25:H25"/>
    <mergeCell ref="I25:J25"/>
    <mergeCell ref="K25:L25"/>
    <mergeCell ref="M25:N25"/>
    <mergeCell ref="E36:N36"/>
    <mergeCell ref="E37:F37"/>
    <mergeCell ref="A34:N34"/>
    <mergeCell ref="A36:D37"/>
    <mergeCell ref="K37:L37"/>
    <mergeCell ref="M37:N37"/>
    <mergeCell ref="K38:L38"/>
    <mergeCell ref="M38:N38"/>
    <mergeCell ref="K24:L24"/>
    <mergeCell ref="M24:N24"/>
    <mergeCell ref="A38:D38"/>
    <mergeCell ref="E38:F38"/>
    <mergeCell ref="G38:H38"/>
    <mergeCell ref="I38:J38"/>
    <mergeCell ref="A26:D26"/>
    <mergeCell ref="E26:F26"/>
    <mergeCell ref="G26:H26"/>
    <mergeCell ref="I26:J26"/>
    <mergeCell ref="A25:D25"/>
    <mergeCell ref="E25:F25"/>
    <mergeCell ref="A23:D23"/>
    <mergeCell ref="E23:F23"/>
    <mergeCell ref="G23:H23"/>
    <mergeCell ref="I23:J23"/>
    <mergeCell ref="A24:D24"/>
    <mergeCell ref="E24:F24"/>
    <mergeCell ref="G24:H24"/>
    <mergeCell ref="I24:J24"/>
    <mergeCell ref="A22:D22"/>
    <mergeCell ref="E22:F22"/>
    <mergeCell ref="G22:H22"/>
    <mergeCell ref="I22:J22"/>
    <mergeCell ref="A21:D21"/>
    <mergeCell ref="E21:F21"/>
    <mergeCell ref="K23:L23"/>
    <mergeCell ref="M23:N23"/>
    <mergeCell ref="K22:L22"/>
    <mergeCell ref="M22:N22"/>
    <mergeCell ref="K20:L20"/>
    <mergeCell ref="M20:N20"/>
    <mergeCell ref="K21:L21"/>
    <mergeCell ref="M21:N21"/>
    <mergeCell ref="A20:D20"/>
    <mergeCell ref="E20:F20"/>
    <mergeCell ref="G20:H20"/>
    <mergeCell ref="I20:J20"/>
    <mergeCell ref="G21:H21"/>
    <mergeCell ref="I21:J21"/>
    <mergeCell ref="A19:D19"/>
    <mergeCell ref="E19:F19"/>
    <mergeCell ref="G19:H19"/>
    <mergeCell ref="I19:J19"/>
    <mergeCell ref="A18:D18"/>
    <mergeCell ref="E18:F18"/>
    <mergeCell ref="G18:H18"/>
    <mergeCell ref="I18:J18"/>
    <mergeCell ref="M17:N17"/>
    <mergeCell ref="K19:L19"/>
    <mergeCell ref="M19:N19"/>
    <mergeCell ref="K18:L18"/>
    <mergeCell ref="M18:N18"/>
    <mergeCell ref="M13:N13"/>
    <mergeCell ref="I16:J16"/>
    <mergeCell ref="K16:L16"/>
    <mergeCell ref="M16:N16"/>
    <mergeCell ref="M14:N14"/>
    <mergeCell ref="K14:L14"/>
    <mergeCell ref="K13:L13"/>
    <mergeCell ref="K15:L15"/>
    <mergeCell ref="M15:N15"/>
    <mergeCell ref="I13:J13"/>
    <mergeCell ref="G10:H10"/>
    <mergeCell ref="I10:J10"/>
    <mergeCell ref="K10:L10"/>
    <mergeCell ref="E14:F14"/>
    <mergeCell ref="E12:F12"/>
    <mergeCell ref="G14:H14"/>
    <mergeCell ref="I14:J14"/>
    <mergeCell ref="G13:H13"/>
    <mergeCell ref="A7:D7"/>
    <mergeCell ref="A8:D8"/>
    <mergeCell ref="A9:D9"/>
    <mergeCell ref="A14:D14"/>
    <mergeCell ref="A10:D10"/>
    <mergeCell ref="A11:D11"/>
    <mergeCell ref="A12:D12"/>
    <mergeCell ref="A13:D13"/>
    <mergeCell ref="A15:D15"/>
    <mergeCell ref="E15:F15"/>
    <mergeCell ref="G15:H15"/>
    <mergeCell ref="I15:J15"/>
    <mergeCell ref="E13:F13"/>
    <mergeCell ref="M10:N10"/>
    <mergeCell ref="E11:F11"/>
    <mergeCell ref="G11:H11"/>
    <mergeCell ref="I11:J11"/>
    <mergeCell ref="K11:L11"/>
    <mergeCell ref="M11:N11"/>
    <mergeCell ref="E10:F10"/>
    <mergeCell ref="M12:N12"/>
    <mergeCell ref="G12:H12"/>
    <mergeCell ref="K26:L26"/>
    <mergeCell ref="M26:N26"/>
    <mergeCell ref="I17:J17"/>
    <mergeCell ref="K17:L17"/>
    <mergeCell ref="I12:J12"/>
    <mergeCell ref="K12:L12"/>
    <mergeCell ref="A16:D16"/>
    <mergeCell ref="E16:F16"/>
    <mergeCell ref="G16:H16"/>
    <mergeCell ref="A17:D17"/>
    <mergeCell ref="E17:F17"/>
    <mergeCell ref="G17:H17"/>
    <mergeCell ref="K9:L9"/>
    <mergeCell ref="M9:N9"/>
    <mergeCell ref="E8:F8"/>
    <mergeCell ref="G8:H8"/>
    <mergeCell ref="I8:J8"/>
    <mergeCell ref="K8:L8"/>
    <mergeCell ref="G9:H9"/>
    <mergeCell ref="I9:J9"/>
    <mergeCell ref="M8:N8"/>
    <mergeCell ref="E9:F9"/>
    <mergeCell ref="M6:N6"/>
    <mergeCell ref="E7:F7"/>
    <mergeCell ref="G7:H7"/>
    <mergeCell ref="I7:J7"/>
    <mergeCell ref="K7:L7"/>
    <mergeCell ref="M7:N7"/>
    <mergeCell ref="G37:H37"/>
    <mergeCell ref="I37:J37"/>
    <mergeCell ref="A1:N1"/>
    <mergeCell ref="A3:N3"/>
    <mergeCell ref="E6:F6"/>
    <mergeCell ref="G6:H6"/>
    <mergeCell ref="I6:J6"/>
    <mergeCell ref="A5:D6"/>
    <mergeCell ref="E5:N5"/>
    <mergeCell ref="K6:L6"/>
  </mergeCells>
  <phoneticPr fontId="0" type="noConversion"/>
  <pageMargins left="0.7" right="0.7" top="0.75" bottom="0.75" header="0.3" footer="0.3"/>
  <pageSetup paperSize="9" scale="9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19"/>
  <sheetViews>
    <sheetView workbookViewId="0"/>
  </sheetViews>
  <sheetFormatPr defaultRowHeight="15"/>
  <cols>
    <col min="1" max="1" width="6.42578125" customWidth="1"/>
    <col min="2" max="2" width="43.85546875" customWidth="1"/>
    <col min="3" max="3" width="9.85546875" customWidth="1"/>
    <col min="4" max="4" width="10.28515625" customWidth="1"/>
    <col min="5" max="5" width="10.85546875" customWidth="1"/>
    <col min="6" max="7" width="10.28515625" customWidth="1"/>
    <col min="8" max="8" width="10.85546875" customWidth="1"/>
    <col min="9" max="9" width="10.28515625" customWidth="1"/>
    <col min="10" max="10" width="10.85546875" customWidth="1"/>
  </cols>
  <sheetData>
    <row r="1" spans="1:10">
      <c r="A1" t="s">
        <v>1237</v>
      </c>
      <c r="B1" t="s">
        <v>554</v>
      </c>
      <c r="C1" t="s">
        <v>97</v>
      </c>
      <c r="D1" t="s">
        <v>366</v>
      </c>
      <c r="E1" t="s">
        <v>860</v>
      </c>
      <c r="F1" t="s">
        <v>1094</v>
      </c>
      <c r="G1" t="s">
        <v>1113</v>
      </c>
      <c r="H1" t="s">
        <v>480</v>
      </c>
      <c r="I1" t="s">
        <v>122</v>
      </c>
      <c r="J1" t="s">
        <v>654</v>
      </c>
    </row>
    <row r="2" spans="1:10">
      <c r="A2" t="s">
        <v>327</v>
      </c>
      <c r="B2" t="s">
        <v>624</v>
      </c>
      <c r="C2">
        <v>14149.9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14149.9</v>
      </c>
    </row>
    <row r="3" spans="1:10">
      <c r="A3" t="s">
        <v>112</v>
      </c>
      <c r="B3" t="s">
        <v>1238</v>
      </c>
      <c r="C3">
        <v>249500.71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249500.71</v>
      </c>
    </row>
    <row r="4" spans="1:10">
      <c r="A4" t="s">
        <v>1257</v>
      </c>
      <c r="B4" t="s">
        <v>162</v>
      </c>
      <c r="C4">
        <v>116706.71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116706.71</v>
      </c>
    </row>
    <row r="5" spans="1:10">
      <c r="A5" t="s">
        <v>492</v>
      </c>
      <c r="B5" t="s">
        <v>2</v>
      </c>
      <c r="C5">
        <v>38705.919999999998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38705.919999999998</v>
      </c>
    </row>
    <row r="6" spans="1:10">
      <c r="A6" t="s">
        <v>1138</v>
      </c>
      <c r="B6" t="s">
        <v>1112</v>
      </c>
      <c r="C6">
        <v>12920.05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12920.05</v>
      </c>
    </row>
    <row r="7" spans="1:10">
      <c r="A7" t="s">
        <v>329</v>
      </c>
      <c r="B7" t="s">
        <v>297</v>
      </c>
      <c r="C7">
        <v>22585.679999999997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22585.679999999997</v>
      </c>
    </row>
    <row r="8" spans="1:10">
      <c r="A8" t="s">
        <v>1219</v>
      </c>
      <c r="B8" t="s">
        <v>319</v>
      </c>
      <c r="C8">
        <v>26094.969999999998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26094.969999999998</v>
      </c>
    </row>
    <row r="9" spans="1:10">
      <c r="A9" t="s">
        <v>632</v>
      </c>
      <c r="B9" t="s">
        <v>1299</v>
      </c>
      <c r="C9">
        <v>27915.629999999997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27915.629999999997</v>
      </c>
    </row>
    <row r="10" spans="1:10">
      <c r="A10" t="s">
        <v>421</v>
      </c>
      <c r="B10" t="s">
        <v>950</v>
      </c>
      <c r="C10">
        <v>27119.25</v>
      </c>
      <c r="D10">
        <v>0</v>
      </c>
      <c r="E10">
        <v>0</v>
      </c>
      <c r="F10">
        <v>0</v>
      </c>
      <c r="G10">
        <v>27119.25</v>
      </c>
      <c r="H10">
        <v>0</v>
      </c>
      <c r="I10">
        <v>27119.25</v>
      </c>
      <c r="J10">
        <v>0</v>
      </c>
    </row>
    <row r="11" spans="1:10">
      <c r="A11" t="s">
        <v>925</v>
      </c>
      <c r="B11" t="s">
        <v>269</v>
      </c>
      <c r="C11">
        <v>26722.12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26722.12</v>
      </c>
    </row>
    <row r="12" spans="1:10">
      <c r="A12" t="s">
        <v>161</v>
      </c>
      <c r="B12" t="s">
        <v>1196</v>
      </c>
      <c r="C12">
        <v>96672.54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96672.54</v>
      </c>
    </row>
    <row r="13" spans="1:10">
      <c r="A13" t="s">
        <v>804</v>
      </c>
      <c r="B13" t="s">
        <v>118</v>
      </c>
      <c r="C13">
        <v>24818.959999999999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24818.959999999999</v>
      </c>
    </row>
    <row r="14" spans="1:10">
      <c r="A14" t="s">
        <v>4</v>
      </c>
      <c r="B14" t="s">
        <v>405</v>
      </c>
      <c r="C14">
        <v>24799.109999999997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24799.109999999997</v>
      </c>
    </row>
    <row r="15" spans="1:10">
      <c r="A15" t="s">
        <v>861</v>
      </c>
      <c r="B15" t="s">
        <v>733</v>
      </c>
      <c r="C15">
        <v>26989.83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26989.83</v>
      </c>
    </row>
    <row r="16" spans="1:10">
      <c r="A16" t="s">
        <v>264</v>
      </c>
      <c r="B16" t="s">
        <v>1303</v>
      </c>
      <c r="C16">
        <v>28477.279999999999</v>
      </c>
      <c r="D16">
        <v>0</v>
      </c>
      <c r="E16">
        <v>0</v>
      </c>
      <c r="F16">
        <v>0</v>
      </c>
      <c r="G16">
        <v>28477.279999999999</v>
      </c>
      <c r="H16">
        <v>0</v>
      </c>
      <c r="I16">
        <v>28477.279999999999</v>
      </c>
      <c r="J16">
        <v>0</v>
      </c>
    </row>
    <row r="17" spans="1:10">
      <c r="A17" t="s">
        <v>691</v>
      </c>
      <c r="B17" t="s">
        <v>1266</v>
      </c>
      <c r="C17">
        <v>22984.609999999997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22984.609999999997</v>
      </c>
    </row>
    <row r="18" spans="1:10">
      <c r="A18" t="s">
        <v>84</v>
      </c>
      <c r="B18" t="s">
        <v>1336</v>
      </c>
      <c r="C18">
        <v>132520.22999999998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132520.22999999998</v>
      </c>
    </row>
    <row r="19" spans="1:10">
      <c r="A19" t="s">
        <v>548</v>
      </c>
      <c r="B19" t="s">
        <v>1048</v>
      </c>
      <c r="C19">
        <v>25008.539999999997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25008.539999999997</v>
      </c>
    </row>
    <row r="20" spans="1:10">
      <c r="A20" t="s">
        <v>446</v>
      </c>
      <c r="B20" t="s">
        <v>246</v>
      </c>
      <c r="C20">
        <v>27387.96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27387.96</v>
      </c>
    </row>
    <row r="21" spans="1:10">
      <c r="A21" t="s">
        <v>1037</v>
      </c>
      <c r="B21" t="s">
        <v>175</v>
      </c>
      <c r="C21">
        <v>19319.259999999998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19319.259999999998</v>
      </c>
    </row>
    <row r="22" spans="1:10">
      <c r="A22" t="s">
        <v>519</v>
      </c>
      <c r="B22" t="s">
        <v>715</v>
      </c>
      <c r="C22">
        <v>25964.379999999997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25964.379999999997</v>
      </c>
    </row>
    <row r="23" spans="1:10">
      <c r="A23" t="s">
        <v>1322</v>
      </c>
      <c r="B23" t="s">
        <v>497</v>
      </c>
      <c r="C23">
        <v>36015.379999999997</v>
      </c>
      <c r="D23">
        <v>0</v>
      </c>
      <c r="E23">
        <v>0</v>
      </c>
      <c r="F23">
        <v>0</v>
      </c>
      <c r="G23">
        <v>36015.379999999997</v>
      </c>
      <c r="H23">
        <v>0</v>
      </c>
      <c r="I23">
        <v>36015.379999999997</v>
      </c>
      <c r="J23">
        <v>0</v>
      </c>
    </row>
    <row r="24" spans="1:10">
      <c r="A24" t="s">
        <v>305</v>
      </c>
      <c r="B24" t="s">
        <v>357</v>
      </c>
      <c r="C24">
        <v>126228.62</v>
      </c>
      <c r="D24">
        <v>0</v>
      </c>
      <c r="E24">
        <v>0</v>
      </c>
      <c r="F24">
        <v>0</v>
      </c>
      <c r="G24">
        <v>126228.62</v>
      </c>
      <c r="H24">
        <v>0</v>
      </c>
      <c r="I24">
        <v>126228.62</v>
      </c>
      <c r="J24">
        <v>0</v>
      </c>
    </row>
    <row r="25" spans="1:10">
      <c r="A25" t="s">
        <v>1075</v>
      </c>
      <c r="B25" t="s">
        <v>1209</v>
      </c>
      <c r="C25">
        <v>26267.179999999997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26267.179999999997</v>
      </c>
    </row>
    <row r="26" spans="1:10">
      <c r="A26" t="s">
        <v>291</v>
      </c>
      <c r="B26" t="s">
        <v>287</v>
      </c>
      <c r="C26">
        <v>19721.009999999998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19721.009999999998</v>
      </c>
    </row>
    <row r="27" spans="1:10">
      <c r="A27" t="s">
        <v>1082</v>
      </c>
      <c r="B27" t="s">
        <v>367</v>
      </c>
      <c r="C27">
        <v>127086.95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127086.95</v>
      </c>
    </row>
    <row r="28" spans="1:10">
      <c r="A28" t="s">
        <v>223</v>
      </c>
      <c r="B28" t="s">
        <v>1123</v>
      </c>
      <c r="C28">
        <v>18623.429999999997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18623.429999999997</v>
      </c>
    </row>
    <row r="29" spans="1:10">
      <c r="A29" t="s">
        <v>1263</v>
      </c>
      <c r="B29" t="s">
        <v>406</v>
      </c>
      <c r="C29">
        <v>4469.53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4469.53</v>
      </c>
    </row>
    <row r="30" spans="1:10">
      <c r="A30" t="s">
        <v>893</v>
      </c>
      <c r="B30" t="s">
        <v>1198</v>
      </c>
      <c r="C30">
        <v>648442.48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648442.48</v>
      </c>
    </row>
    <row r="31" spans="1:10">
      <c r="A31" t="s">
        <v>398</v>
      </c>
      <c r="B31" t="s">
        <v>840</v>
      </c>
      <c r="C31">
        <v>2207.3799999999997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2207.3799999999997</v>
      </c>
    </row>
    <row r="32" spans="1:10">
      <c r="A32" t="s">
        <v>1199</v>
      </c>
      <c r="B32" t="s">
        <v>920</v>
      </c>
      <c r="C32">
        <v>-14149.9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-14149.9</v>
      </c>
    </row>
    <row r="33" spans="1:10">
      <c r="A33" t="s">
        <v>969</v>
      </c>
      <c r="B33" t="s">
        <v>1304</v>
      </c>
      <c r="C33">
        <v>-64648.87</v>
      </c>
      <c r="D33">
        <v>0</v>
      </c>
      <c r="E33">
        <v>0</v>
      </c>
      <c r="F33">
        <v>0</v>
      </c>
      <c r="G33">
        <v>12741</v>
      </c>
      <c r="H33">
        <v>0</v>
      </c>
      <c r="I33">
        <v>12741</v>
      </c>
      <c r="J33">
        <v>-77389.87</v>
      </c>
    </row>
    <row r="34" spans="1:10">
      <c r="A34" t="s">
        <v>407</v>
      </c>
      <c r="B34" t="s">
        <v>549</v>
      </c>
      <c r="C34">
        <v>-94324.109999999986</v>
      </c>
      <c r="D34">
        <v>0</v>
      </c>
      <c r="E34">
        <v>0</v>
      </c>
      <c r="F34">
        <v>0</v>
      </c>
      <c r="G34">
        <v>9201.82</v>
      </c>
      <c r="H34">
        <v>0</v>
      </c>
      <c r="I34">
        <v>9201.82</v>
      </c>
      <c r="J34">
        <v>-103525.93</v>
      </c>
    </row>
    <row r="35" spans="1:10">
      <c r="A35" t="s">
        <v>1011</v>
      </c>
      <c r="B35" t="s">
        <v>2</v>
      </c>
      <c r="C35">
        <v>-38705.919999999998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-38705.919999999998</v>
      </c>
    </row>
    <row r="36" spans="1:10">
      <c r="A36" t="s">
        <v>647</v>
      </c>
      <c r="B36" t="s">
        <v>1004</v>
      </c>
      <c r="C36">
        <v>-12920.05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-12920.05</v>
      </c>
    </row>
    <row r="37" spans="1:10">
      <c r="A37" t="s">
        <v>1210</v>
      </c>
      <c r="B37" t="s">
        <v>297</v>
      </c>
      <c r="C37">
        <v>-22585.679999999997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-22585.679999999997</v>
      </c>
    </row>
    <row r="38" spans="1:10">
      <c r="A38" t="s">
        <v>352</v>
      </c>
      <c r="B38" t="s">
        <v>319</v>
      </c>
      <c r="C38">
        <v>-26094.969999999998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-26094.969999999998</v>
      </c>
    </row>
    <row r="39" spans="1:10">
      <c r="A39" t="s">
        <v>1124</v>
      </c>
      <c r="B39" t="s">
        <v>1299</v>
      </c>
      <c r="C39">
        <v>-27915.629999999997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-27915.629999999997</v>
      </c>
    </row>
    <row r="40" spans="1:10">
      <c r="A40" t="s">
        <v>1284</v>
      </c>
      <c r="B40" t="s">
        <v>950</v>
      </c>
      <c r="C40">
        <v>-27119.25</v>
      </c>
      <c r="D40">
        <v>27119.25</v>
      </c>
      <c r="E40">
        <v>0</v>
      </c>
      <c r="F40">
        <v>27119.25</v>
      </c>
      <c r="G40">
        <v>0</v>
      </c>
      <c r="H40">
        <v>0</v>
      </c>
      <c r="I40">
        <v>0</v>
      </c>
      <c r="J40">
        <v>0</v>
      </c>
    </row>
    <row r="41" spans="1:10">
      <c r="A41" t="s">
        <v>50</v>
      </c>
      <c r="B41" t="s">
        <v>782</v>
      </c>
      <c r="C41">
        <v>-26722.109999999997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-26722.109999999997</v>
      </c>
    </row>
    <row r="42" spans="1:10">
      <c r="A42" t="s">
        <v>673</v>
      </c>
      <c r="B42" t="s">
        <v>1196</v>
      </c>
      <c r="C42">
        <v>-96672.549999999988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-96672.549999999988</v>
      </c>
    </row>
    <row r="43" spans="1:10">
      <c r="A43" t="s">
        <v>275</v>
      </c>
      <c r="B43" t="s">
        <v>118</v>
      </c>
      <c r="C43">
        <v>-24818.959999999999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-24818.959999999999</v>
      </c>
    </row>
    <row r="44" spans="1:10">
      <c r="A44" t="s">
        <v>846</v>
      </c>
      <c r="B44" t="s">
        <v>405</v>
      </c>
      <c r="C44">
        <v>-24799.109999999997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-24799.109999999997</v>
      </c>
    </row>
    <row r="45" spans="1:10">
      <c r="A45" t="s">
        <v>18</v>
      </c>
      <c r="B45" t="s">
        <v>325</v>
      </c>
      <c r="C45">
        <v>-26989.83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-26989.83</v>
      </c>
    </row>
    <row r="46" spans="1:10">
      <c r="A46" t="s">
        <v>797</v>
      </c>
      <c r="B46" t="s">
        <v>1303</v>
      </c>
      <c r="C46">
        <v>-28477.279999999999</v>
      </c>
      <c r="D46">
        <v>28477.279999999999</v>
      </c>
      <c r="E46">
        <v>0</v>
      </c>
      <c r="F46">
        <v>28477.279999999999</v>
      </c>
      <c r="G46">
        <v>0</v>
      </c>
      <c r="H46">
        <v>0</v>
      </c>
      <c r="I46">
        <v>0</v>
      </c>
      <c r="J46">
        <v>0</v>
      </c>
    </row>
    <row r="47" spans="1:10">
      <c r="A47" t="s">
        <v>174</v>
      </c>
      <c r="B47" t="s">
        <v>1266</v>
      </c>
      <c r="C47">
        <v>-22984.62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-22984.62</v>
      </c>
    </row>
    <row r="48" spans="1:10">
      <c r="A48" t="s">
        <v>141</v>
      </c>
      <c r="B48" t="s">
        <v>1234</v>
      </c>
      <c r="C48">
        <v>-0.65999999999999992</v>
      </c>
      <c r="D48">
        <v>0.65999999999999992</v>
      </c>
      <c r="E48">
        <v>0</v>
      </c>
      <c r="F48">
        <v>0.65999999999999992</v>
      </c>
      <c r="G48">
        <v>0</v>
      </c>
      <c r="H48">
        <v>0</v>
      </c>
      <c r="I48">
        <v>0</v>
      </c>
      <c r="J48">
        <v>0</v>
      </c>
    </row>
    <row r="49" spans="1:10">
      <c r="A49" t="s">
        <v>940</v>
      </c>
      <c r="B49" t="s">
        <v>1336</v>
      </c>
      <c r="C49">
        <v>-124237.99</v>
      </c>
      <c r="D49">
        <v>0</v>
      </c>
      <c r="E49">
        <v>0</v>
      </c>
      <c r="F49">
        <v>0</v>
      </c>
      <c r="G49">
        <v>8282.24</v>
      </c>
      <c r="H49">
        <v>0</v>
      </c>
      <c r="I49">
        <v>8282.24</v>
      </c>
      <c r="J49">
        <v>-132520.22999999998</v>
      </c>
    </row>
    <row r="50" spans="1:10">
      <c r="A50" t="s">
        <v>1067</v>
      </c>
      <c r="B50" t="s">
        <v>194</v>
      </c>
      <c r="C50">
        <v>-22405.219999999998</v>
      </c>
      <c r="D50">
        <v>0</v>
      </c>
      <c r="E50">
        <v>0</v>
      </c>
      <c r="F50">
        <v>0</v>
      </c>
      <c r="G50">
        <v>2603.3199999999997</v>
      </c>
      <c r="H50">
        <v>0</v>
      </c>
      <c r="I50">
        <v>2603.3199999999997</v>
      </c>
      <c r="J50">
        <v>-25008.539999999997</v>
      </c>
    </row>
    <row r="51" spans="1:10">
      <c r="A51" t="s">
        <v>1313</v>
      </c>
      <c r="B51" t="s">
        <v>246</v>
      </c>
      <c r="C51">
        <v>-23394.15</v>
      </c>
      <c r="D51">
        <v>0</v>
      </c>
      <c r="E51">
        <v>0</v>
      </c>
      <c r="F51">
        <v>0</v>
      </c>
      <c r="G51">
        <v>3993.81</v>
      </c>
      <c r="H51">
        <v>0</v>
      </c>
      <c r="I51">
        <v>3993.81</v>
      </c>
      <c r="J51">
        <v>-27387.96</v>
      </c>
    </row>
    <row r="52" spans="1:10">
      <c r="A52" t="s">
        <v>530</v>
      </c>
      <c r="B52" t="s">
        <v>175</v>
      </c>
      <c r="C52">
        <v>-15697.57</v>
      </c>
      <c r="D52">
        <v>0</v>
      </c>
      <c r="E52">
        <v>0</v>
      </c>
      <c r="F52">
        <v>0</v>
      </c>
      <c r="G52">
        <v>3621.6899999999996</v>
      </c>
      <c r="H52">
        <v>0</v>
      </c>
      <c r="I52">
        <v>3621.6899999999996</v>
      </c>
      <c r="J52">
        <v>-19319.259999999998</v>
      </c>
    </row>
    <row r="53" spans="1:10">
      <c r="A53" t="s">
        <v>1025</v>
      </c>
      <c r="B53" t="s">
        <v>619</v>
      </c>
      <c r="C53">
        <v>-21097.91</v>
      </c>
      <c r="D53">
        <v>0</v>
      </c>
      <c r="E53">
        <v>0</v>
      </c>
      <c r="F53">
        <v>0</v>
      </c>
      <c r="G53">
        <v>4866.4699999999993</v>
      </c>
      <c r="H53">
        <v>0</v>
      </c>
      <c r="I53">
        <v>4866.4699999999993</v>
      </c>
      <c r="J53">
        <v>-25964.379999999997</v>
      </c>
    </row>
    <row r="54" spans="1:10">
      <c r="A54" t="s">
        <v>454</v>
      </c>
      <c r="B54" t="s">
        <v>312</v>
      </c>
      <c r="C54">
        <v>-34016.32</v>
      </c>
      <c r="D54">
        <v>36015.379999999997</v>
      </c>
      <c r="E54">
        <v>0</v>
      </c>
      <c r="F54">
        <v>36015.379999999997</v>
      </c>
      <c r="G54">
        <v>1999.06</v>
      </c>
      <c r="H54">
        <v>0</v>
      </c>
      <c r="I54">
        <v>1999.06</v>
      </c>
      <c r="J54">
        <v>0</v>
      </c>
    </row>
    <row r="55" spans="1:10">
      <c r="A55" t="s">
        <v>1175</v>
      </c>
      <c r="B55" t="s">
        <v>396</v>
      </c>
      <c r="C55">
        <v>-69426.48</v>
      </c>
      <c r="D55">
        <v>126228.62</v>
      </c>
      <c r="E55">
        <v>0</v>
      </c>
      <c r="F55">
        <v>126228.62</v>
      </c>
      <c r="G55">
        <v>56802.14</v>
      </c>
      <c r="H55">
        <v>0</v>
      </c>
      <c r="I55">
        <v>56802.14</v>
      </c>
      <c r="J55">
        <v>0</v>
      </c>
    </row>
    <row r="56" spans="1:10">
      <c r="A56" t="s">
        <v>568</v>
      </c>
      <c r="B56" t="s">
        <v>1005</v>
      </c>
      <c r="C56">
        <v>-17511.879999999997</v>
      </c>
      <c r="D56">
        <v>0</v>
      </c>
      <c r="E56">
        <v>0</v>
      </c>
      <c r="F56">
        <v>0</v>
      </c>
      <c r="G56">
        <v>6567</v>
      </c>
      <c r="H56">
        <v>0</v>
      </c>
      <c r="I56">
        <v>6567</v>
      </c>
      <c r="J56">
        <v>-24078.879999999997</v>
      </c>
    </row>
    <row r="57" spans="1:10">
      <c r="A57" t="s">
        <v>1169</v>
      </c>
      <c r="B57" t="s">
        <v>1294</v>
      </c>
      <c r="C57">
        <v>-12327.25</v>
      </c>
      <c r="D57">
        <v>0</v>
      </c>
      <c r="E57">
        <v>0</v>
      </c>
      <c r="F57">
        <v>0</v>
      </c>
      <c r="G57">
        <v>4931</v>
      </c>
      <c r="H57">
        <v>0</v>
      </c>
      <c r="I57">
        <v>4931</v>
      </c>
      <c r="J57">
        <v>-17258.25</v>
      </c>
    </row>
    <row r="58" spans="1:10">
      <c r="A58" t="s">
        <v>581</v>
      </c>
      <c r="B58" t="s">
        <v>301</v>
      </c>
      <c r="C58">
        <v>-63544.82</v>
      </c>
      <c r="D58">
        <v>0</v>
      </c>
      <c r="E58">
        <v>0</v>
      </c>
      <c r="F58">
        <v>0</v>
      </c>
      <c r="G58">
        <v>25418</v>
      </c>
      <c r="H58">
        <v>0</v>
      </c>
      <c r="I58">
        <v>25418</v>
      </c>
      <c r="J58">
        <v>-88962.82</v>
      </c>
    </row>
    <row r="59" spans="1:10">
      <c r="A59" t="s">
        <v>739</v>
      </c>
      <c r="B59" t="s">
        <v>1123</v>
      </c>
      <c r="C59">
        <v>-11640.019999999999</v>
      </c>
      <c r="D59">
        <v>0</v>
      </c>
      <c r="E59">
        <v>0</v>
      </c>
      <c r="F59">
        <v>0</v>
      </c>
      <c r="G59">
        <v>4656</v>
      </c>
      <c r="H59">
        <v>0</v>
      </c>
      <c r="I59">
        <v>4656</v>
      </c>
      <c r="J59">
        <v>-16296.019999999999</v>
      </c>
    </row>
    <row r="60" spans="1:10">
      <c r="A60" t="s">
        <v>400</v>
      </c>
      <c r="B60" t="s">
        <v>377</v>
      </c>
      <c r="C60">
        <v>-4469.53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-4469.53</v>
      </c>
    </row>
    <row r="61" spans="1:10">
      <c r="A61" t="s">
        <v>6</v>
      </c>
      <c r="B61" t="s">
        <v>734</v>
      </c>
      <c r="C61">
        <v>0</v>
      </c>
      <c r="D61">
        <v>1852720.0699999998</v>
      </c>
      <c r="E61">
        <v>-66292.429999999993</v>
      </c>
      <c r="F61">
        <v>1786427.64</v>
      </c>
      <c r="G61">
        <v>1801764.7899999998</v>
      </c>
      <c r="H61">
        <v>-15337.15</v>
      </c>
      <c r="I61">
        <v>1786427.64</v>
      </c>
      <c r="J61">
        <v>0</v>
      </c>
    </row>
    <row r="62" spans="1:10">
      <c r="A62" t="s">
        <v>805</v>
      </c>
      <c r="B62" t="s">
        <v>963</v>
      </c>
      <c r="C62">
        <v>547.29</v>
      </c>
      <c r="D62">
        <v>7821740.7899999991</v>
      </c>
      <c r="E62">
        <v>-7549760.7599999998</v>
      </c>
      <c r="F62">
        <v>271980.02999999997</v>
      </c>
      <c r="G62">
        <v>7815446.6499999994</v>
      </c>
      <c r="H62">
        <v>-7542919.3299999991</v>
      </c>
      <c r="I62">
        <v>272527.31999999995</v>
      </c>
      <c r="J62">
        <v>0</v>
      </c>
    </row>
    <row r="63" spans="1:10">
      <c r="A63" t="s">
        <v>160</v>
      </c>
      <c r="B63" t="s">
        <v>3</v>
      </c>
      <c r="C63">
        <v>0</v>
      </c>
      <c r="D63">
        <v>227824.74</v>
      </c>
      <c r="E63">
        <v>-4888.2199999999993</v>
      </c>
      <c r="F63">
        <v>222936.52</v>
      </c>
      <c r="G63">
        <v>225086.17</v>
      </c>
      <c r="H63">
        <v>-2149.6499999999996</v>
      </c>
      <c r="I63">
        <v>222936.52</v>
      </c>
      <c r="J63">
        <v>0</v>
      </c>
    </row>
    <row r="64" spans="1:10">
      <c r="A64" t="s">
        <v>926</v>
      </c>
      <c r="B64" t="s">
        <v>36</v>
      </c>
      <c r="C64">
        <v>0</v>
      </c>
      <c r="D64">
        <v>214835.83</v>
      </c>
      <c r="E64">
        <v>-5462.89</v>
      </c>
      <c r="F64">
        <v>209372.93999999997</v>
      </c>
      <c r="G64">
        <v>213229.25</v>
      </c>
      <c r="H64">
        <v>-3856.31</v>
      </c>
      <c r="I64">
        <v>209372.93999999997</v>
      </c>
      <c r="J64">
        <v>0</v>
      </c>
    </row>
    <row r="65" spans="1:10">
      <c r="A65" t="s">
        <v>37</v>
      </c>
      <c r="B65" t="s">
        <v>633</v>
      </c>
      <c r="C65">
        <v>0</v>
      </c>
      <c r="D65">
        <v>263231.43999999994</v>
      </c>
      <c r="E65">
        <v>-19253.239999999998</v>
      </c>
      <c r="F65">
        <v>243978.2</v>
      </c>
      <c r="G65">
        <v>252563.00999999998</v>
      </c>
      <c r="H65">
        <v>-8584.81</v>
      </c>
      <c r="I65">
        <v>243978.2</v>
      </c>
      <c r="J65">
        <v>0</v>
      </c>
    </row>
    <row r="66" spans="1:10">
      <c r="A66" t="s">
        <v>688</v>
      </c>
      <c r="B66" t="s">
        <v>800</v>
      </c>
      <c r="C66">
        <v>0</v>
      </c>
      <c r="D66">
        <v>18293.019999999997</v>
      </c>
      <c r="E66">
        <v>0</v>
      </c>
      <c r="F66">
        <v>18293.019999999997</v>
      </c>
      <c r="G66">
        <v>18293.019999999997</v>
      </c>
      <c r="H66">
        <v>0</v>
      </c>
      <c r="I66">
        <v>18293.019999999997</v>
      </c>
      <c r="J66">
        <v>0</v>
      </c>
    </row>
    <row r="67" spans="1:10">
      <c r="A67" t="s">
        <v>265</v>
      </c>
      <c r="B67" t="s">
        <v>901</v>
      </c>
      <c r="C67">
        <v>0</v>
      </c>
      <c r="D67">
        <v>381962.98</v>
      </c>
      <c r="E67">
        <v>-17328.609999999997</v>
      </c>
      <c r="F67">
        <v>364634.37</v>
      </c>
      <c r="G67">
        <v>376423.62</v>
      </c>
      <c r="H67">
        <v>-11789.25</v>
      </c>
      <c r="I67">
        <v>364634.37</v>
      </c>
      <c r="J67">
        <v>0</v>
      </c>
    </row>
    <row r="68" spans="1:10">
      <c r="A68" t="s">
        <v>276</v>
      </c>
      <c r="B68" t="s">
        <v>690</v>
      </c>
      <c r="C68">
        <v>0</v>
      </c>
      <c r="D68">
        <v>9312.66</v>
      </c>
      <c r="E68">
        <v>-123</v>
      </c>
      <c r="F68">
        <v>9189.66</v>
      </c>
      <c r="G68">
        <v>9189.66</v>
      </c>
      <c r="H68">
        <v>0</v>
      </c>
      <c r="I68">
        <v>9189.66</v>
      </c>
      <c r="J68">
        <v>0</v>
      </c>
    </row>
    <row r="69" spans="1:10">
      <c r="A69" t="s">
        <v>1201</v>
      </c>
      <c r="B69" t="s">
        <v>914</v>
      </c>
      <c r="C69">
        <v>254981</v>
      </c>
      <c r="D69">
        <v>1987463.86</v>
      </c>
      <c r="E69">
        <v>-18456.019999999997</v>
      </c>
      <c r="F69">
        <v>1969007.84</v>
      </c>
      <c r="G69">
        <v>2042704.72</v>
      </c>
      <c r="H69">
        <v>-140085.62999999998</v>
      </c>
      <c r="I69">
        <v>1902619.09</v>
      </c>
      <c r="J69">
        <v>321369.75</v>
      </c>
    </row>
    <row r="70" spans="1:10">
      <c r="A70" t="s">
        <v>562</v>
      </c>
      <c r="B70" t="s">
        <v>66</v>
      </c>
      <c r="C70">
        <v>51576.079999999994</v>
      </c>
      <c r="D70">
        <v>7873966.9199999999</v>
      </c>
      <c r="E70">
        <v>-7543588.2299999995</v>
      </c>
      <c r="F70">
        <v>330378.68999999994</v>
      </c>
      <c r="G70">
        <v>370434.66</v>
      </c>
      <c r="H70">
        <v>-14397.72</v>
      </c>
      <c r="I70">
        <v>356036.93999999994</v>
      </c>
      <c r="J70">
        <v>25917.83</v>
      </c>
    </row>
    <row r="71" spans="1:10">
      <c r="A71" t="s">
        <v>1044</v>
      </c>
      <c r="B71" t="s">
        <v>132</v>
      </c>
      <c r="C71">
        <v>20241.16</v>
      </c>
      <c r="D71">
        <v>405152.28</v>
      </c>
      <c r="E71">
        <v>-6104.15</v>
      </c>
      <c r="F71">
        <v>399048.12999999995</v>
      </c>
      <c r="G71">
        <v>418998.9</v>
      </c>
      <c r="H71">
        <v>-13631.13</v>
      </c>
      <c r="I71">
        <v>405367.76999999996</v>
      </c>
      <c r="J71">
        <v>13921.519999999999</v>
      </c>
    </row>
    <row r="72" spans="1:10">
      <c r="A72" t="s">
        <v>453</v>
      </c>
      <c r="B72" t="s">
        <v>1360</v>
      </c>
      <c r="C72">
        <v>25399.769999999997</v>
      </c>
      <c r="D72">
        <v>275258.15999999997</v>
      </c>
      <c r="E72">
        <v>-4430.95</v>
      </c>
      <c r="F72">
        <v>270827.20999999996</v>
      </c>
      <c r="G72">
        <v>293470.67</v>
      </c>
      <c r="H72">
        <v>-15397.03</v>
      </c>
      <c r="I72">
        <v>278073.63999999996</v>
      </c>
      <c r="J72">
        <v>18153.339999999997</v>
      </c>
    </row>
    <row r="73" spans="1:10">
      <c r="A73" t="s">
        <v>1320</v>
      </c>
      <c r="B73" t="s">
        <v>740</v>
      </c>
      <c r="C73">
        <v>23899.75</v>
      </c>
      <c r="D73">
        <v>347554.73</v>
      </c>
      <c r="E73">
        <v>-10146.33</v>
      </c>
      <c r="F73">
        <v>337408.4</v>
      </c>
      <c r="G73">
        <v>388000.22</v>
      </c>
      <c r="H73">
        <v>-26739.48</v>
      </c>
      <c r="I73">
        <v>361260.74</v>
      </c>
      <c r="J73">
        <v>47.41</v>
      </c>
    </row>
    <row r="74" spans="1:10">
      <c r="A74" t="s">
        <v>511</v>
      </c>
      <c r="B74" t="s">
        <v>1131</v>
      </c>
      <c r="C74">
        <v>46772.35</v>
      </c>
      <c r="D74">
        <v>40635.549999999996</v>
      </c>
      <c r="E74">
        <v>0</v>
      </c>
      <c r="F74">
        <v>40635.549999999996</v>
      </c>
      <c r="G74">
        <v>74055.079999999987</v>
      </c>
      <c r="H74">
        <v>-2554.1099999999997</v>
      </c>
      <c r="I74">
        <v>71500.969999999987</v>
      </c>
      <c r="J74">
        <v>15906.929999999998</v>
      </c>
    </row>
    <row r="75" spans="1:10">
      <c r="A75" t="s">
        <v>1070</v>
      </c>
      <c r="B75" t="s">
        <v>752</v>
      </c>
      <c r="C75">
        <v>36887.07</v>
      </c>
      <c r="D75">
        <v>461883.21</v>
      </c>
      <c r="E75">
        <v>-13447.179999999998</v>
      </c>
      <c r="F75">
        <v>448436.03</v>
      </c>
      <c r="G75">
        <v>475166.05</v>
      </c>
      <c r="H75">
        <v>-21075.279999999999</v>
      </c>
      <c r="I75">
        <v>454090.76999999996</v>
      </c>
      <c r="J75">
        <v>31232.33</v>
      </c>
    </row>
    <row r="76" spans="1:10">
      <c r="A76" t="s">
        <v>1065</v>
      </c>
      <c r="B76" t="s">
        <v>531</v>
      </c>
      <c r="C76">
        <v>-23157.17</v>
      </c>
      <c r="D76">
        <v>340864.32999999996</v>
      </c>
      <c r="E76">
        <v>-10120.969999999999</v>
      </c>
      <c r="F76">
        <v>330743.36</v>
      </c>
      <c r="G76">
        <v>348020.63999999996</v>
      </c>
      <c r="H76">
        <v>-2565.81</v>
      </c>
      <c r="I76">
        <v>345454.82999999996</v>
      </c>
      <c r="J76">
        <v>-37868.639999999999</v>
      </c>
    </row>
    <row r="77" spans="1:10">
      <c r="A77" t="s">
        <v>315</v>
      </c>
      <c r="B77" t="s">
        <v>591</v>
      </c>
      <c r="C77">
        <v>-4076.53</v>
      </c>
      <c r="D77">
        <v>49694.789999999994</v>
      </c>
      <c r="E77">
        <v>-1419.29</v>
      </c>
      <c r="F77">
        <v>48275.5</v>
      </c>
      <c r="G77">
        <v>46640.539999999994</v>
      </c>
      <c r="H77">
        <v>0</v>
      </c>
      <c r="I77">
        <v>46640.539999999994</v>
      </c>
      <c r="J77">
        <v>-2441.5699999999997</v>
      </c>
    </row>
    <row r="78" spans="1:10">
      <c r="A78" t="s">
        <v>1309</v>
      </c>
      <c r="B78" t="s">
        <v>836</v>
      </c>
      <c r="C78">
        <v>-1056.6199999999999</v>
      </c>
      <c r="D78">
        <v>33604.439999999995</v>
      </c>
      <c r="E78">
        <v>-1894.4899999999998</v>
      </c>
      <c r="F78">
        <v>31709.949999999997</v>
      </c>
      <c r="G78">
        <v>31320.949999999997</v>
      </c>
      <c r="H78">
        <v>0</v>
      </c>
      <c r="I78">
        <v>31320.949999999997</v>
      </c>
      <c r="J78">
        <v>-667.61999999999989</v>
      </c>
    </row>
    <row r="79" spans="1:10">
      <c r="A79" t="s">
        <v>525</v>
      </c>
      <c r="B79" t="s">
        <v>970</v>
      </c>
      <c r="C79">
        <v>-1160.6199999999999</v>
      </c>
      <c r="D79">
        <v>54748.73</v>
      </c>
      <c r="E79">
        <v>-5379.75</v>
      </c>
      <c r="F79">
        <v>49368.98</v>
      </c>
      <c r="G79">
        <v>49954.67</v>
      </c>
      <c r="H79">
        <v>0</v>
      </c>
      <c r="I79">
        <v>49954.67</v>
      </c>
      <c r="J79">
        <v>-1746.31</v>
      </c>
    </row>
    <row r="80" spans="1:10">
      <c r="A80" t="s">
        <v>1033</v>
      </c>
      <c r="B80" t="s">
        <v>1038</v>
      </c>
      <c r="C80">
        <v>-1200.7299999999998</v>
      </c>
      <c r="D80">
        <v>43899.64</v>
      </c>
      <c r="E80">
        <v>-1055.6399999999999</v>
      </c>
      <c r="F80">
        <v>42844</v>
      </c>
      <c r="G80">
        <v>41646.429999999993</v>
      </c>
      <c r="H80">
        <v>0</v>
      </c>
      <c r="I80">
        <v>41646.429999999993</v>
      </c>
      <c r="J80">
        <v>-3.1599999999999997</v>
      </c>
    </row>
    <row r="81" spans="1:10">
      <c r="A81" t="s">
        <v>459</v>
      </c>
      <c r="B81" t="s">
        <v>30</v>
      </c>
      <c r="C81">
        <v>-2875.3599999999997</v>
      </c>
      <c r="D81">
        <v>6801.02</v>
      </c>
      <c r="E81">
        <v>-258.11999999999995</v>
      </c>
      <c r="F81">
        <v>6542.9</v>
      </c>
      <c r="G81">
        <v>3346.7299999999996</v>
      </c>
      <c r="H81">
        <v>0</v>
      </c>
      <c r="I81">
        <v>3346.7299999999996</v>
      </c>
      <c r="J81">
        <v>320.80999999999995</v>
      </c>
    </row>
    <row r="82" spans="1:10">
      <c r="A82" t="s">
        <v>1183</v>
      </c>
      <c r="B82" t="s">
        <v>683</v>
      </c>
      <c r="C82">
        <v>-3088.3799999999997</v>
      </c>
      <c r="D82">
        <v>70843.28</v>
      </c>
      <c r="E82">
        <v>-990.32</v>
      </c>
      <c r="F82">
        <v>69852.959999999992</v>
      </c>
      <c r="G82">
        <v>69821.84</v>
      </c>
      <c r="H82">
        <v>0</v>
      </c>
      <c r="I82">
        <v>69821.84</v>
      </c>
      <c r="J82">
        <v>-3057.26</v>
      </c>
    </row>
    <row r="83" spans="1:10">
      <c r="A83" t="s">
        <v>573</v>
      </c>
      <c r="B83" t="s">
        <v>152</v>
      </c>
      <c r="C83">
        <v>1207.9499999999998</v>
      </c>
      <c r="D83">
        <v>0</v>
      </c>
      <c r="E83">
        <v>0</v>
      </c>
      <c r="F83">
        <v>0</v>
      </c>
      <c r="G83">
        <v>1207.9499999999998</v>
      </c>
      <c r="H83">
        <v>0</v>
      </c>
      <c r="I83">
        <v>1207.9499999999998</v>
      </c>
      <c r="J83">
        <v>0</v>
      </c>
    </row>
    <row r="84" spans="1:10">
      <c r="A84" t="s">
        <v>1022</v>
      </c>
      <c r="B84" t="s">
        <v>218</v>
      </c>
      <c r="C84">
        <v>449573.18</v>
      </c>
      <c r="D84">
        <v>858170.6399999999</v>
      </c>
      <c r="E84">
        <v>-181806.31</v>
      </c>
      <c r="F84">
        <v>676364.33</v>
      </c>
      <c r="G84">
        <v>927269.00999999989</v>
      </c>
      <c r="H84">
        <v>-7748.37</v>
      </c>
      <c r="I84">
        <v>919520.6399999999</v>
      </c>
      <c r="J84">
        <v>206416.87</v>
      </c>
    </row>
    <row r="85" spans="1:10">
      <c r="A85" t="s">
        <v>389</v>
      </c>
      <c r="B85" t="s">
        <v>506</v>
      </c>
      <c r="C85">
        <v>370.02</v>
      </c>
      <c r="D85">
        <v>229249.09999999998</v>
      </c>
      <c r="E85">
        <v>-9100.869999999999</v>
      </c>
      <c r="F85">
        <v>220148.23</v>
      </c>
      <c r="G85">
        <v>220463.55</v>
      </c>
      <c r="H85">
        <v>0</v>
      </c>
      <c r="I85">
        <v>220463.55</v>
      </c>
      <c r="J85">
        <v>54.7</v>
      </c>
    </row>
    <row r="86" spans="1:10">
      <c r="A86" t="s">
        <v>1220</v>
      </c>
      <c r="B86" t="s">
        <v>1132</v>
      </c>
      <c r="C86">
        <v>1015.26</v>
      </c>
      <c r="D86">
        <v>286608.09999999998</v>
      </c>
      <c r="E86">
        <v>-12662.859999999999</v>
      </c>
      <c r="F86">
        <v>273945.24</v>
      </c>
      <c r="G86">
        <v>274761.84999999998</v>
      </c>
      <c r="H86">
        <v>0</v>
      </c>
      <c r="I86">
        <v>274761.84999999998</v>
      </c>
      <c r="J86">
        <v>198.64999999999998</v>
      </c>
    </row>
    <row r="87" spans="1:10">
      <c r="A87" t="s">
        <v>628</v>
      </c>
      <c r="B87" t="s">
        <v>1012</v>
      </c>
      <c r="C87">
        <v>266.20999999999998</v>
      </c>
      <c r="D87">
        <v>142121.40999999997</v>
      </c>
      <c r="E87">
        <v>-11271.849999999999</v>
      </c>
      <c r="F87">
        <v>130849.56</v>
      </c>
      <c r="G87">
        <v>130931.01999999999</v>
      </c>
      <c r="H87">
        <v>-17.34</v>
      </c>
      <c r="I87">
        <v>130913.68</v>
      </c>
      <c r="J87">
        <v>202.08999999999997</v>
      </c>
    </row>
    <row r="88" spans="1:10">
      <c r="A88" t="s">
        <v>1139</v>
      </c>
      <c r="B88" t="s">
        <v>447</v>
      </c>
      <c r="C88">
        <v>3680.5</v>
      </c>
      <c r="D88">
        <v>195224.50999999998</v>
      </c>
      <c r="E88">
        <v>-3709.6899999999996</v>
      </c>
      <c r="F88">
        <v>191514.81999999998</v>
      </c>
      <c r="G88">
        <v>195195.31999999998</v>
      </c>
      <c r="H88">
        <v>0</v>
      </c>
      <c r="I88">
        <v>195195.31999999998</v>
      </c>
      <c r="J88">
        <v>0</v>
      </c>
    </row>
    <row r="89" spans="1:10">
      <c r="A89" t="s">
        <v>338</v>
      </c>
      <c r="B89" t="s">
        <v>123</v>
      </c>
      <c r="C89">
        <v>302.86999999999995</v>
      </c>
      <c r="D89">
        <v>30230.219999999998</v>
      </c>
      <c r="E89">
        <v>0</v>
      </c>
      <c r="F89">
        <v>30230.219999999998</v>
      </c>
      <c r="G89">
        <v>30533.089999999997</v>
      </c>
      <c r="H89">
        <v>0</v>
      </c>
      <c r="I89">
        <v>30533.089999999997</v>
      </c>
      <c r="J89">
        <v>0</v>
      </c>
    </row>
    <row r="90" spans="1:10">
      <c r="A90" t="s">
        <v>1258</v>
      </c>
      <c r="B90" t="s">
        <v>1239</v>
      </c>
      <c r="C90">
        <v>823.7299999999999</v>
      </c>
      <c r="D90">
        <v>100537.17</v>
      </c>
      <c r="E90">
        <v>-930.21999999999991</v>
      </c>
      <c r="F90">
        <v>99606.95</v>
      </c>
      <c r="G90">
        <v>100310.85</v>
      </c>
      <c r="H90">
        <v>0</v>
      </c>
      <c r="I90">
        <v>100310.85</v>
      </c>
      <c r="J90">
        <v>119.83</v>
      </c>
    </row>
    <row r="91" spans="1:10">
      <c r="A91" t="s">
        <v>1245</v>
      </c>
      <c r="B91" t="s">
        <v>408</v>
      </c>
      <c r="C91">
        <v>3119.07</v>
      </c>
      <c r="D91">
        <v>663480.6</v>
      </c>
      <c r="E91">
        <v>-27416.23</v>
      </c>
      <c r="F91">
        <v>636064.37</v>
      </c>
      <c r="G91">
        <v>639183.43999999994</v>
      </c>
      <c r="H91">
        <v>0</v>
      </c>
      <c r="I91">
        <v>639183.43999999994</v>
      </c>
      <c r="J91">
        <v>0</v>
      </c>
    </row>
    <row r="92" spans="1:10">
      <c r="A92" t="s">
        <v>501</v>
      </c>
      <c r="B92" t="s">
        <v>741</v>
      </c>
      <c r="C92">
        <v>0</v>
      </c>
      <c r="D92">
        <v>7841.25</v>
      </c>
      <c r="E92">
        <v>0</v>
      </c>
      <c r="F92">
        <v>7841.25</v>
      </c>
      <c r="G92">
        <v>7841.25</v>
      </c>
      <c r="H92">
        <v>0</v>
      </c>
      <c r="I92">
        <v>7841.25</v>
      </c>
      <c r="J92">
        <v>0</v>
      </c>
    </row>
    <row r="93" spans="1:10">
      <c r="A93" t="s">
        <v>283</v>
      </c>
      <c r="B93" t="s">
        <v>1251</v>
      </c>
      <c r="C93">
        <v>0</v>
      </c>
      <c r="D93">
        <v>36632.159999999996</v>
      </c>
      <c r="E93">
        <v>-330.60999999999996</v>
      </c>
      <c r="F93">
        <v>36301.549999999996</v>
      </c>
      <c r="G93">
        <v>36301.549999999996</v>
      </c>
      <c r="H93">
        <v>0</v>
      </c>
      <c r="I93">
        <v>36301.549999999996</v>
      </c>
      <c r="J93">
        <v>0</v>
      </c>
    </row>
    <row r="94" spans="1:10">
      <c r="A94" t="s">
        <v>677</v>
      </c>
      <c r="B94" t="s">
        <v>180</v>
      </c>
      <c r="C94">
        <v>0</v>
      </c>
      <c r="D94">
        <v>37942.1</v>
      </c>
      <c r="E94">
        <v>-479.86999999999995</v>
      </c>
      <c r="F94">
        <v>37462.229999999996</v>
      </c>
      <c r="G94">
        <v>37462.229999999996</v>
      </c>
      <c r="H94">
        <v>0</v>
      </c>
      <c r="I94">
        <v>37462.229999999996</v>
      </c>
      <c r="J94">
        <v>0</v>
      </c>
    </row>
    <row r="95" spans="1:10">
      <c r="A95" t="s">
        <v>55</v>
      </c>
      <c r="B95" t="s">
        <v>1057</v>
      </c>
      <c r="C95">
        <v>0</v>
      </c>
      <c r="D95">
        <v>14370.08</v>
      </c>
      <c r="E95">
        <v>-495.95</v>
      </c>
      <c r="F95">
        <v>13874.13</v>
      </c>
      <c r="G95">
        <v>13874.13</v>
      </c>
      <c r="H95">
        <v>0</v>
      </c>
      <c r="I95">
        <v>13874.13</v>
      </c>
      <c r="J95">
        <v>0</v>
      </c>
    </row>
    <row r="96" spans="1:10">
      <c r="A96" t="s">
        <v>908</v>
      </c>
      <c r="B96" t="s">
        <v>847</v>
      </c>
      <c r="C96">
        <v>0</v>
      </c>
      <c r="D96">
        <v>12642.009999999998</v>
      </c>
      <c r="E96">
        <v>-28.889999999999997</v>
      </c>
      <c r="F96">
        <v>12613.12</v>
      </c>
      <c r="G96">
        <v>12613.12</v>
      </c>
      <c r="H96">
        <v>0</v>
      </c>
      <c r="I96">
        <v>12613.12</v>
      </c>
      <c r="J96">
        <v>0</v>
      </c>
    </row>
    <row r="97" spans="1:10">
      <c r="A97" t="s">
        <v>170</v>
      </c>
      <c r="B97" t="s">
        <v>718</v>
      </c>
      <c r="C97">
        <v>0</v>
      </c>
      <c r="D97">
        <v>6956.9299999999994</v>
      </c>
      <c r="E97">
        <v>-37.309999999999995</v>
      </c>
      <c r="F97">
        <v>6919.62</v>
      </c>
      <c r="G97">
        <v>6919.62</v>
      </c>
      <c r="H97">
        <v>0</v>
      </c>
      <c r="I97">
        <v>6919.62</v>
      </c>
      <c r="J97">
        <v>0</v>
      </c>
    </row>
    <row r="98" spans="1:10">
      <c r="A98" t="s">
        <v>791</v>
      </c>
      <c r="B98" t="s">
        <v>526</v>
      </c>
      <c r="C98">
        <v>0</v>
      </c>
      <c r="D98">
        <v>17665.82</v>
      </c>
      <c r="E98">
        <v>-485.32</v>
      </c>
      <c r="F98">
        <v>17180.5</v>
      </c>
      <c r="G98">
        <v>17180.5</v>
      </c>
      <c r="H98">
        <v>0</v>
      </c>
      <c r="I98">
        <v>17180.5</v>
      </c>
      <c r="J98">
        <v>0</v>
      </c>
    </row>
    <row r="99" spans="1:10">
      <c r="A99" t="s">
        <v>971</v>
      </c>
      <c r="B99" t="s">
        <v>128</v>
      </c>
      <c r="C99">
        <v>0</v>
      </c>
      <c r="D99">
        <v>249683.62999999998</v>
      </c>
      <c r="E99">
        <v>-11017.57</v>
      </c>
      <c r="F99">
        <v>238666.06</v>
      </c>
      <c r="G99">
        <v>240466.06</v>
      </c>
      <c r="H99">
        <v>-1800</v>
      </c>
      <c r="I99">
        <v>238666.06</v>
      </c>
      <c r="J99">
        <v>0</v>
      </c>
    </row>
    <row r="100" spans="1:10">
      <c r="A100" t="s">
        <v>1361</v>
      </c>
      <c r="B100" t="s">
        <v>1125</v>
      </c>
      <c r="C100">
        <v>0</v>
      </c>
      <c r="D100">
        <v>0.92</v>
      </c>
      <c r="E100">
        <v>-0.92</v>
      </c>
      <c r="F100">
        <v>0</v>
      </c>
      <c r="G100">
        <v>0</v>
      </c>
      <c r="H100">
        <v>0</v>
      </c>
      <c r="I100">
        <v>0</v>
      </c>
      <c r="J100">
        <v>0</v>
      </c>
    </row>
    <row r="101" spans="1:10">
      <c r="A101" t="s">
        <v>362</v>
      </c>
      <c r="B101" t="s">
        <v>270</v>
      </c>
      <c r="C101">
        <v>728.8</v>
      </c>
      <c r="D101">
        <v>18104.969999999998</v>
      </c>
      <c r="E101">
        <v>0</v>
      </c>
      <c r="F101">
        <v>18104.969999999998</v>
      </c>
      <c r="G101">
        <v>18744.449999999997</v>
      </c>
      <c r="H101">
        <v>0</v>
      </c>
      <c r="I101">
        <v>18744.449999999997</v>
      </c>
      <c r="J101">
        <v>89.32</v>
      </c>
    </row>
    <row r="102" spans="1:10">
      <c r="A102" t="s">
        <v>80</v>
      </c>
      <c r="B102" t="s">
        <v>1362</v>
      </c>
      <c r="C102">
        <v>-306823.40999999997</v>
      </c>
      <c r="D102">
        <v>2677009.96</v>
      </c>
      <c r="E102">
        <v>-755.68</v>
      </c>
      <c r="F102">
        <v>2676254.2799999998</v>
      </c>
      <c r="G102">
        <v>2656433.84</v>
      </c>
      <c r="H102">
        <v>0</v>
      </c>
      <c r="I102">
        <v>2656433.84</v>
      </c>
      <c r="J102">
        <v>-287002.96999999997</v>
      </c>
    </row>
    <row r="103" spans="1:10">
      <c r="A103" t="s">
        <v>661</v>
      </c>
      <c r="B103" t="s">
        <v>848</v>
      </c>
      <c r="C103">
        <v>6.05</v>
      </c>
      <c r="D103">
        <v>653229.36</v>
      </c>
      <c r="E103">
        <v>0</v>
      </c>
      <c r="F103">
        <v>653229.36</v>
      </c>
      <c r="G103">
        <v>653273.99</v>
      </c>
      <c r="H103">
        <v>0</v>
      </c>
      <c r="I103">
        <v>653273.99</v>
      </c>
      <c r="J103">
        <v>-38.58</v>
      </c>
    </row>
    <row r="104" spans="1:10">
      <c r="A104" t="s">
        <v>260</v>
      </c>
      <c r="B104" t="s">
        <v>390</v>
      </c>
      <c r="C104">
        <v>14297.12</v>
      </c>
      <c r="D104">
        <v>511547.98</v>
      </c>
      <c r="E104">
        <v>0</v>
      </c>
      <c r="F104">
        <v>511547.98</v>
      </c>
      <c r="G104">
        <v>525740.23</v>
      </c>
      <c r="H104">
        <v>0</v>
      </c>
      <c r="I104">
        <v>525740.23</v>
      </c>
      <c r="J104">
        <v>104.86999999999999</v>
      </c>
    </row>
    <row r="105" spans="1:10">
      <c r="A105" t="s">
        <v>897</v>
      </c>
      <c r="B105" t="s">
        <v>1288</v>
      </c>
      <c r="C105">
        <v>299.72999999999996</v>
      </c>
      <c r="D105">
        <v>214320.11</v>
      </c>
      <c r="E105">
        <v>0</v>
      </c>
      <c r="F105">
        <v>214320.11</v>
      </c>
      <c r="G105">
        <v>214629.08</v>
      </c>
      <c r="H105">
        <v>0</v>
      </c>
      <c r="I105">
        <v>214629.08</v>
      </c>
      <c r="J105">
        <v>-9.2399999999999984</v>
      </c>
    </row>
    <row r="106" spans="1:10">
      <c r="A106" t="s">
        <v>26</v>
      </c>
      <c r="B106" t="s">
        <v>233</v>
      </c>
      <c r="C106">
        <v>-406071.01999999996</v>
      </c>
      <c r="D106">
        <v>708103.96</v>
      </c>
      <c r="E106">
        <v>-1378.7199999999998</v>
      </c>
      <c r="F106">
        <v>706725.24</v>
      </c>
      <c r="G106">
        <v>300667.57999999996</v>
      </c>
      <c r="H106">
        <v>-0.95</v>
      </c>
      <c r="I106">
        <v>300666.62999999995</v>
      </c>
      <c r="J106">
        <v>-12.409999999999998</v>
      </c>
    </row>
    <row r="107" spans="1:10">
      <c r="A107" t="s">
        <v>1095</v>
      </c>
      <c r="B107" t="s">
        <v>771</v>
      </c>
      <c r="C107">
        <v>-197529.18999999997</v>
      </c>
      <c r="D107">
        <v>1480869.88</v>
      </c>
      <c r="E107">
        <v>0</v>
      </c>
      <c r="F107">
        <v>1480869.88</v>
      </c>
      <c r="G107">
        <v>1282976.0899999999</v>
      </c>
      <c r="H107">
        <v>0</v>
      </c>
      <c r="I107">
        <v>1282976.0899999999</v>
      </c>
      <c r="J107">
        <v>364.6</v>
      </c>
    </row>
    <row r="108" spans="1:10">
      <c r="A108" t="s">
        <v>290</v>
      </c>
      <c r="B108" t="s">
        <v>1148</v>
      </c>
      <c r="C108">
        <v>0</v>
      </c>
      <c r="D108">
        <v>213274</v>
      </c>
      <c r="E108">
        <v>0</v>
      </c>
      <c r="F108">
        <v>213274</v>
      </c>
      <c r="G108">
        <v>213274</v>
      </c>
      <c r="H108">
        <v>0</v>
      </c>
      <c r="I108">
        <v>213274</v>
      </c>
      <c r="J108">
        <v>0</v>
      </c>
    </row>
    <row r="109" spans="1:10">
      <c r="A109" t="s">
        <v>1305</v>
      </c>
      <c r="B109" t="s">
        <v>313</v>
      </c>
      <c r="C109">
        <v>-600</v>
      </c>
      <c r="D109">
        <v>271403.57999999996</v>
      </c>
      <c r="E109">
        <v>0</v>
      </c>
      <c r="F109">
        <v>271403.57999999996</v>
      </c>
      <c r="G109">
        <v>270803.57999999996</v>
      </c>
      <c r="H109">
        <v>0</v>
      </c>
      <c r="I109">
        <v>270803.57999999996</v>
      </c>
      <c r="J109">
        <v>0</v>
      </c>
    </row>
    <row r="110" spans="1:10">
      <c r="A110" t="s">
        <v>536</v>
      </c>
      <c r="B110" t="s">
        <v>455</v>
      </c>
      <c r="C110">
        <v>0</v>
      </c>
      <c r="D110">
        <v>121815</v>
      </c>
      <c r="E110">
        <v>0</v>
      </c>
      <c r="F110">
        <v>121815</v>
      </c>
      <c r="G110">
        <v>121815</v>
      </c>
      <c r="H110">
        <v>0</v>
      </c>
      <c r="I110">
        <v>121815</v>
      </c>
      <c r="J110">
        <v>0</v>
      </c>
    </row>
    <row r="111" spans="1:10">
      <c r="A111" t="s">
        <v>1058</v>
      </c>
      <c r="B111" t="s">
        <v>546</v>
      </c>
      <c r="C111">
        <v>-3200</v>
      </c>
      <c r="D111">
        <v>185692.98</v>
      </c>
      <c r="E111">
        <v>0</v>
      </c>
      <c r="F111">
        <v>185692.98</v>
      </c>
      <c r="G111">
        <v>182492.98</v>
      </c>
      <c r="H111">
        <v>0</v>
      </c>
      <c r="I111">
        <v>182492.98</v>
      </c>
      <c r="J111">
        <v>0</v>
      </c>
    </row>
    <row r="112" spans="1:10">
      <c r="A112" t="s">
        <v>433</v>
      </c>
      <c r="B112" t="s">
        <v>59</v>
      </c>
      <c r="C112">
        <v>0</v>
      </c>
      <c r="D112">
        <v>28939.679999999997</v>
      </c>
      <c r="E112">
        <v>0</v>
      </c>
      <c r="F112">
        <v>28939.679999999997</v>
      </c>
      <c r="G112">
        <v>28939.679999999997</v>
      </c>
      <c r="H112">
        <v>0</v>
      </c>
      <c r="I112">
        <v>28939.679999999997</v>
      </c>
      <c r="J112">
        <v>0</v>
      </c>
    </row>
    <row r="113" spans="1:10">
      <c r="A113" t="s">
        <v>1164</v>
      </c>
      <c r="B113" t="s">
        <v>972</v>
      </c>
      <c r="C113">
        <v>0</v>
      </c>
      <c r="D113">
        <v>91390.579999999987</v>
      </c>
      <c r="E113">
        <v>0</v>
      </c>
      <c r="F113">
        <v>91390.579999999987</v>
      </c>
      <c r="G113">
        <v>91390.579999999987</v>
      </c>
      <c r="H113">
        <v>0</v>
      </c>
      <c r="I113">
        <v>91390.579999999987</v>
      </c>
      <c r="J113">
        <v>0</v>
      </c>
    </row>
    <row r="114" spans="1:10">
      <c r="A114" t="s">
        <v>1155</v>
      </c>
      <c r="B114" t="s">
        <v>636</v>
      </c>
      <c r="C114">
        <v>0</v>
      </c>
      <c r="D114">
        <v>604368.39999999991</v>
      </c>
      <c r="E114">
        <v>0</v>
      </c>
      <c r="F114">
        <v>604368.39999999991</v>
      </c>
      <c r="G114">
        <v>604368.39999999991</v>
      </c>
      <c r="H114">
        <v>0</v>
      </c>
      <c r="I114">
        <v>604368.39999999991</v>
      </c>
      <c r="J114">
        <v>0</v>
      </c>
    </row>
    <row r="115" spans="1:10">
      <c r="A115" t="s">
        <v>585</v>
      </c>
      <c r="B115" t="s">
        <v>1023</v>
      </c>
      <c r="C115">
        <v>0</v>
      </c>
      <c r="D115">
        <v>7697.85</v>
      </c>
      <c r="E115">
        <v>0</v>
      </c>
      <c r="F115">
        <v>7697.85</v>
      </c>
      <c r="G115">
        <v>7697.85</v>
      </c>
      <c r="H115">
        <v>0</v>
      </c>
      <c r="I115">
        <v>7697.85</v>
      </c>
      <c r="J115">
        <v>0</v>
      </c>
    </row>
    <row r="116" spans="1:10">
      <c r="A116" t="s">
        <v>211</v>
      </c>
      <c r="B116" t="s">
        <v>306</v>
      </c>
      <c r="C116">
        <v>0</v>
      </c>
      <c r="D116">
        <v>30025.449999999997</v>
      </c>
      <c r="E116">
        <v>0</v>
      </c>
      <c r="F116">
        <v>30025.449999999997</v>
      </c>
      <c r="G116">
        <v>30025.449999999997</v>
      </c>
      <c r="H116">
        <v>0</v>
      </c>
      <c r="I116">
        <v>30025.449999999997</v>
      </c>
      <c r="J116">
        <v>0</v>
      </c>
    </row>
    <row r="117" spans="1:10">
      <c r="A117" t="s">
        <v>763</v>
      </c>
      <c r="B117" t="s">
        <v>792</v>
      </c>
      <c r="C117">
        <v>0</v>
      </c>
      <c r="D117">
        <v>37012.239999999998</v>
      </c>
      <c r="E117">
        <v>0</v>
      </c>
      <c r="F117">
        <v>37012.239999999998</v>
      </c>
      <c r="G117">
        <v>37012.239999999998</v>
      </c>
      <c r="H117">
        <v>0</v>
      </c>
      <c r="I117">
        <v>37012.239999999998</v>
      </c>
      <c r="J117">
        <v>0</v>
      </c>
    </row>
    <row r="118" spans="1:10">
      <c r="A118" t="s">
        <v>1342</v>
      </c>
      <c r="B118" t="s">
        <v>611</v>
      </c>
      <c r="C118">
        <v>0</v>
      </c>
      <c r="D118">
        <v>13083.32</v>
      </c>
      <c r="E118">
        <v>0</v>
      </c>
      <c r="F118">
        <v>13083.32</v>
      </c>
      <c r="G118">
        <v>13083.32</v>
      </c>
      <c r="H118">
        <v>0</v>
      </c>
      <c r="I118">
        <v>13083.32</v>
      </c>
      <c r="J118">
        <v>0</v>
      </c>
    </row>
    <row r="119" spans="1:10">
      <c r="A119" t="s">
        <v>810</v>
      </c>
      <c r="B119" t="s">
        <v>113</v>
      </c>
      <c r="C119">
        <v>0</v>
      </c>
      <c r="D119">
        <v>11346.28</v>
      </c>
      <c r="E119">
        <v>0</v>
      </c>
      <c r="F119">
        <v>11346.28</v>
      </c>
      <c r="G119">
        <v>11346.28</v>
      </c>
      <c r="H119">
        <v>0</v>
      </c>
      <c r="I119">
        <v>11346.28</v>
      </c>
      <c r="J119">
        <v>0</v>
      </c>
    </row>
    <row r="120" spans="1:10">
      <c r="A120" t="s">
        <v>241</v>
      </c>
      <c r="B120" t="s">
        <v>249</v>
      </c>
      <c r="C120">
        <v>0</v>
      </c>
      <c r="D120">
        <v>6847.82</v>
      </c>
      <c r="E120">
        <v>0</v>
      </c>
      <c r="F120">
        <v>6847.82</v>
      </c>
      <c r="G120">
        <v>6847.82</v>
      </c>
      <c r="H120">
        <v>0</v>
      </c>
      <c r="I120">
        <v>6847.82</v>
      </c>
      <c r="J120">
        <v>0</v>
      </c>
    </row>
    <row r="121" spans="1:10">
      <c r="A121" t="s">
        <v>719</v>
      </c>
      <c r="B121" t="s">
        <v>1140</v>
      </c>
      <c r="C121">
        <v>0</v>
      </c>
      <c r="D121">
        <v>17180.5</v>
      </c>
      <c r="E121">
        <v>0</v>
      </c>
      <c r="F121">
        <v>17180.5</v>
      </c>
      <c r="G121">
        <v>17180.5</v>
      </c>
      <c r="H121">
        <v>0</v>
      </c>
      <c r="I121">
        <v>17180.5</v>
      </c>
      <c r="J121">
        <v>0</v>
      </c>
    </row>
    <row r="122" spans="1:10">
      <c r="A122" t="s">
        <v>898</v>
      </c>
      <c r="B122" t="s">
        <v>277</v>
      </c>
      <c r="C122">
        <v>0</v>
      </c>
      <c r="D122">
        <v>199258.83</v>
      </c>
      <c r="E122">
        <v>-1800</v>
      </c>
      <c r="F122">
        <v>197458.83</v>
      </c>
      <c r="G122">
        <v>199258.83</v>
      </c>
      <c r="H122">
        <v>-1800</v>
      </c>
      <c r="I122">
        <v>197458.83</v>
      </c>
      <c r="J122">
        <v>0</v>
      </c>
    </row>
    <row r="123" spans="1:10">
      <c r="A123" t="s">
        <v>481</v>
      </c>
      <c r="B123" t="s">
        <v>418</v>
      </c>
      <c r="C123">
        <v>98943.9</v>
      </c>
      <c r="D123">
        <v>3960374.46</v>
      </c>
      <c r="E123">
        <v>-323968.89999999997</v>
      </c>
      <c r="F123">
        <v>3636405.5599999996</v>
      </c>
      <c r="G123">
        <v>3700570.84</v>
      </c>
      <c r="H123">
        <v>-76306.149999999994</v>
      </c>
      <c r="I123">
        <v>3624264.69</v>
      </c>
      <c r="J123">
        <v>111084.76999999999</v>
      </c>
    </row>
    <row r="124" spans="1:10">
      <c r="A124" t="s">
        <v>383</v>
      </c>
      <c r="B124" t="s">
        <v>758</v>
      </c>
      <c r="C124">
        <v>-239.29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-239.29</v>
      </c>
    </row>
    <row r="125" spans="1:10">
      <c r="A125" t="s">
        <v>945</v>
      </c>
      <c r="B125" t="s">
        <v>956</v>
      </c>
      <c r="C125">
        <v>-1160.57</v>
      </c>
      <c r="D125">
        <v>6477.9699999999993</v>
      </c>
      <c r="E125">
        <v>0</v>
      </c>
      <c r="F125">
        <v>6477.9699999999993</v>
      </c>
      <c r="G125">
        <v>5155.1099999999997</v>
      </c>
      <c r="H125">
        <v>0</v>
      </c>
      <c r="I125">
        <v>5155.1099999999997</v>
      </c>
      <c r="J125">
        <v>162.29</v>
      </c>
    </row>
    <row r="126" spans="1:10">
      <c r="A126" t="s">
        <v>237</v>
      </c>
      <c r="B126" t="s">
        <v>157</v>
      </c>
      <c r="C126">
        <v>269300</v>
      </c>
      <c r="D126">
        <v>79501.459999999992</v>
      </c>
      <c r="E126">
        <v>-3973.1699999999996</v>
      </c>
      <c r="F126">
        <v>75528.289999999994</v>
      </c>
      <c r="G126">
        <v>55528.289999999994</v>
      </c>
      <c r="H126">
        <v>0</v>
      </c>
      <c r="I126">
        <v>55528.289999999994</v>
      </c>
      <c r="J126">
        <v>289300</v>
      </c>
    </row>
    <row r="127" spans="1:10">
      <c r="A127" t="s">
        <v>921</v>
      </c>
      <c r="B127" t="s">
        <v>678</v>
      </c>
      <c r="C127">
        <v>-768029.86</v>
      </c>
      <c r="D127">
        <v>3526591.48</v>
      </c>
      <c r="E127">
        <v>-76559.89</v>
      </c>
      <c r="F127">
        <v>3450031.59</v>
      </c>
      <c r="G127">
        <v>3533323.22</v>
      </c>
      <c r="H127">
        <v>-175210.53</v>
      </c>
      <c r="I127">
        <v>3358112.69</v>
      </c>
      <c r="J127">
        <v>-676110.96</v>
      </c>
    </row>
    <row r="128" spans="1:10">
      <c r="A128" t="s">
        <v>679</v>
      </c>
      <c r="B128" t="s">
        <v>825</v>
      </c>
      <c r="C128">
        <v>0</v>
      </c>
      <c r="D128">
        <v>34594.81</v>
      </c>
      <c r="E128">
        <v>-16</v>
      </c>
      <c r="F128">
        <v>34578.81</v>
      </c>
      <c r="G128">
        <v>51401.609999999993</v>
      </c>
      <c r="H128">
        <v>-16</v>
      </c>
      <c r="I128">
        <v>51385.609999999993</v>
      </c>
      <c r="J128">
        <v>-16806.8</v>
      </c>
    </row>
    <row r="129" spans="1:10">
      <c r="A129" t="s">
        <v>252</v>
      </c>
      <c r="B129" t="s">
        <v>78</v>
      </c>
      <c r="C129">
        <v>-1500</v>
      </c>
      <c r="D129">
        <v>1500</v>
      </c>
      <c r="E129">
        <v>0</v>
      </c>
      <c r="F129">
        <v>1500</v>
      </c>
      <c r="G129">
        <v>0</v>
      </c>
      <c r="H129">
        <v>0</v>
      </c>
      <c r="I129">
        <v>0</v>
      </c>
      <c r="J129">
        <v>0</v>
      </c>
    </row>
    <row r="130" spans="1:10">
      <c r="A130" t="s">
        <v>655</v>
      </c>
      <c r="B130" t="s">
        <v>181</v>
      </c>
      <c r="C130">
        <v>-187342.07999999999</v>
      </c>
      <c r="D130">
        <v>2683349.09</v>
      </c>
      <c r="E130">
        <v>0</v>
      </c>
      <c r="F130">
        <v>2683349.09</v>
      </c>
      <c r="G130">
        <v>2898521.68</v>
      </c>
      <c r="H130">
        <v>-240733.64</v>
      </c>
      <c r="I130">
        <v>2657788.0399999996</v>
      </c>
      <c r="J130">
        <v>-161781.03</v>
      </c>
    </row>
    <row r="131" spans="1:10">
      <c r="A131" t="s">
        <v>71</v>
      </c>
      <c r="B131" t="s">
        <v>1246</v>
      </c>
      <c r="C131">
        <v>-55215.31</v>
      </c>
      <c r="D131">
        <v>485220.66</v>
      </c>
      <c r="E131">
        <v>-51144.05</v>
      </c>
      <c r="F131">
        <v>434076.61</v>
      </c>
      <c r="G131">
        <v>447031.35</v>
      </c>
      <c r="H131">
        <v>-17173.48</v>
      </c>
      <c r="I131">
        <v>429857.87</v>
      </c>
      <c r="J131">
        <v>-50996.57</v>
      </c>
    </row>
    <row r="132" spans="1:10">
      <c r="A132" t="s">
        <v>19</v>
      </c>
      <c r="B132" t="s">
        <v>266</v>
      </c>
      <c r="C132">
        <v>0</v>
      </c>
      <c r="D132">
        <v>0</v>
      </c>
      <c r="E132">
        <v>0</v>
      </c>
      <c r="F132">
        <v>0</v>
      </c>
      <c r="G132">
        <v>90</v>
      </c>
      <c r="H132">
        <v>0</v>
      </c>
      <c r="I132">
        <v>90</v>
      </c>
      <c r="J132">
        <v>-90</v>
      </c>
    </row>
    <row r="133" spans="1:10">
      <c r="A133" t="s">
        <v>1337</v>
      </c>
      <c r="B133" t="s">
        <v>592</v>
      </c>
      <c r="C133">
        <v>-19654.829999999998</v>
      </c>
      <c r="D133">
        <v>253553.48</v>
      </c>
      <c r="E133">
        <v>-1226.1599999999999</v>
      </c>
      <c r="F133">
        <v>252327.31999999998</v>
      </c>
      <c r="G133">
        <v>247635.75999999998</v>
      </c>
      <c r="H133">
        <v>0</v>
      </c>
      <c r="I133">
        <v>247635.75999999998</v>
      </c>
      <c r="J133">
        <v>-14963.269999999999</v>
      </c>
    </row>
    <row r="134" spans="1:10">
      <c r="A134" t="s">
        <v>957</v>
      </c>
      <c r="B134" t="s">
        <v>1062</v>
      </c>
      <c r="C134">
        <v>-21512.719999999998</v>
      </c>
      <c r="D134">
        <v>108927.01999999999</v>
      </c>
      <c r="E134">
        <v>0</v>
      </c>
      <c r="F134">
        <v>108927.01999999999</v>
      </c>
      <c r="G134">
        <v>109345.4</v>
      </c>
      <c r="H134">
        <v>0</v>
      </c>
      <c r="I134">
        <v>109345.4</v>
      </c>
      <c r="J134">
        <v>-21931.1</v>
      </c>
    </row>
    <row r="135" spans="1:10">
      <c r="A135" t="s">
        <v>1310</v>
      </c>
      <c r="B135" t="s">
        <v>234</v>
      </c>
      <c r="C135">
        <v>-1858.5</v>
      </c>
      <c r="D135">
        <v>14883.99</v>
      </c>
      <c r="E135">
        <v>0</v>
      </c>
      <c r="F135">
        <v>14883.99</v>
      </c>
      <c r="G135">
        <v>17783.539999999997</v>
      </c>
      <c r="H135">
        <v>-1226.1599999999999</v>
      </c>
      <c r="I135">
        <v>16557.379999999997</v>
      </c>
      <c r="J135">
        <v>-3531.89</v>
      </c>
    </row>
    <row r="136" spans="1:10">
      <c r="A136" t="s">
        <v>938</v>
      </c>
      <c r="B136" t="s">
        <v>368</v>
      </c>
      <c r="C136">
        <v>104218.7</v>
      </c>
      <c r="D136">
        <v>188799.78</v>
      </c>
      <c r="E136">
        <v>0</v>
      </c>
      <c r="F136">
        <v>188799.78</v>
      </c>
      <c r="G136">
        <v>209885.7</v>
      </c>
      <c r="H136">
        <v>0</v>
      </c>
      <c r="I136">
        <v>209885.7</v>
      </c>
      <c r="J136">
        <v>83132.78</v>
      </c>
    </row>
    <row r="137" spans="1:10">
      <c r="A137" t="s">
        <v>625</v>
      </c>
      <c r="B137" t="s">
        <v>1089</v>
      </c>
      <c r="C137">
        <v>213.45999999999998</v>
      </c>
      <c r="D137">
        <v>707371.59</v>
      </c>
      <c r="E137">
        <v>-73527.219999999987</v>
      </c>
      <c r="F137">
        <v>633844.37</v>
      </c>
      <c r="G137">
        <v>721941.81</v>
      </c>
      <c r="H137">
        <v>-87883.98</v>
      </c>
      <c r="I137">
        <v>634057.82999999996</v>
      </c>
      <c r="J137">
        <v>0</v>
      </c>
    </row>
    <row r="138" spans="1:10">
      <c r="A138" t="s">
        <v>1240</v>
      </c>
      <c r="B138" t="s">
        <v>642</v>
      </c>
      <c r="C138">
        <v>0</v>
      </c>
      <c r="D138">
        <v>5.68</v>
      </c>
      <c r="E138">
        <v>0</v>
      </c>
      <c r="F138">
        <v>5.68</v>
      </c>
      <c r="G138">
        <v>5.68</v>
      </c>
      <c r="H138">
        <v>0</v>
      </c>
      <c r="I138">
        <v>5.68</v>
      </c>
      <c r="J138">
        <v>0</v>
      </c>
    </row>
    <row r="139" spans="1:10">
      <c r="A139" t="s">
        <v>358</v>
      </c>
      <c r="B139" t="s">
        <v>1267</v>
      </c>
      <c r="C139">
        <v>0</v>
      </c>
      <c r="D139">
        <v>447381.62</v>
      </c>
      <c r="E139">
        <v>-22456.699999999997</v>
      </c>
      <c r="F139">
        <v>424924.92</v>
      </c>
      <c r="G139">
        <v>424670.92</v>
      </c>
      <c r="H139">
        <v>0</v>
      </c>
      <c r="I139">
        <v>424670.92</v>
      </c>
      <c r="J139">
        <v>254</v>
      </c>
    </row>
    <row r="140" spans="1:10">
      <c r="A140" t="s">
        <v>51</v>
      </c>
      <c r="B140" t="s">
        <v>307</v>
      </c>
      <c r="C140">
        <v>0</v>
      </c>
      <c r="D140">
        <v>156138.21999999997</v>
      </c>
      <c r="E140">
        <v>-6342.9</v>
      </c>
      <c r="F140">
        <v>149795.31999999998</v>
      </c>
      <c r="G140">
        <v>149795.31999999998</v>
      </c>
      <c r="H140">
        <v>0</v>
      </c>
      <c r="I140">
        <v>149795.31999999998</v>
      </c>
      <c r="J140">
        <v>0</v>
      </c>
    </row>
    <row r="141" spans="1:10">
      <c r="A141" t="s">
        <v>164</v>
      </c>
      <c r="B141" t="s">
        <v>98</v>
      </c>
      <c r="C141">
        <v>0</v>
      </c>
      <c r="D141">
        <v>149795.31999999998</v>
      </c>
      <c r="E141">
        <v>0</v>
      </c>
      <c r="F141">
        <v>149795.31999999998</v>
      </c>
      <c r="G141">
        <v>156138.21999999997</v>
      </c>
      <c r="H141">
        <v>-6342.9</v>
      </c>
      <c r="I141">
        <v>149795.31999999998</v>
      </c>
      <c r="J141">
        <v>0</v>
      </c>
    </row>
    <row r="142" spans="1:10">
      <c r="A142" t="s">
        <v>333</v>
      </c>
      <c r="B142" t="s">
        <v>1214</v>
      </c>
      <c r="C142">
        <v>0</v>
      </c>
      <c r="D142">
        <v>2204.6899999999996</v>
      </c>
      <c r="E142">
        <v>0</v>
      </c>
      <c r="F142">
        <v>2204.6899999999996</v>
      </c>
      <c r="G142">
        <v>863.42</v>
      </c>
      <c r="H142">
        <v>0</v>
      </c>
      <c r="I142">
        <v>863.42</v>
      </c>
      <c r="J142">
        <v>1341.27</v>
      </c>
    </row>
    <row r="143" spans="1:10">
      <c r="A143" t="s">
        <v>1141</v>
      </c>
      <c r="B143" t="s">
        <v>392</v>
      </c>
      <c r="C143">
        <v>2257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2257</v>
      </c>
    </row>
    <row r="144" spans="1:10">
      <c r="A144" t="s">
        <v>57</v>
      </c>
      <c r="B144" t="s">
        <v>629</v>
      </c>
      <c r="C144">
        <v>3610.54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3610.54</v>
      </c>
    </row>
    <row r="145" spans="1:10">
      <c r="A145" t="s">
        <v>1268</v>
      </c>
      <c r="B145" t="s">
        <v>253</v>
      </c>
      <c r="C145">
        <v>0</v>
      </c>
      <c r="D145">
        <v>170541.62</v>
      </c>
      <c r="E145">
        <v>-6989.57</v>
      </c>
      <c r="F145">
        <v>163552.04999999999</v>
      </c>
      <c r="G145">
        <v>166670.91999999998</v>
      </c>
      <c r="H145">
        <v>-3118.87</v>
      </c>
      <c r="I145">
        <v>163552.04999999999</v>
      </c>
      <c r="J145">
        <v>0</v>
      </c>
    </row>
    <row r="146" spans="1:10">
      <c r="A146" t="s">
        <v>482</v>
      </c>
      <c r="B146" t="s">
        <v>520</v>
      </c>
      <c r="C146">
        <v>0</v>
      </c>
      <c r="D146">
        <v>59326.929999999993</v>
      </c>
      <c r="E146">
        <v>-1303.2199999999998</v>
      </c>
      <c r="F146">
        <v>58023.71</v>
      </c>
      <c r="G146">
        <v>58692.609999999993</v>
      </c>
      <c r="H146">
        <v>-668.9</v>
      </c>
      <c r="I146">
        <v>58023.71</v>
      </c>
      <c r="J146">
        <v>0</v>
      </c>
    </row>
    <row r="147" spans="1:10">
      <c r="A147" t="s">
        <v>1102</v>
      </c>
      <c r="B147" t="s">
        <v>1277</v>
      </c>
      <c r="C147">
        <v>0</v>
      </c>
      <c r="D147">
        <v>177809.31999999998</v>
      </c>
      <c r="E147">
        <v>-841.4</v>
      </c>
      <c r="F147">
        <v>176967.92</v>
      </c>
      <c r="G147">
        <v>180922.42</v>
      </c>
      <c r="H147">
        <v>-3954.5</v>
      </c>
      <c r="I147">
        <v>176967.92</v>
      </c>
      <c r="J147">
        <v>0</v>
      </c>
    </row>
    <row r="148" spans="1:10">
      <c r="A148" t="s">
        <v>372</v>
      </c>
      <c r="B148" t="s">
        <v>785</v>
      </c>
      <c r="C148">
        <v>0</v>
      </c>
      <c r="D148">
        <v>66039.009999999995</v>
      </c>
      <c r="E148">
        <v>-1011.02</v>
      </c>
      <c r="F148">
        <v>65027.99</v>
      </c>
      <c r="G148">
        <v>65602.62999999999</v>
      </c>
      <c r="H148">
        <v>-574.64</v>
      </c>
      <c r="I148">
        <v>65027.99</v>
      </c>
      <c r="J148">
        <v>0</v>
      </c>
    </row>
    <row r="149" spans="1:10">
      <c r="A149" t="s">
        <v>1228</v>
      </c>
      <c r="B149" t="s">
        <v>384</v>
      </c>
      <c r="C149">
        <v>0</v>
      </c>
      <c r="D149">
        <v>96493.409999999989</v>
      </c>
      <c r="E149">
        <v>-1540.82</v>
      </c>
      <c r="F149">
        <v>94952.59</v>
      </c>
      <c r="G149">
        <v>96514.109999999986</v>
      </c>
      <c r="H149">
        <v>-1561.52</v>
      </c>
      <c r="I149">
        <v>94952.59</v>
      </c>
      <c r="J149">
        <v>0</v>
      </c>
    </row>
    <row r="150" spans="1:10">
      <c r="A150" t="s">
        <v>620</v>
      </c>
      <c r="B150" t="s">
        <v>986</v>
      </c>
      <c r="C150">
        <v>0</v>
      </c>
      <c r="D150">
        <v>21133.91</v>
      </c>
      <c r="E150">
        <v>-327.61999999999995</v>
      </c>
      <c r="F150">
        <v>20806.289999999997</v>
      </c>
      <c r="G150">
        <v>20806.289999999997</v>
      </c>
      <c r="H150">
        <v>0</v>
      </c>
      <c r="I150">
        <v>20806.289999999997</v>
      </c>
      <c r="J150">
        <v>0</v>
      </c>
    </row>
    <row r="151" spans="1:10">
      <c r="A151" t="s">
        <v>996</v>
      </c>
      <c r="B151" t="s">
        <v>586</v>
      </c>
      <c r="C151">
        <v>0</v>
      </c>
      <c r="D151">
        <v>83495.709999999992</v>
      </c>
      <c r="E151">
        <v>-1247.04</v>
      </c>
      <c r="F151">
        <v>82248.67</v>
      </c>
      <c r="G151">
        <v>84005.6</v>
      </c>
      <c r="H151">
        <v>-1756.9299999999998</v>
      </c>
      <c r="I151">
        <v>82248.67</v>
      </c>
      <c r="J151">
        <v>0</v>
      </c>
    </row>
    <row r="152" spans="1:10">
      <c r="A152" t="s">
        <v>1001</v>
      </c>
      <c r="B152" t="s">
        <v>435</v>
      </c>
      <c r="C152">
        <v>0</v>
      </c>
      <c r="D152">
        <v>22956.35</v>
      </c>
      <c r="E152">
        <v>0</v>
      </c>
      <c r="F152">
        <v>22956.35</v>
      </c>
      <c r="G152">
        <v>22956.35</v>
      </c>
      <c r="H152">
        <v>0</v>
      </c>
      <c r="I152">
        <v>22956.35</v>
      </c>
      <c r="J152">
        <v>0</v>
      </c>
    </row>
    <row r="153" spans="1:10">
      <c r="A153" t="s">
        <v>419</v>
      </c>
      <c r="B153" t="s">
        <v>1096</v>
      </c>
      <c r="C153">
        <v>0</v>
      </c>
      <c r="D153">
        <v>609.80999999999995</v>
      </c>
      <c r="E153">
        <v>0</v>
      </c>
      <c r="F153">
        <v>609.80999999999995</v>
      </c>
      <c r="G153">
        <v>609.80999999999995</v>
      </c>
      <c r="H153">
        <v>0</v>
      </c>
      <c r="I153">
        <v>609.80999999999995</v>
      </c>
      <c r="J153">
        <v>0</v>
      </c>
    </row>
    <row r="154" spans="1:10">
      <c r="A154" t="s">
        <v>1241</v>
      </c>
      <c r="B154" t="s">
        <v>31</v>
      </c>
      <c r="C154">
        <v>0</v>
      </c>
      <c r="D154">
        <v>644.67999999999995</v>
      </c>
      <c r="E154">
        <v>0</v>
      </c>
      <c r="F154">
        <v>644.67999999999995</v>
      </c>
      <c r="G154">
        <v>644.67999999999995</v>
      </c>
      <c r="H154">
        <v>0</v>
      </c>
      <c r="I154">
        <v>644.67999999999995</v>
      </c>
      <c r="J154">
        <v>0</v>
      </c>
    </row>
    <row r="155" spans="1:10">
      <c r="A155" t="s">
        <v>606</v>
      </c>
      <c r="B155" t="s">
        <v>1204</v>
      </c>
      <c r="C155">
        <v>0</v>
      </c>
      <c r="D155">
        <v>908.4</v>
      </c>
      <c r="E155">
        <v>0</v>
      </c>
      <c r="F155">
        <v>908.4</v>
      </c>
      <c r="G155">
        <v>908.4</v>
      </c>
      <c r="H155">
        <v>0</v>
      </c>
      <c r="I155">
        <v>908.4</v>
      </c>
      <c r="J155">
        <v>0</v>
      </c>
    </row>
    <row r="156" spans="1:10">
      <c r="A156" t="s">
        <v>1114</v>
      </c>
      <c r="B156" t="s">
        <v>726</v>
      </c>
      <c r="C156">
        <v>0</v>
      </c>
      <c r="D156">
        <v>2666.72</v>
      </c>
      <c r="E156">
        <v>0</v>
      </c>
      <c r="F156">
        <v>2666.72</v>
      </c>
      <c r="G156">
        <v>2666.72</v>
      </c>
      <c r="H156">
        <v>0</v>
      </c>
      <c r="I156">
        <v>2666.72</v>
      </c>
      <c r="J156">
        <v>0</v>
      </c>
    </row>
    <row r="157" spans="1:10">
      <c r="A157" t="s">
        <v>363</v>
      </c>
      <c r="B157" t="s">
        <v>862</v>
      </c>
      <c r="C157">
        <v>0</v>
      </c>
      <c r="D157">
        <v>1536.7399999999998</v>
      </c>
      <c r="E157">
        <v>0</v>
      </c>
      <c r="F157">
        <v>1536.7399999999998</v>
      </c>
      <c r="G157">
        <v>1536.7399999999998</v>
      </c>
      <c r="H157">
        <v>0</v>
      </c>
      <c r="I157">
        <v>1536.7399999999998</v>
      </c>
      <c r="J157">
        <v>0</v>
      </c>
    </row>
    <row r="158" spans="1:10">
      <c r="A158" t="s">
        <v>1278</v>
      </c>
      <c r="B158" t="s">
        <v>364</v>
      </c>
      <c r="C158">
        <v>0</v>
      </c>
      <c r="D158">
        <v>1532.65</v>
      </c>
      <c r="E158">
        <v>0</v>
      </c>
      <c r="F158">
        <v>1532.65</v>
      </c>
      <c r="G158">
        <v>1532.65</v>
      </c>
      <c r="H158">
        <v>0</v>
      </c>
      <c r="I158">
        <v>1532.65</v>
      </c>
      <c r="J158">
        <v>0</v>
      </c>
    </row>
    <row r="159" spans="1:10">
      <c r="A159" t="s">
        <v>131</v>
      </c>
      <c r="B159" t="s">
        <v>543</v>
      </c>
      <c r="C159">
        <v>0</v>
      </c>
      <c r="D159">
        <v>489598.56</v>
      </c>
      <c r="E159">
        <v>-69807.349999999991</v>
      </c>
      <c r="F159">
        <v>419791.21</v>
      </c>
      <c r="G159">
        <v>488618.73</v>
      </c>
      <c r="H159">
        <v>-68827.51999999999</v>
      </c>
      <c r="I159">
        <v>419791.21</v>
      </c>
      <c r="J159">
        <v>0</v>
      </c>
    </row>
    <row r="160" spans="1:10">
      <c r="A160" t="s">
        <v>1116</v>
      </c>
      <c r="B160" t="s">
        <v>184</v>
      </c>
      <c r="C160">
        <v>-436194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-436194</v>
      </c>
    </row>
    <row r="161" spans="1:10">
      <c r="A161" t="s">
        <v>15</v>
      </c>
      <c r="B161" t="s">
        <v>841</v>
      </c>
      <c r="C161">
        <v>-6030.11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-6030.11</v>
      </c>
    </row>
    <row r="162" spans="1:10">
      <c r="A162" t="s">
        <v>656</v>
      </c>
      <c r="B162" t="s">
        <v>799</v>
      </c>
      <c r="C162">
        <v>-404561.5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-404561.5</v>
      </c>
    </row>
    <row r="163" spans="1:10">
      <c r="A163" t="s">
        <v>1184</v>
      </c>
      <c r="B163" t="s">
        <v>92</v>
      </c>
      <c r="C163">
        <v>442318.25999999995</v>
      </c>
      <c r="D163">
        <v>154623.04999999999</v>
      </c>
      <c r="E163">
        <v>0</v>
      </c>
      <c r="F163">
        <v>154623.04999999999</v>
      </c>
      <c r="G163">
        <v>0</v>
      </c>
      <c r="H163">
        <v>0</v>
      </c>
      <c r="I163">
        <v>0</v>
      </c>
      <c r="J163">
        <v>596941.30999999994</v>
      </c>
    </row>
    <row r="164" spans="1:10">
      <c r="A164" t="s">
        <v>953</v>
      </c>
      <c r="B164" t="s">
        <v>456</v>
      </c>
      <c r="C164">
        <v>154623.04999999999</v>
      </c>
      <c r="D164">
        <v>0</v>
      </c>
      <c r="E164">
        <v>0</v>
      </c>
      <c r="F164">
        <v>0</v>
      </c>
      <c r="G164">
        <v>154623.04999999999</v>
      </c>
      <c r="H164">
        <v>0</v>
      </c>
      <c r="I164">
        <v>154623.04999999999</v>
      </c>
      <c r="J164">
        <v>0</v>
      </c>
    </row>
    <row r="165" spans="1:10">
      <c r="A165" t="s">
        <v>1039</v>
      </c>
      <c r="B165" t="s">
        <v>887</v>
      </c>
      <c r="C165">
        <v>0</v>
      </c>
      <c r="D165">
        <v>28553.25</v>
      </c>
      <c r="E165">
        <v>-1410.82</v>
      </c>
      <c r="F165">
        <v>27142.429999999997</v>
      </c>
      <c r="G165">
        <v>439000</v>
      </c>
      <c r="H165">
        <v>0</v>
      </c>
      <c r="I165">
        <v>439000</v>
      </c>
      <c r="J165">
        <v>-411857.56999999995</v>
      </c>
    </row>
    <row r="166" spans="1:10">
      <c r="A166" t="s">
        <v>761</v>
      </c>
      <c r="B166" t="s">
        <v>1343</v>
      </c>
      <c r="C166">
        <v>-7000.83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-7000.83</v>
      </c>
    </row>
    <row r="167" spans="1:10">
      <c r="A167" t="s">
        <v>261</v>
      </c>
      <c r="B167" t="s">
        <v>1336</v>
      </c>
      <c r="C167">
        <v>-20741.129999999997</v>
      </c>
      <c r="D167">
        <v>28172.219999999998</v>
      </c>
      <c r="E167">
        <v>0</v>
      </c>
      <c r="F167">
        <v>28172.219999999998</v>
      </c>
      <c r="G167">
        <v>7431.0899999999992</v>
      </c>
      <c r="H167">
        <v>0</v>
      </c>
      <c r="I167">
        <v>7431.0899999999992</v>
      </c>
      <c r="J167">
        <v>0</v>
      </c>
    </row>
    <row r="168" spans="1:10">
      <c r="A168" t="s">
        <v>899</v>
      </c>
      <c r="B168" t="s">
        <v>397</v>
      </c>
      <c r="C168">
        <v>-3174.2099999999996</v>
      </c>
      <c r="D168">
        <v>3174.22</v>
      </c>
      <c r="E168">
        <v>0</v>
      </c>
      <c r="F168">
        <v>3174.22</v>
      </c>
      <c r="G168">
        <v>9.9999999999999985E-3</v>
      </c>
      <c r="H168">
        <v>0</v>
      </c>
      <c r="I168">
        <v>9.9999999999999985E-3</v>
      </c>
      <c r="J168">
        <v>0</v>
      </c>
    </row>
    <row r="169" spans="1:10">
      <c r="A169" t="s">
        <v>448</v>
      </c>
      <c r="B169" t="s">
        <v>246</v>
      </c>
      <c r="C169">
        <v>-5006.7999999999993</v>
      </c>
      <c r="D169">
        <v>5117.8499999999995</v>
      </c>
      <c r="E169">
        <v>0</v>
      </c>
      <c r="F169">
        <v>5117.8499999999995</v>
      </c>
      <c r="G169">
        <v>111.05</v>
      </c>
      <c r="H169">
        <v>0</v>
      </c>
      <c r="I169">
        <v>111.05</v>
      </c>
      <c r="J169">
        <v>0</v>
      </c>
    </row>
    <row r="170" spans="1:10">
      <c r="A170" t="s">
        <v>1190</v>
      </c>
      <c r="B170" t="s">
        <v>175</v>
      </c>
      <c r="C170">
        <v>-4701.3399999999992</v>
      </c>
      <c r="D170">
        <v>4954.66</v>
      </c>
      <c r="E170">
        <v>0</v>
      </c>
      <c r="F170">
        <v>4954.66</v>
      </c>
      <c r="G170">
        <v>253.32</v>
      </c>
      <c r="H170">
        <v>0</v>
      </c>
      <c r="I170">
        <v>253.32</v>
      </c>
      <c r="J170">
        <v>0</v>
      </c>
    </row>
    <row r="171" spans="1:10">
      <c r="A171" t="s">
        <v>557</v>
      </c>
      <c r="B171" t="s">
        <v>619</v>
      </c>
      <c r="C171">
        <v>-6034.25</v>
      </c>
      <c r="D171">
        <v>6225.15</v>
      </c>
      <c r="E171">
        <v>0</v>
      </c>
      <c r="F171">
        <v>6225.15</v>
      </c>
      <c r="G171">
        <v>190.89999999999998</v>
      </c>
      <c r="H171">
        <v>0</v>
      </c>
      <c r="I171">
        <v>190.89999999999998</v>
      </c>
      <c r="J171">
        <v>0</v>
      </c>
    </row>
    <row r="172" spans="1:10">
      <c r="A172" t="s">
        <v>308</v>
      </c>
      <c r="B172" t="s">
        <v>357</v>
      </c>
      <c r="C172">
        <v>-53686.609999999993</v>
      </c>
      <c r="D172">
        <v>60071.439999999995</v>
      </c>
      <c r="E172">
        <v>0</v>
      </c>
      <c r="F172">
        <v>60071.439999999995</v>
      </c>
      <c r="G172">
        <v>6384.83</v>
      </c>
      <c r="H172">
        <v>0</v>
      </c>
      <c r="I172">
        <v>6384.83</v>
      </c>
      <c r="J172">
        <v>0</v>
      </c>
    </row>
    <row r="173" spans="1:10">
      <c r="A173" t="s">
        <v>1323</v>
      </c>
      <c r="B173" t="s">
        <v>1209</v>
      </c>
      <c r="C173">
        <v>-8789.16</v>
      </c>
      <c r="D173">
        <v>6024.4</v>
      </c>
      <c r="E173">
        <v>0</v>
      </c>
      <c r="F173">
        <v>6024.4</v>
      </c>
      <c r="G173">
        <v>173.86999999999998</v>
      </c>
      <c r="H173">
        <v>0</v>
      </c>
      <c r="I173">
        <v>173.86999999999998</v>
      </c>
      <c r="J173">
        <v>-2938.6299999999997</v>
      </c>
    </row>
    <row r="174" spans="1:10">
      <c r="A174" t="s">
        <v>513</v>
      </c>
      <c r="B174" t="s">
        <v>287</v>
      </c>
      <c r="C174">
        <v>-5813.32</v>
      </c>
      <c r="D174">
        <v>4884.3999999999996</v>
      </c>
      <c r="E174">
        <v>0</v>
      </c>
      <c r="F174">
        <v>4884.3999999999996</v>
      </c>
      <c r="G174">
        <v>345.71</v>
      </c>
      <c r="H174">
        <v>0</v>
      </c>
      <c r="I174">
        <v>345.71</v>
      </c>
      <c r="J174">
        <v>-1274.6299999999999</v>
      </c>
    </row>
    <row r="175" spans="1:10">
      <c r="A175" t="s">
        <v>1289</v>
      </c>
      <c r="B175" t="s">
        <v>301</v>
      </c>
      <c r="C175">
        <v>-62574.399999999994</v>
      </c>
      <c r="D175">
        <v>26919.199999999997</v>
      </c>
      <c r="E175">
        <v>0</v>
      </c>
      <c r="F175">
        <v>26919.199999999997</v>
      </c>
      <c r="G175">
        <v>3431.32</v>
      </c>
      <c r="H175">
        <v>0</v>
      </c>
      <c r="I175">
        <v>3431.32</v>
      </c>
      <c r="J175">
        <v>-39086.519999999997</v>
      </c>
    </row>
    <row r="176" spans="1:10">
      <c r="A176" t="s">
        <v>544</v>
      </c>
      <c r="B176" t="s">
        <v>1123</v>
      </c>
      <c r="C176">
        <v>-6546.98</v>
      </c>
      <c r="D176">
        <v>4644.6399999999994</v>
      </c>
      <c r="E176">
        <v>0</v>
      </c>
      <c r="F176">
        <v>4644.6399999999994</v>
      </c>
      <c r="G176">
        <v>419.84</v>
      </c>
      <c r="H176">
        <v>0</v>
      </c>
      <c r="I176">
        <v>419.84</v>
      </c>
      <c r="J176">
        <v>-2322.1799999999998</v>
      </c>
    </row>
    <row r="177" spans="1:10">
      <c r="A177" t="s">
        <v>1063</v>
      </c>
      <c r="B177" t="s">
        <v>517</v>
      </c>
      <c r="C177">
        <v>0</v>
      </c>
      <c r="D177">
        <v>23563.05</v>
      </c>
      <c r="E177">
        <v>-14.45</v>
      </c>
      <c r="F177">
        <v>23548.6</v>
      </c>
      <c r="G177">
        <v>0</v>
      </c>
      <c r="H177">
        <v>0</v>
      </c>
      <c r="I177">
        <v>0</v>
      </c>
      <c r="J177">
        <v>23548.6</v>
      </c>
    </row>
    <row r="178" spans="1:10">
      <c r="A178" t="s">
        <v>436</v>
      </c>
      <c r="B178" t="s">
        <v>582</v>
      </c>
      <c r="C178">
        <v>0</v>
      </c>
      <c r="D178">
        <v>3520.78</v>
      </c>
      <c r="E178">
        <v>0</v>
      </c>
      <c r="F178">
        <v>3520.78</v>
      </c>
      <c r="G178">
        <v>0</v>
      </c>
      <c r="H178">
        <v>0</v>
      </c>
      <c r="I178">
        <v>0</v>
      </c>
      <c r="J178">
        <v>3520.78</v>
      </c>
    </row>
    <row r="179" spans="1:10">
      <c r="A179" t="s">
        <v>1170</v>
      </c>
      <c r="B179" t="s">
        <v>1285</v>
      </c>
      <c r="C179">
        <v>0</v>
      </c>
      <c r="D179">
        <v>708.4799999999999</v>
      </c>
      <c r="E179">
        <v>0</v>
      </c>
      <c r="F179">
        <v>708.4799999999999</v>
      </c>
      <c r="G179">
        <v>0</v>
      </c>
      <c r="H179">
        <v>0</v>
      </c>
      <c r="I179">
        <v>0</v>
      </c>
      <c r="J179">
        <v>708.4799999999999</v>
      </c>
    </row>
    <row r="180" spans="1:10">
      <c r="A180" t="s">
        <v>1090</v>
      </c>
      <c r="B180" t="s">
        <v>212</v>
      </c>
      <c r="C180">
        <v>0</v>
      </c>
      <c r="D180">
        <v>1320.35</v>
      </c>
      <c r="E180">
        <v>0</v>
      </c>
      <c r="F180">
        <v>1320.35</v>
      </c>
      <c r="G180">
        <v>13236.609999999999</v>
      </c>
      <c r="H180">
        <v>0</v>
      </c>
      <c r="I180">
        <v>13236.609999999999</v>
      </c>
      <c r="J180">
        <v>-11916.259999999998</v>
      </c>
    </row>
    <row r="181" spans="1:10">
      <c r="A181" t="s">
        <v>145</v>
      </c>
      <c r="B181" t="s">
        <v>786</v>
      </c>
      <c r="C181">
        <v>0</v>
      </c>
      <c r="D181">
        <v>11553.96</v>
      </c>
      <c r="E181">
        <v>-1276.51</v>
      </c>
      <c r="F181">
        <v>10277.449999999999</v>
      </c>
      <c r="G181">
        <v>0</v>
      </c>
      <c r="H181">
        <v>0</v>
      </c>
      <c r="I181">
        <v>0</v>
      </c>
      <c r="J181">
        <v>10277.449999999999</v>
      </c>
    </row>
    <row r="182" spans="1:10">
      <c r="A182" t="s">
        <v>302</v>
      </c>
      <c r="B182" t="s">
        <v>343</v>
      </c>
      <c r="C182">
        <v>0</v>
      </c>
      <c r="D182">
        <v>66243.62</v>
      </c>
      <c r="E182">
        <v>0</v>
      </c>
      <c r="F182">
        <v>66243.62</v>
      </c>
      <c r="G182">
        <v>0</v>
      </c>
      <c r="H182">
        <v>0</v>
      </c>
      <c r="I182">
        <v>0</v>
      </c>
      <c r="J182">
        <v>66243.62</v>
      </c>
    </row>
    <row r="183" spans="1:10">
      <c r="A183" t="s">
        <v>512</v>
      </c>
      <c r="B183" t="s">
        <v>1211</v>
      </c>
      <c r="C183">
        <v>0</v>
      </c>
      <c r="D183">
        <v>3199.97</v>
      </c>
      <c r="E183">
        <v>0</v>
      </c>
      <c r="F183">
        <v>3199.97</v>
      </c>
      <c r="G183">
        <v>0</v>
      </c>
      <c r="H183">
        <v>0</v>
      </c>
      <c r="I183">
        <v>0</v>
      </c>
      <c r="J183">
        <v>3199.97</v>
      </c>
    </row>
    <row r="184" spans="1:10">
      <c r="A184" t="s">
        <v>1314</v>
      </c>
      <c r="B184" t="s">
        <v>1149</v>
      </c>
      <c r="C184">
        <v>0</v>
      </c>
      <c r="D184">
        <v>3274498.7899999996</v>
      </c>
      <c r="E184">
        <v>-217851.75999999998</v>
      </c>
      <c r="F184">
        <v>3056647.03</v>
      </c>
      <c r="G184">
        <v>412426.00999999995</v>
      </c>
      <c r="H184">
        <v>0</v>
      </c>
      <c r="I184">
        <v>412426.00999999995</v>
      </c>
      <c r="J184">
        <v>2644221.0199999996</v>
      </c>
    </row>
    <row r="185" spans="1:10">
      <c r="A185" t="s">
        <v>964</v>
      </c>
      <c r="B185" t="s">
        <v>687</v>
      </c>
      <c r="C185">
        <v>0</v>
      </c>
      <c r="D185">
        <v>1297.4099999999999</v>
      </c>
      <c r="E185">
        <v>-5483.75</v>
      </c>
      <c r="F185">
        <v>-4186.3399999999992</v>
      </c>
      <c r="G185">
        <v>90596.29</v>
      </c>
      <c r="H185">
        <v>0</v>
      </c>
      <c r="I185">
        <v>90596.29</v>
      </c>
      <c r="J185">
        <v>-94782.62999999999</v>
      </c>
    </row>
    <row r="186" spans="1:10">
      <c r="A186" t="s">
        <v>648</v>
      </c>
      <c r="B186" t="s">
        <v>574</v>
      </c>
      <c r="C186">
        <v>0</v>
      </c>
      <c r="D186">
        <v>15825.08</v>
      </c>
      <c r="E186">
        <v>0</v>
      </c>
      <c r="F186">
        <v>15825.08</v>
      </c>
      <c r="G186">
        <v>0</v>
      </c>
      <c r="H186">
        <v>0</v>
      </c>
      <c r="I186">
        <v>0</v>
      </c>
      <c r="J186">
        <v>15825.08</v>
      </c>
    </row>
    <row r="187" spans="1:10">
      <c r="A187" t="s">
        <v>747</v>
      </c>
      <c r="B187" t="s">
        <v>1083</v>
      </c>
      <c r="C187">
        <v>0</v>
      </c>
      <c r="D187">
        <v>124.19</v>
      </c>
      <c r="E187">
        <v>0</v>
      </c>
      <c r="F187">
        <v>124.19</v>
      </c>
      <c r="G187">
        <v>0</v>
      </c>
      <c r="H187">
        <v>0</v>
      </c>
      <c r="I187">
        <v>0</v>
      </c>
      <c r="J187">
        <v>124.19</v>
      </c>
    </row>
    <row r="188" spans="1:10">
      <c r="A188" t="s">
        <v>1269</v>
      </c>
      <c r="B188" t="s">
        <v>990</v>
      </c>
      <c r="C188">
        <v>0</v>
      </c>
      <c r="D188">
        <v>3189.89</v>
      </c>
      <c r="E188">
        <v>0</v>
      </c>
      <c r="F188">
        <v>3189.89</v>
      </c>
      <c r="G188">
        <v>0</v>
      </c>
      <c r="H188">
        <v>0</v>
      </c>
      <c r="I188">
        <v>0</v>
      </c>
      <c r="J188">
        <v>3189.89</v>
      </c>
    </row>
    <row r="189" spans="1:10">
      <c r="A189" t="s">
        <v>1272</v>
      </c>
      <c r="B189" t="s">
        <v>457</v>
      </c>
      <c r="C189">
        <v>0</v>
      </c>
      <c r="D189">
        <v>51664.12</v>
      </c>
      <c r="E189">
        <v>0</v>
      </c>
      <c r="F189">
        <v>51664.12</v>
      </c>
      <c r="G189">
        <v>0</v>
      </c>
      <c r="H189">
        <v>0</v>
      </c>
      <c r="I189">
        <v>0</v>
      </c>
      <c r="J189">
        <v>51664.12</v>
      </c>
    </row>
    <row r="190" spans="1:10">
      <c r="A190" t="s">
        <v>413</v>
      </c>
      <c r="B190" t="s">
        <v>593</v>
      </c>
      <c r="C190">
        <v>0</v>
      </c>
      <c r="D190">
        <v>37594.509999999995</v>
      </c>
      <c r="E190">
        <v>-825.68</v>
      </c>
      <c r="F190">
        <v>36768.829999999994</v>
      </c>
      <c r="G190">
        <v>0</v>
      </c>
      <c r="H190">
        <v>0</v>
      </c>
      <c r="I190">
        <v>0</v>
      </c>
      <c r="J190">
        <v>36768.829999999994</v>
      </c>
    </row>
    <row r="191" spans="1:10">
      <c r="A191" t="s">
        <v>787</v>
      </c>
      <c r="B191" t="s">
        <v>680</v>
      </c>
      <c r="C191">
        <v>0</v>
      </c>
      <c r="D191">
        <v>11601.839999999998</v>
      </c>
      <c r="E191">
        <v>-506.97</v>
      </c>
      <c r="F191">
        <v>11094.87</v>
      </c>
      <c r="G191">
        <v>0</v>
      </c>
      <c r="H191">
        <v>0</v>
      </c>
      <c r="I191">
        <v>0</v>
      </c>
      <c r="J191">
        <v>11094.87</v>
      </c>
    </row>
    <row r="192" spans="1:10">
      <c r="A192" t="s">
        <v>894</v>
      </c>
      <c r="B192" t="s">
        <v>1115</v>
      </c>
      <c r="C192">
        <v>0</v>
      </c>
      <c r="D192">
        <v>18856.07</v>
      </c>
      <c r="E192">
        <v>-14.1</v>
      </c>
      <c r="F192">
        <v>18841.969999999998</v>
      </c>
      <c r="G192">
        <v>101</v>
      </c>
      <c r="H192">
        <v>0</v>
      </c>
      <c r="I192">
        <v>101</v>
      </c>
      <c r="J192">
        <v>18740.969999999998</v>
      </c>
    </row>
    <row r="193" spans="1:10">
      <c r="A193" t="s">
        <v>1229</v>
      </c>
      <c r="B193" t="s">
        <v>292</v>
      </c>
      <c r="C193">
        <v>0</v>
      </c>
      <c r="D193">
        <v>0</v>
      </c>
      <c r="E193">
        <v>0</v>
      </c>
      <c r="F193">
        <v>0</v>
      </c>
      <c r="G193">
        <v>574.69999999999993</v>
      </c>
      <c r="H193">
        <v>0</v>
      </c>
      <c r="I193">
        <v>574.69999999999993</v>
      </c>
      <c r="J193">
        <v>-574.69999999999993</v>
      </c>
    </row>
    <row r="194" spans="1:10">
      <c r="A194" t="s">
        <v>182</v>
      </c>
      <c r="B194" t="s">
        <v>699</v>
      </c>
      <c r="C194">
        <v>0</v>
      </c>
      <c r="D194">
        <v>24077.439999999999</v>
      </c>
      <c r="E194">
        <v>-69.52</v>
      </c>
      <c r="F194">
        <v>24007.919999999998</v>
      </c>
      <c r="G194">
        <v>0</v>
      </c>
      <c r="H194">
        <v>0</v>
      </c>
      <c r="I194">
        <v>0</v>
      </c>
      <c r="J194">
        <v>24007.919999999998</v>
      </c>
    </row>
    <row r="195" spans="1:10">
      <c r="A195" t="s">
        <v>119</v>
      </c>
      <c r="B195" t="s">
        <v>1332</v>
      </c>
      <c r="C195">
        <v>0</v>
      </c>
      <c r="D195">
        <v>4685.2599999999993</v>
      </c>
      <c r="E195">
        <v>0</v>
      </c>
      <c r="F195">
        <v>4685.2599999999993</v>
      </c>
      <c r="G195">
        <v>0</v>
      </c>
      <c r="H195">
        <v>0</v>
      </c>
      <c r="I195">
        <v>0</v>
      </c>
      <c r="J195">
        <v>4685.2599999999993</v>
      </c>
    </row>
    <row r="196" spans="1:10">
      <c r="A196" t="s">
        <v>320</v>
      </c>
      <c r="B196" t="s">
        <v>1066</v>
      </c>
      <c r="C196">
        <v>0</v>
      </c>
      <c r="D196">
        <v>998.45999999999992</v>
      </c>
      <c r="E196">
        <v>0</v>
      </c>
      <c r="F196">
        <v>998.45999999999992</v>
      </c>
      <c r="G196">
        <v>0</v>
      </c>
      <c r="H196">
        <v>0</v>
      </c>
      <c r="I196">
        <v>0</v>
      </c>
      <c r="J196">
        <v>998.45999999999992</v>
      </c>
    </row>
    <row r="197" spans="1:10">
      <c r="A197" t="s">
        <v>902</v>
      </c>
      <c r="B197" t="s">
        <v>1176</v>
      </c>
      <c r="C197">
        <v>0</v>
      </c>
      <c r="D197">
        <v>247141.9</v>
      </c>
      <c r="E197">
        <v>0</v>
      </c>
      <c r="F197">
        <v>247141.9</v>
      </c>
      <c r="G197">
        <v>0</v>
      </c>
      <c r="H197">
        <v>0</v>
      </c>
      <c r="I197">
        <v>0</v>
      </c>
      <c r="J197">
        <v>247141.9</v>
      </c>
    </row>
    <row r="198" spans="1:10">
      <c r="A198" t="s">
        <v>796</v>
      </c>
      <c r="B198" t="s">
        <v>612</v>
      </c>
      <c r="C198">
        <v>0</v>
      </c>
      <c r="D198">
        <v>79388.03</v>
      </c>
      <c r="E198">
        <v>0</v>
      </c>
      <c r="F198">
        <v>79388.03</v>
      </c>
      <c r="G198">
        <v>0</v>
      </c>
      <c r="H198">
        <v>0</v>
      </c>
      <c r="I198">
        <v>0</v>
      </c>
      <c r="J198">
        <v>79388.03</v>
      </c>
    </row>
    <row r="199" spans="1:10">
      <c r="A199" t="s">
        <v>575</v>
      </c>
      <c r="B199" t="s">
        <v>1119</v>
      </c>
      <c r="C199">
        <v>0</v>
      </c>
      <c r="D199">
        <v>9160.2099999999991</v>
      </c>
      <c r="E199">
        <v>0</v>
      </c>
      <c r="F199">
        <v>9160.2099999999991</v>
      </c>
      <c r="G199">
        <v>0</v>
      </c>
      <c r="H199">
        <v>0</v>
      </c>
      <c r="I199">
        <v>0</v>
      </c>
      <c r="J199">
        <v>9160.2099999999991</v>
      </c>
    </row>
    <row r="200" spans="1:10">
      <c r="A200" t="s">
        <v>159</v>
      </c>
      <c r="B200" t="s">
        <v>748</v>
      </c>
      <c r="C200">
        <v>0</v>
      </c>
      <c r="D200">
        <v>9481.7899999999991</v>
      </c>
      <c r="E200">
        <v>0</v>
      </c>
      <c r="F200">
        <v>9481.7899999999991</v>
      </c>
      <c r="G200">
        <v>9476.56</v>
      </c>
      <c r="H200">
        <v>0</v>
      </c>
      <c r="I200">
        <v>9476.56</v>
      </c>
      <c r="J200">
        <v>5.23</v>
      </c>
    </row>
    <row r="201" spans="1:10">
      <c r="A201" t="s">
        <v>613</v>
      </c>
      <c r="B201" t="s">
        <v>1071</v>
      </c>
      <c r="C201">
        <v>0</v>
      </c>
      <c r="D201">
        <v>6491.3399999999992</v>
      </c>
      <c r="E201">
        <v>0</v>
      </c>
      <c r="F201">
        <v>6491.3399999999992</v>
      </c>
      <c r="G201">
        <v>0</v>
      </c>
      <c r="H201">
        <v>0</v>
      </c>
      <c r="I201">
        <v>0</v>
      </c>
      <c r="J201">
        <v>6491.3399999999992</v>
      </c>
    </row>
    <row r="202" spans="1:10">
      <c r="A202" t="s">
        <v>125</v>
      </c>
      <c r="B202" t="s">
        <v>1338</v>
      </c>
      <c r="C202">
        <v>0</v>
      </c>
      <c r="D202">
        <v>8007.28</v>
      </c>
      <c r="E202">
        <v>0</v>
      </c>
      <c r="F202">
        <v>8007.28</v>
      </c>
      <c r="G202">
        <v>0</v>
      </c>
      <c r="H202">
        <v>0</v>
      </c>
      <c r="I202">
        <v>0</v>
      </c>
      <c r="J202">
        <v>8007.28</v>
      </c>
    </row>
    <row r="203" spans="1:10">
      <c r="A203" t="s">
        <v>1252</v>
      </c>
      <c r="B203" t="s">
        <v>602</v>
      </c>
      <c r="C203">
        <v>0</v>
      </c>
      <c r="D203">
        <v>1050.2299999999998</v>
      </c>
      <c r="E203">
        <v>0</v>
      </c>
      <c r="F203">
        <v>1050.2299999999998</v>
      </c>
      <c r="G203">
        <v>0</v>
      </c>
      <c r="H203">
        <v>0</v>
      </c>
      <c r="I203">
        <v>0</v>
      </c>
      <c r="J203">
        <v>1050.2299999999998</v>
      </c>
    </row>
    <row r="204" spans="1:10">
      <c r="A204" t="s">
        <v>434</v>
      </c>
      <c r="B204" t="s">
        <v>594</v>
      </c>
      <c r="C204">
        <v>0</v>
      </c>
      <c r="D204">
        <v>25.22</v>
      </c>
      <c r="E204">
        <v>0</v>
      </c>
      <c r="F204">
        <v>25.22</v>
      </c>
      <c r="G204">
        <v>0</v>
      </c>
      <c r="H204">
        <v>0</v>
      </c>
      <c r="I204">
        <v>0</v>
      </c>
      <c r="J204">
        <v>25.22</v>
      </c>
    </row>
    <row r="205" spans="1:10">
      <c r="A205" t="s">
        <v>681</v>
      </c>
      <c r="B205" t="s">
        <v>460</v>
      </c>
      <c r="C205">
        <v>0</v>
      </c>
      <c r="D205">
        <v>14048.13</v>
      </c>
      <c r="E205">
        <v>-0.95</v>
      </c>
      <c r="F205">
        <v>14047.179999999998</v>
      </c>
      <c r="G205">
        <v>0</v>
      </c>
      <c r="H205">
        <v>0</v>
      </c>
      <c r="I205">
        <v>0</v>
      </c>
      <c r="J205">
        <v>14047.179999999998</v>
      </c>
    </row>
    <row r="206" spans="1:10">
      <c r="A206" t="s">
        <v>987</v>
      </c>
      <c r="B206" t="s">
        <v>1026</v>
      </c>
      <c r="C206">
        <v>0</v>
      </c>
      <c r="D206">
        <v>21942.82</v>
      </c>
      <c r="E206">
        <v>0</v>
      </c>
      <c r="F206">
        <v>21942.82</v>
      </c>
      <c r="G206">
        <v>0</v>
      </c>
      <c r="H206">
        <v>0</v>
      </c>
      <c r="I206">
        <v>0</v>
      </c>
      <c r="J206">
        <v>21942.82</v>
      </c>
    </row>
    <row r="207" spans="1:10">
      <c r="A207" t="s">
        <v>183</v>
      </c>
      <c r="B207" t="s">
        <v>328</v>
      </c>
      <c r="C207">
        <v>0</v>
      </c>
      <c r="D207">
        <v>85872.87999999999</v>
      </c>
      <c r="E207">
        <v>0</v>
      </c>
      <c r="F207">
        <v>85872.87999999999</v>
      </c>
      <c r="G207">
        <v>0</v>
      </c>
      <c r="H207">
        <v>0</v>
      </c>
      <c r="I207">
        <v>0</v>
      </c>
      <c r="J207">
        <v>85872.87999999999</v>
      </c>
    </row>
    <row r="208" spans="1:10">
      <c r="A208" t="s">
        <v>662</v>
      </c>
      <c r="B208" t="s">
        <v>54</v>
      </c>
      <c r="C208">
        <v>0</v>
      </c>
      <c r="D208">
        <v>36868.789999999994</v>
      </c>
      <c r="E208">
        <v>-163.5</v>
      </c>
      <c r="F208">
        <v>36705.289999999994</v>
      </c>
      <c r="G208">
        <v>0</v>
      </c>
      <c r="H208">
        <v>0</v>
      </c>
      <c r="I208">
        <v>0</v>
      </c>
      <c r="J208">
        <v>36705.289999999994</v>
      </c>
    </row>
    <row r="209" spans="1:10">
      <c r="A209" t="s">
        <v>79</v>
      </c>
      <c r="B209" t="s">
        <v>863</v>
      </c>
      <c r="C209">
        <v>0</v>
      </c>
      <c r="D209">
        <v>9352.39</v>
      </c>
      <c r="E209">
        <v>-426.02</v>
      </c>
      <c r="F209">
        <v>8926.369999999999</v>
      </c>
      <c r="G209">
        <v>0</v>
      </c>
      <c r="H209">
        <v>0</v>
      </c>
      <c r="I209">
        <v>0</v>
      </c>
      <c r="J209">
        <v>8926.369999999999</v>
      </c>
    </row>
    <row r="210" spans="1:10">
      <c r="A210" t="s">
        <v>1185</v>
      </c>
      <c r="B210" t="s">
        <v>527</v>
      </c>
      <c r="C210">
        <v>0</v>
      </c>
      <c r="D210">
        <v>7328.3399999999992</v>
      </c>
      <c r="E210">
        <v>-7243.1699999999992</v>
      </c>
      <c r="F210">
        <v>85.169999999999987</v>
      </c>
      <c r="G210">
        <v>0</v>
      </c>
      <c r="H210">
        <v>0</v>
      </c>
      <c r="I210">
        <v>0</v>
      </c>
      <c r="J210">
        <v>85.169999999999987</v>
      </c>
    </row>
    <row r="211" spans="1:10">
      <c r="A211" t="s">
        <v>735</v>
      </c>
      <c r="B211" t="s">
        <v>206</v>
      </c>
      <c r="C211">
        <v>0</v>
      </c>
      <c r="D211">
        <v>0</v>
      </c>
      <c r="E211">
        <v>0</v>
      </c>
      <c r="F211">
        <v>0</v>
      </c>
      <c r="G211">
        <v>96313.76</v>
      </c>
      <c r="H211">
        <v>-47994.81</v>
      </c>
      <c r="I211">
        <v>48318.95</v>
      </c>
      <c r="J211">
        <v>-48318.95</v>
      </c>
    </row>
    <row r="212" spans="1:10">
      <c r="A212" t="s">
        <v>1059</v>
      </c>
      <c r="B212" t="s">
        <v>38</v>
      </c>
      <c r="C212">
        <v>0</v>
      </c>
      <c r="D212">
        <v>0</v>
      </c>
      <c r="E212">
        <v>0</v>
      </c>
      <c r="F212">
        <v>0</v>
      </c>
      <c r="G212">
        <v>19461</v>
      </c>
      <c r="H212">
        <v>-5160</v>
      </c>
      <c r="I212">
        <v>14301</v>
      </c>
      <c r="J212">
        <v>-14301</v>
      </c>
    </row>
    <row r="213" spans="1:10">
      <c r="A213" t="s">
        <v>1013</v>
      </c>
      <c r="B213" t="s">
        <v>195</v>
      </c>
      <c r="C213">
        <v>0</v>
      </c>
      <c r="D213">
        <v>0</v>
      </c>
      <c r="E213">
        <v>0</v>
      </c>
      <c r="F213">
        <v>0</v>
      </c>
      <c r="G213">
        <v>3414809.3699999996</v>
      </c>
      <c r="H213">
        <v>-229777.12999999998</v>
      </c>
      <c r="I213">
        <v>3185032.24</v>
      </c>
      <c r="J213">
        <v>-3185032.24</v>
      </c>
    </row>
    <row r="214" spans="1:10">
      <c r="A214" t="s">
        <v>818</v>
      </c>
      <c r="B214" t="s">
        <v>829</v>
      </c>
      <c r="C214">
        <v>0</v>
      </c>
      <c r="D214">
        <v>0</v>
      </c>
      <c r="E214">
        <v>0</v>
      </c>
      <c r="F214">
        <v>0</v>
      </c>
      <c r="G214">
        <v>33000</v>
      </c>
      <c r="H214">
        <v>0</v>
      </c>
      <c r="I214">
        <v>33000</v>
      </c>
      <c r="J214">
        <v>-33000</v>
      </c>
    </row>
    <row r="215" spans="1:10">
      <c r="A215" t="s">
        <v>188</v>
      </c>
      <c r="B215" t="s">
        <v>465</v>
      </c>
      <c r="C215">
        <v>0</v>
      </c>
      <c r="D215">
        <v>0.21999999999999997</v>
      </c>
      <c r="E215">
        <v>0</v>
      </c>
      <c r="F215">
        <v>0.21999999999999997</v>
      </c>
      <c r="G215">
        <v>62744.98</v>
      </c>
      <c r="H215">
        <v>-5289.4299999999994</v>
      </c>
      <c r="I215">
        <v>57455.55</v>
      </c>
      <c r="J215">
        <v>-57455.329999999994</v>
      </c>
    </row>
    <row r="216" spans="1:10">
      <c r="A216" t="s">
        <v>213</v>
      </c>
      <c r="B216" t="s">
        <v>54</v>
      </c>
      <c r="C216">
        <v>0</v>
      </c>
      <c r="D216">
        <v>0</v>
      </c>
      <c r="E216">
        <v>0</v>
      </c>
      <c r="F216">
        <v>0</v>
      </c>
      <c r="G216">
        <v>3.51</v>
      </c>
      <c r="H216">
        <v>0</v>
      </c>
      <c r="I216">
        <v>3.51</v>
      </c>
      <c r="J216">
        <v>-3.51</v>
      </c>
    </row>
    <row r="217" spans="1:10">
      <c r="A217" t="s">
        <v>346</v>
      </c>
      <c r="B217" t="s">
        <v>1103</v>
      </c>
      <c r="C217">
        <v>0</v>
      </c>
      <c r="D217">
        <v>0</v>
      </c>
      <c r="E217">
        <v>0</v>
      </c>
      <c r="F217">
        <v>0</v>
      </c>
      <c r="G217">
        <v>2.5</v>
      </c>
      <c r="H217">
        <v>0</v>
      </c>
      <c r="I217">
        <v>2.5</v>
      </c>
      <c r="J217">
        <v>-2.5</v>
      </c>
    </row>
    <row r="218" spans="1:10">
      <c r="A218" t="s">
        <v>359</v>
      </c>
      <c r="B218" t="s">
        <v>20</v>
      </c>
      <c r="C218">
        <v>0</v>
      </c>
      <c r="D218">
        <v>194.55</v>
      </c>
      <c r="E218">
        <v>0</v>
      </c>
      <c r="F218">
        <v>194.55</v>
      </c>
      <c r="G218">
        <v>17387.41</v>
      </c>
      <c r="H218">
        <v>-11927.08</v>
      </c>
      <c r="I218">
        <v>5460.33</v>
      </c>
      <c r="J218">
        <v>-5265.78</v>
      </c>
    </row>
    <row r="219" spans="1:10">
      <c r="A219" t="s">
        <v>1006</v>
      </c>
      <c r="B219" t="s">
        <v>772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</row>
  </sheetData>
  <sheetProtection sheet="1"/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50"/>
  <sheetViews>
    <sheetView workbookViewId="0"/>
  </sheetViews>
  <sheetFormatPr defaultRowHeight="15"/>
  <cols>
    <col min="1" max="1" width="6.42578125" customWidth="1"/>
    <col min="2" max="2" width="43.85546875" customWidth="1"/>
    <col min="3" max="3" width="9.85546875" customWidth="1"/>
    <col min="4" max="4" width="11.28515625" customWidth="1"/>
    <col min="5" max="5" width="11.85546875" customWidth="1"/>
    <col min="6" max="6" width="10.28515625" customWidth="1"/>
    <col min="7" max="7" width="11.28515625" customWidth="1"/>
    <col min="8" max="8" width="11.85546875" customWidth="1"/>
    <col min="9" max="9" width="10.28515625" customWidth="1"/>
    <col min="10" max="10" width="10.85546875" customWidth="1"/>
  </cols>
  <sheetData>
    <row r="1" spans="1:10">
      <c r="A1" t="s">
        <v>1237</v>
      </c>
      <c r="B1" t="s">
        <v>554</v>
      </c>
      <c r="C1" t="s">
        <v>97</v>
      </c>
      <c r="D1" t="s">
        <v>366</v>
      </c>
      <c r="E1" t="s">
        <v>860</v>
      </c>
      <c r="F1" t="s">
        <v>1094</v>
      </c>
      <c r="G1" t="s">
        <v>1113</v>
      </c>
      <c r="H1" t="s">
        <v>480</v>
      </c>
      <c r="I1" t="s">
        <v>122</v>
      </c>
      <c r="J1" t="s">
        <v>654</v>
      </c>
    </row>
    <row r="2" spans="1:10">
      <c r="A2" t="s">
        <v>327</v>
      </c>
      <c r="B2" t="s">
        <v>624</v>
      </c>
      <c r="C2">
        <v>14149.9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14149.9</v>
      </c>
    </row>
    <row r="3" spans="1:10">
      <c r="A3" t="s">
        <v>112</v>
      </c>
      <c r="B3" t="s">
        <v>1238</v>
      </c>
      <c r="C3">
        <v>249500.71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249500.71</v>
      </c>
    </row>
    <row r="4" spans="1:10">
      <c r="A4" t="s">
        <v>1257</v>
      </c>
      <c r="B4" t="s">
        <v>162</v>
      </c>
      <c r="C4">
        <v>122216.9</v>
      </c>
      <c r="D4">
        <v>0</v>
      </c>
      <c r="E4">
        <v>0</v>
      </c>
      <c r="F4">
        <v>0</v>
      </c>
      <c r="G4">
        <v>5510.19</v>
      </c>
      <c r="H4">
        <v>0</v>
      </c>
      <c r="I4">
        <v>5510.19</v>
      </c>
      <c r="J4">
        <v>116706.71</v>
      </c>
    </row>
    <row r="5" spans="1:10">
      <c r="A5" t="s">
        <v>492</v>
      </c>
      <c r="B5" t="s">
        <v>2</v>
      </c>
      <c r="C5">
        <v>38705.919999999998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38705.919999999998</v>
      </c>
    </row>
    <row r="6" spans="1:10">
      <c r="A6" t="s">
        <v>1138</v>
      </c>
      <c r="B6" t="s">
        <v>1112</v>
      </c>
      <c r="C6">
        <v>12920.05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12920.05</v>
      </c>
    </row>
    <row r="7" spans="1:10">
      <c r="A7" t="s">
        <v>329</v>
      </c>
      <c r="B7" t="s">
        <v>297</v>
      </c>
      <c r="C7">
        <v>22585.679999999997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22585.679999999997</v>
      </c>
    </row>
    <row r="8" spans="1:10">
      <c r="A8" t="s">
        <v>1219</v>
      </c>
      <c r="B8" t="s">
        <v>319</v>
      </c>
      <c r="C8">
        <v>26094.969999999998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26094.969999999998</v>
      </c>
    </row>
    <row r="9" spans="1:10">
      <c r="A9" t="s">
        <v>632</v>
      </c>
      <c r="B9" t="s">
        <v>1299</v>
      </c>
      <c r="C9">
        <v>27915.629999999997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27915.629999999997</v>
      </c>
    </row>
    <row r="10" spans="1:10">
      <c r="A10" t="s">
        <v>1024</v>
      </c>
      <c r="B10" t="s">
        <v>727</v>
      </c>
      <c r="C10">
        <v>21202.35</v>
      </c>
      <c r="D10">
        <v>0</v>
      </c>
      <c r="E10">
        <v>0</v>
      </c>
      <c r="F10">
        <v>0</v>
      </c>
      <c r="G10">
        <v>21202.35</v>
      </c>
      <c r="H10">
        <v>0</v>
      </c>
      <c r="I10">
        <v>21202.35</v>
      </c>
      <c r="J10">
        <v>0</v>
      </c>
    </row>
    <row r="11" spans="1:10">
      <c r="A11" t="s">
        <v>391</v>
      </c>
      <c r="B11" t="s">
        <v>73</v>
      </c>
      <c r="C11">
        <v>11551.48</v>
      </c>
      <c r="D11">
        <v>0</v>
      </c>
      <c r="E11">
        <v>0</v>
      </c>
      <c r="F11">
        <v>0</v>
      </c>
      <c r="G11">
        <v>11551.48</v>
      </c>
      <c r="H11">
        <v>0</v>
      </c>
      <c r="I11">
        <v>11551.48</v>
      </c>
      <c r="J11">
        <v>0</v>
      </c>
    </row>
    <row r="12" spans="1:10">
      <c r="A12" t="s">
        <v>991</v>
      </c>
      <c r="B12" t="s">
        <v>1111</v>
      </c>
      <c r="C12">
        <v>11846.58</v>
      </c>
      <c r="D12">
        <v>0</v>
      </c>
      <c r="E12">
        <v>0</v>
      </c>
      <c r="F12">
        <v>0</v>
      </c>
      <c r="G12">
        <v>11846.58</v>
      </c>
      <c r="H12">
        <v>0</v>
      </c>
      <c r="I12">
        <v>11846.58</v>
      </c>
      <c r="J12">
        <v>0</v>
      </c>
    </row>
    <row r="13" spans="1:10">
      <c r="A13" t="s">
        <v>421</v>
      </c>
      <c r="B13" t="s">
        <v>950</v>
      </c>
      <c r="C13">
        <v>27119.25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27119.25</v>
      </c>
    </row>
    <row r="14" spans="1:10">
      <c r="A14" t="s">
        <v>925</v>
      </c>
      <c r="B14" t="s">
        <v>269</v>
      </c>
      <c r="C14">
        <v>26722.12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26722.12</v>
      </c>
    </row>
    <row r="15" spans="1:10">
      <c r="A15" t="s">
        <v>161</v>
      </c>
      <c r="B15" t="s">
        <v>1196</v>
      </c>
      <c r="C15">
        <v>96672.54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96672.54</v>
      </c>
    </row>
    <row r="16" spans="1:10">
      <c r="A16" t="s">
        <v>804</v>
      </c>
      <c r="B16" t="s">
        <v>118</v>
      </c>
      <c r="C16">
        <v>24818.959999999999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24818.959999999999</v>
      </c>
    </row>
    <row r="17" spans="1:10">
      <c r="A17" t="s">
        <v>4</v>
      </c>
      <c r="B17" t="s">
        <v>405</v>
      </c>
      <c r="C17">
        <v>24799.109999999997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24799.109999999997</v>
      </c>
    </row>
    <row r="18" spans="1:10">
      <c r="A18" t="s">
        <v>861</v>
      </c>
      <c r="B18" t="s">
        <v>733</v>
      </c>
      <c r="C18">
        <v>26989.83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26989.83</v>
      </c>
    </row>
    <row r="19" spans="1:10">
      <c r="A19" t="s">
        <v>264</v>
      </c>
      <c r="B19" t="s">
        <v>1303</v>
      </c>
      <c r="C19">
        <v>28477.279999999999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28477.279999999999</v>
      </c>
    </row>
    <row r="20" spans="1:10">
      <c r="A20" t="s">
        <v>691</v>
      </c>
      <c r="B20" t="s">
        <v>1266</v>
      </c>
      <c r="C20">
        <v>22984.609999999997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22984.609999999997</v>
      </c>
    </row>
    <row r="21" spans="1:10">
      <c r="A21" t="s">
        <v>39</v>
      </c>
      <c r="B21" t="s">
        <v>462</v>
      </c>
      <c r="C21">
        <v>28697.4</v>
      </c>
      <c r="D21">
        <v>0</v>
      </c>
      <c r="E21">
        <v>0</v>
      </c>
      <c r="F21">
        <v>0</v>
      </c>
      <c r="G21">
        <v>28697.4</v>
      </c>
      <c r="H21">
        <v>0</v>
      </c>
      <c r="I21">
        <v>28697.4</v>
      </c>
      <c r="J21">
        <v>0</v>
      </c>
    </row>
    <row r="22" spans="1:10">
      <c r="A22" t="s">
        <v>663</v>
      </c>
      <c r="B22" t="s">
        <v>849</v>
      </c>
      <c r="C22">
        <v>11249.25</v>
      </c>
      <c r="D22">
        <v>0</v>
      </c>
      <c r="E22">
        <v>0</v>
      </c>
      <c r="F22">
        <v>0</v>
      </c>
      <c r="G22">
        <v>11249.25</v>
      </c>
      <c r="H22">
        <v>0</v>
      </c>
      <c r="I22">
        <v>11249.25</v>
      </c>
      <c r="J22">
        <v>0</v>
      </c>
    </row>
    <row r="23" spans="1:10">
      <c r="A23" t="s">
        <v>84</v>
      </c>
      <c r="B23" t="s">
        <v>1336</v>
      </c>
      <c r="C23">
        <v>132520.22999999998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132520.22999999998</v>
      </c>
    </row>
    <row r="24" spans="1:10">
      <c r="A24" t="s">
        <v>548</v>
      </c>
      <c r="B24" t="s">
        <v>1048</v>
      </c>
      <c r="C24">
        <v>25008.539999999997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25008.539999999997</v>
      </c>
    </row>
    <row r="25" spans="1:10">
      <c r="A25" t="s">
        <v>1191</v>
      </c>
      <c r="B25" t="s">
        <v>93</v>
      </c>
      <c r="C25">
        <v>28531.51</v>
      </c>
      <c r="D25">
        <v>0</v>
      </c>
      <c r="E25">
        <v>0</v>
      </c>
      <c r="F25">
        <v>0</v>
      </c>
      <c r="G25">
        <v>28531.51</v>
      </c>
      <c r="H25">
        <v>0</v>
      </c>
      <c r="I25">
        <v>28531.51</v>
      </c>
      <c r="J25">
        <v>0</v>
      </c>
    </row>
    <row r="26" spans="1:10">
      <c r="A26" t="s">
        <v>446</v>
      </c>
      <c r="B26" t="s">
        <v>246</v>
      </c>
      <c r="C26">
        <v>27387.96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27387.96</v>
      </c>
    </row>
    <row r="27" spans="1:10">
      <c r="A27" t="s">
        <v>1037</v>
      </c>
      <c r="B27" t="s">
        <v>175</v>
      </c>
      <c r="C27">
        <v>19319.259999999998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19319.259999999998</v>
      </c>
    </row>
    <row r="28" spans="1:10">
      <c r="A28" t="s">
        <v>519</v>
      </c>
      <c r="B28" t="s">
        <v>715</v>
      </c>
      <c r="C28">
        <v>25964.379999999997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25964.379999999997</v>
      </c>
    </row>
    <row r="29" spans="1:10">
      <c r="A29" t="s">
        <v>1322</v>
      </c>
      <c r="B29" t="s">
        <v>497</v>
      </c>
      <c r="C29">
        <v>36015.379999999997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36015.379999999997</v>
      </c>
    </row>
    <row r="30" spans="1:10">
      <c r="A30" t="s">
        <v>305</v>
      </c>
      <c r="B30" t="s">
        <v>357</v>
      </c>
      <c r="C30">
        <v>126228.62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126228.62</v>
      </c>
    </row>
    <row r="31" spans="1:10">
      <c r="A31" t="s">
        <v>1075</v>
      </c>
      <c r="B31" t="s">
        <v>1209</v>
      </c>
      <c r="C31">
        <v>26267.179999999997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26267.179999999997</v>
      </c>
    </row>
    <row r="32" spans="1:10">
      <c r="A32" t="s">
        <v>291</v>
      </c>
      <c r="B32" t="s">
        <v>287</v>
      </c>
      <c r="C32">
        <v>19721.009999999998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19721.009999999998</v>
      </c>
    </row>
    <row r="33" spans="1:10">
      <c r="A33" t="s">
        <v>1082</v>
      </c>
      <c r="B33" t="s">
        <v>367</v>
      </c>
      <c r="C33">
        <v>127086.95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127086.95</v>
      </c>
    </row>
    <row r="34" spans="1:10">
      <c r="A34" t="s">
        <v>223</v>
      </c>
      <c r="B34" t="s">
        <v>1123</v>
      </c>
      <c r="C34">
        <v>18623.429999999997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18623.429999999997</v>
      </c>
    </row>
    <row r="35" spans="1:10">
      <c r="A35" t="s">
        <v>1263</v>
      </c>
      <c r="B35" t="s">
        <v>406</v>
      </c>
      <c r="C35">
        <v>4469.53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4469.53</v>
      </c>
    </row>
    <row r="36" spans="1:10">
      <c r="A36" t="s">
        <v>893</v>
      </c>
      <c r="B36" t="s">
        <v>1198</v>
      </c>
      <c r="C36">
        <v>288395.40999999997</v>
      </c>
      <c r="D36">
        <v>403000</v>
      </c>
      <c r="E36">
        <v>0</v>
      </c>
      <c r="F36">
        <v>403000</v>
      </c>
      <c r="G36">
        <v>42952.929999999993</v>
      </c>
      <c r="H36">
        <v>0</v>
      </c>
      <c r="I36">
        <v>42952.929999999993</v>
      </c>
      <c r="J36">
        <v>648442.48</v>
      </c>
    </row>
    <row r="37" spans="1:10">
      <c r="A37" t="s">
        <v>398</v>
      </c>
      <c r="B37" t="s">
        <v>840</v>
      </c>
      <c r="C37">
        <v>2207.3799999999997</v>
      </c>
      <c r="D37">
        <v>403000</v>
      </c>
      <c r="E37">
        <v>0</v>
      </c>
      <c r="F37">
        <v>403000</v>
      </c>
      <c r="G37">
        <v>403000</v>
      </c>
      <c r="H37">
        <v>0</v>
      </c>
      <c r="I37">
        <v>403000</v>
      </c>
      <c r="J37">
        <v>2207.3799999999997</v>
      </c>
    </row>
    <row r="38" spans="1:10">
      <c r="A38" t="s">
        <v>1199</v>
      </c>
      <c r="B38" t="s">
        <v>920</v>
      </c>
      <c r="C38">
        <v>-14149.9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-14149.9</v>
      </c>
    </row>
    <row r="39" spans="1:10">
      <c r="A39" t="s">
        <v>969</v>
      </c>
      <c r="B39" t="s">
        <v>1304</v>
      </c>
      <c r="C39">
        <v>-51907.87</v>
      </c>
      <c r="D39">
        <v>0</v>
      </c>
      <c r="E39">
        <v>0</v>
      </c>
      <c r="F39">
        <v>0</v>
      </c>
      <c r="G39">
        <v>12741</v>
      </c>
      <c r="H39">
        <v>0</v>
      </c>
      <c r="I39">
        <v>12741</v>
      </c>
      <c r="J39">
        <v>-64648.87</v>
      </c>
    </row>
    <row r="40" spans="1:10">
      <c r="A40" t="s">
        <v>407</v>
      </c>
      <c r="B40" t="s">
        <v>549</v>
      </c>
      <c r="C40">
        <v>-87105.68</v>
      </c>
      <c r="D40">
        <v>5510.19</v>
      </c>
      <c r="E40">
        <v>0</v>
      </c>
      <c r="F40">
        <v>5510.19</v>
      </c>
      <c r="G40">
        <v>12728.62</v>
      </c>
      <c r="H40">
        <v>0</v>
      </c>
      <c r="I40">
        <v>12728.62</v>
      </c>
      <c r="J40">
        <v>-94324.109999999986</v>
      </c>
    </row>
    <row r="41" spans="1:10">
      <c r="A41" t="s">
        <v>1011</v>
      </c>
      <c r="B41" t="s">
        <v>2</v>
      </c>
      <c r="C41">
        <v>-38705.919999999998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-38705.919999999998</v>
      </c>
    </row>
    <row r="42" spans="1:10">
      <c r="A42" t="s">
        <v>647</v>
      </c>
      <c r="B42" t="s">
        <v>1004</v>
      </c>
      <c r="C42">
        <v>-12920.05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-12920.05</v>
      </c>
    </row>
    <row r="43" spans="1:10">
      <c r="A43" t="s">
        <v>1210</v>
      </c>
      <c r="B43" t="s">
        <v>297</v>
      </c>
      <c r="C43">
        <v>-22585.679999999997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-22585.679999999997</v>
      </c>
    </row>
    <row r="44" spans="1:10">
      <c r="A44" t="s">
        <v>352</v>
      </c>
      <c r="B44" t="s">
        <v>319</v>
      </c>
      <c r="C44">
        <v>-26094.969999999998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-26094.969999999998</v>
      </c>
    </row>
    <row r="45" spans="1:10">
      <c r="A45" t="s">
        <v>1124</v>
      </c>
      <c r="B45" t="s">
        <v>1299</v>
      </c>
      <c r="C45">
        <v>-27915.629999999997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-27915.629999999997</v>
      </c>
    </row>
    <row r="46" spans="1:10">
      <c r="A46" t="s">
        <v>502</v>
      </c>
      <c r="B46" t="s">
        <v>727</v>
      </c>
      <c r="C46">
        <v>-21202.35</v>
      </c>
      <c r="D46">
        <v>21202.35</v>
      </c>
      <c r="E46">
        <v>0</v>
      </c>
      <c r="F46">
        <v>21202.35</v>
      </c>
      <c r="G46">
        <v>0</v>
      </c>
      <c r="H46">
        <v>0</v>
      </c>
      <c r="I46">
        <v>0</v>
      </c>
      <c r="J46">
        <v>0</v>
      </c>
    </row>
    <row r="47" spans="1:10">
      <c r="A47" t="s">
        <v>1247</v>
      </c>
      <c r="B47" t="s">
        <v>73</v>
      </c>
      <c r="C47">
        <v>-11551.48</v>
      </c>
      <c r="D47">
        <v>11551.48</v>
      </c>
      <c r="E47">
        <v>0</v>
      </c>
      <c r="F47">
        <v>11551.48</v>
      </c>
      <c r="G47">
        <v>0</v>
      </c>
      <c r="H47">
        <v>0</v>
      </c>
      <c r="I47">
        <v>0</v>
      </c>
      <c r="J47">
        <v>0</v>
      </c>
    </row>
    <row r="48" spans="1:10">
      <c r="A48" t="s">
        <v>476</v>
      </c>
      <c r="B48" t="s">
        <v>1111</v>
      </c>
      <c r="C48">
        <v>-11846.58</v>
      </c>
      <c r="D48">
        <v>11846.58</v>
      </c>
      <c r="E48">
        <v>0</v>
      </c>
      <c r="F48">
        <v>11846.58</v>
      </c>
      <c r="G48">
        <v>0</v>
      </c>
      <c r="H48">
        <v>0</v>
      </c>
      <c r="I48">
        <v>0</v>
      </c>
      <c r="J48">
        <v>0</v>
      </c>
    </row>
    <row r="49" spans="1:10">
      <c r="A49" t="s">
        <v>1284</v>
      </c>
      <c r="B49" t="s">
        <v>950</v>
      </c>
      <c r="C49">
        <v>-25989.58</v>
      </c>
      <c r="D49">
        <v>0</v>
      </c>
      <c r="E49">
        <v>0</v>
      </c>
      <c r="F49">
        <v>0</v>
      </c>
      <c r="G49">
        <v>1129.6699999999998</v>
      </c>
      <c r="H49">
        <v>0</v>
      </c>
      <c r="I49">
        <v>1129.6699999999998</v>
      </c>
      <c r="J49">
        <v>-27119.25</v>
      </c>
    </row>
    <row r="50" spans="1:10">
      <c r="A50" t="s">
        <v>50</v>
      </c>
      <c r="B50" t="s">
        <v>782</v>
      </c>
      <c r="C50">
        <v>-23939.24</v>
      </c>
      <c r="D50">
        <v>0</v>
      </c>
      <c r="E50">
        <v>0</v>
      </c>
      <c r="F50">
        <v>0</v>
      </c>
      <c r="G50">
        <v>2782.87</v>
      </c>
      <c r="H50">
        <v>0</v>
      </c>
      <c r="I50">
        <v>2782.87</v>
      </c>
      <c r="J50">
        <v>-26722.109999999997</v>
      </c>
    </row>
    <row r="51" spans="1:10">
      <c r="A51" t="s">
        <v>673</v>
      </c>
      <c r="B51" t="s">
        <v>1196</v>
      </c>
      <c r="C51">
        <v>-86602.71</v>
      </c>
      <c r="D51">
        <v>0</v>
      </c>
      <c r="E51">
        <v>0</v>
      </c>
      <c r="F51">
        <v>0</v>
      </c>
      <c r="G51">
        <v>10069.839999999998</v>
      </c>
      <c r="H51">
        <v>0</v>
      </c>
      <c r="I51">
        <v>10069.839999999998</v>
      </c>
      <c r="J51">
        <v>-96672.549999999988</v>
      </c>
    </row>
    <row r="52" spans="1:10">
      <c r="A52" t="s">
        <v>275</v>
      </c>
      <c r="B52" t="s">
        <v>118</v>
      </c>
      <c r="C52">
        <v>-24818.959999999999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-24818.959999999999</v>
      </c>
    </row>
    <row r="53" spans="1:10">
      <c r="A53" t="s">
        <v>846</v>
      </c>
      <c r="B53" t="s">
        <v>405</v>
      </c>
      <c r="C53">
        <v>-24799.109999999997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-24799.109999999997</v>
      </c>
    </row>
    <row r="54" spans="1:10">
      <c r="A54" t="s">
        <v>18</v>
      </c>
      <c r="B54" t="s">
        <v>325</v>
      </c>
      <c r="C54">
        <v>-22492.269999999997</v>
      </c>
      <c r="D54">
        <v>0</v>
      </c>
      <c r="E54">
        <v>0</v>
      </c>
      <c r="F54">
        <v>0</v>
      </c>
      <c r="G54">
        <v>4497.5599999999995</v>
      </c>
      <c r="H54">
        <v>0</v>
      </c>
      <c r="I54">
        <v>4497.5599999999995</v>
      </c>
      <c r="J54">
        <v>-26989.83</v>
      </c>
    </row>
    <row r="55" spans="1:10">
      <c r="A55" t="s">
        <v>797</v>
      </c>
      <c r="B55" t="s">
        <v>1303</v>
      </c>
      <c r="C55">
        <v>-23138.85</v>
      </c>
      <c r="D55">
        <v>0</v>
      </c>
      <c r="E55">
        <v>0</v>
      </c>
      <c r="F55">
        <v>0</v>
      </c>
      <c r="G55">
        <v>5338.4299999999994</v>
      </c>
      <c r="H55">
        <v>0</v>
      </c>
      <c r="I55">
        <v>5338.4299999999994</v>
      </c>
      <c r="J55">
        <v>-28477.279999999999</v>
      </c>
    </row>
    <row r="56" spans="1:10">
      <c r="A56" t="s">
        <v>174</v>
      </c>
      <c r="B56" t="s">
        <v>1266</v>
      </c>
      <c r="C56">
        <v>-19633.25</v>
      </c>
      <c r="D56">
        <v>0</v>
      </c>
      <c r="E56">
        <v>0</v>
      </c>
      <c r="F56">
        <v>0</v>
      </c>
      <c r="G56">
        <v>3351.37</v>
      </c>
      <c r="H56">
        <v>0</v>
      </c>
      <c r="I56">
        <v>3351.37</v>
      </c>
      <c r="J56">
        <v>-22984.62</v>
      </c>
    </row>
    <row r="57" spans="1:10">
      <c r="A57" t="s">
        <v>915</v>
      </c>
      <c r="B57" t="s">
        <v>106</v>
      </c>
      <c r="C57">
        <v>-28697.4</v>
      </c>
      <c r="D57">
        <v>28697.4</v>
      </c>
      <c r="E57">
        <v>0</v>
      </c>
      <c r="F57">
        <v>28697.4</v>
      </c>
      <c r="G57">
        <v>0</v>
      </c>
      <c r="H57">
        <v>0</v>
      </c>
      <c r="I57">
        <v>0</v>
      </c>
      <c r="J57">
        <v>0</v>
      </c>
    </row>
    <row r="58" spans="1:10">
      <c r="A58" t="s">
        <v>141</v>
      </c>
      <c r="B58" t="s">
        <v>1234</v>
      </c>
      <c r="C58">
        <v>-10937.519999999999</v>
      </c>
      <c r="D58">
        <v>11249.25</v>
      </c>
      <c r="E58">
        <v>0</v>
      </c>
      <c r="F58">
        <v>11249.25</v>
      </c>
      <c r="G58">
        <v>312.39</v>
      </c>
      <c r="H58">
        <v>0</v>
      </c>
      <c r="I58">
        <v>312.39</v>
      </c>
      <c r="J58">
        <v>-0.65999999999999992</v>
      </c>
    </row>
    <row r="59" spans="1:10">
      <c r="A59" t="s">
        <v>940</v>
      </c>
      <c r="B59" t="s">
        <v>1336</v>
      </c>
      <c r="C59">
        <v>-91107.99</v>
      </c>
      <c r="D59">
        <v>0</v>
      </c>
      <c r="E59">
        <v>0</v>
      </c>
      <c r="F59">
        <v>0</v>
      </c>
      <c r="G59">
        <v>33130</v>
      </c>
      <c r="H59">
        <v>0</v>
      </c>
      <c r="I59">
        <v>33130</v>
      </c>
      <c r="J59">
        <v>-124237.99</v>
      </c>
    </row>
    <row r="60" spans="1:10">
      <c r="A60" t="s">
        <v>1067</v>
      </c>
      <c r="B60" t="s">
        <v>194</v>
      </c>
      <c r="C60">
        <v>-16152.22</v>
      </c>
      <c r="D60">
        <v>0</v>
      </c>
      <c r="E60">
        <v>0</v>
      </c>
      <c r="F60">
        <v>0</v>
      </c>
      <c r="G60">
        <v>6253</v>
      </c>
      <c r="H60">
        <v>0</v>
      </c>
      <c r="I60">
        <v>6253</v>
      </c>
      <c r="J60">
        <v>-22405.219999999998</v>
      </c>
    </row>
    <row r="61" spans="1:10">
      <c r="A61" t="s">
        <v>322</v>
      </c>
      <c r="B61" t="s">
        <v>1192</v>
      </c>
      <c r="C61">
        <v>-23777.109999999997</v>
      </c>
      <c r="D61">
        <v>28531.51</v>
      </c>
      <c r="E61">
        <v>0</v>
      </c>
      <c r="F61">
        <v>28531.51</v>
      </c>
      <c r="G61">
        <v>4754.3999999999996</v>
      </c>
      <c r="H61">
        <v>0</v>
      </c>
      <c r="I61">
        <v>4754.3999999999996</v>
      </c>
      <c r="J61">
        <v>0</v>
      </c>
    </row>
    <row r="62" spans="1:10">
      <c r="A62" t="s">
        <v>1313</v>
      </c>
      <c r="B62" t="s">
        <v>246</v>
      </c>
      <c r="C62">
        <v>-16547.149999999998</v>
      </c>
      <c r="D62">
        <v>0</v>
      </c>
      <c r="E62">
        <v>0</v>
      </c>
      <c r="F62">
        <v>0</v>
      </c>
      <c r="G62">
        <v>6847</v>
      </c>
      <c r="H62">
        <v>0</v>
      </c>
      <c r="I62">
        <v>6847</v>
      </c>
      <c r="J62">
        <v>-23394.15</v>
      </c>
    </row>
    <row r="63" spans="1:10">
      <c r="A63" t="s">
        <v>530</v>
      </c>
      <c r="B63" t="s">
        <v>175</v>
      </c>
      <c r="C63">
        <v>-10867.57</v>
      </c>
      <c r="D63">
        <v>0</v>
      </c>
      <c r="E63">
        <v>0</v>
      </c>
      <c r="F63">
        <v>0</v>
      </c>
      <c r="G63">
        <v>4830</v>
      </c>
      <c r="H63">
        <v>0</v>
      </c>
      <c r="I63">
        <v>4830</v>
      </c>
      <c r="J63">
        <v>-15697.57</v>
      </c>
    </row>
    <row r="64" spans="1:10">
      <c r="A64" t="s">
        <v>1025</v>
      </c>
      <c r="B64" t="s">
        <v>619</v>
      </c>
      <c r="C64">
        <v>-14605.91</v>
      </c>
      <c r="D64">
        <v>0</v>
      </c>
      <c r="E64">
        <v>0</v>
      </c>
      <c r="F64">
        <v>0</v>
      </c>
      <c r="G64">
        <v>6492</v>
      </c>
      <c r="H64">
        <v>0</v>
      </c>
      <c r="I64">
        <v>6492</v>
      </c>
      <c r="J64">
        <v>-21097.91</v>
      </c>
    </row>
    <row r="65" spans="1:10">
      <c r="A65" t="s">
        <v>454</v>
      </c>
      <c r="B65" t="s">
        <v>312</v>
      </c>
      <c r="C65">
        <v>-22010.32</v>
      </c>
      <c r="D65">
        <v>0</v>
      </c>
      <c r="E65">
        <v>0</v>
      </c>
      <c r="F65">
        <v>0</v>
      </c>
      <c r="G65">
        <v>12006</v>
      </c>
      <c r="H65">
        <v>0</v>
      </c>
      <c r="I65">
        <v>12006</v>
      </c>
      <c r="J65">
        <v>-34016.32</v>
      </c>
    </row>
    <row r="66" spans="1:10">
      <c r="A66" t="s">
        <v>1175</v>
      </c>
      <c r="B66" t="s">
        <v>396</v>
      </c>
      <c r="C66">
        <v>-44180.480000000003</v>
      </c>
      <c r="D66">
        <v>0</v>
      </c>
      <c r="E66">
        <v>0</v>
      </c>
      <c r="F66">
        <v>0</v>
      </c>
      <c r="G66">
        <v>25246</v>
      </c>
      <c r="H66">
        <v>0</v>
      </c>
      <c r="I66">
        <v>25246</v>
      </c>
      <c r="J66">
        <v>-69426.48</v>
      </c>
    </row>
    <row r="67" spans="1:10">
      <c r="A67" t="s">
        <v>568</v>
      </c>
      <c r="B67" t="s">
        <v>1005</v>
      </c>
      <c r="C67">
        <v>-10944.88</v>
      </c>
      <c r="D67">
        <v>0</v>
      </c>
      <c r="E67">
        <v>0</v>
      </c>
      <c r="F67">
        <v>0</v>
      </c>
      <c r="G67">
        <v>6567</v>
      </c>
      <c r="H67">
        <v>0</v>
      </c>
      <c r="I67">
        <v>6567</v>
      </c>
      <c r="J67">
        <v>-17511.879999999997</v>
      </c>
    </row>
    <row r="68" spans="1:10">
      <c r="A68" t="s">
        <v>1169</v>
      </c>
      <c r="B68" t="s">
        <v>1294</v>
      </c>
      <c r="C68">
        <v>-7396.25</v>
      </c>
      <c r="D68">
        <v>0</v>
      </c>
      <c r="E68">
        <v>0</v>
      </c>
      <c r="F68">
        <v>0</v>
      </c>
      <c r="G68">
        <v>4931</v>
      </c>
      <c r="H68">
        <v>0</v>
      </c>
      <c r="I68">
        <v>4931</v>
      </c>
      <c r="J68">
        <v>-12327.25</v>
      </c>
    </row>
    <row r="69" spans="1:10">
      <c r="A69" t="s">
        <v>581</v>
      </c>
      <c r="B69" t="s">
        <v>301</v>
      </c>
      <c r="C69">
        <v>-38126.82</v>
      </c>
      <c r="D69">
        <v>0</v>
      </c>
      <c r="E69">
        <v>0</v>
      </c>
      <c r="F69">
        <v>0</v>
      </c>
      <c r="G69">
        <v>25418</v>
      </c>
      <c r="H69">
        <v>0</v>
      </c>
      <c r="I69">
        <v>25418</v>
      </c>
      <c r="J69">
        <v>-63544.82</v>
      </c>
    </row>
    <row r="70" spans="1:10">
      <c r="A70" t="s">
        <v>739</v>
      </c>
      <c r="B70" t="s">
        <v>1123</v>
      </c>
      <c r="C70">
        <v>-6984.02</v>
      </c>
      <c r="D70">
        <v>0</v>
      </c>
      <c r="E70">
        <v>0</v>
      </c>
      <c r="F70">
        <v>0</v>
      </c>
      <c r="G70">
        <v>4656</v>
      </c>
      <c r="H70">
        <v>0</v>
      </c>
      <c r="I70">
        <v>4656</v>
      </c>
      <c r="J70">
        <v>-11640.019999999999</v>
      </c>
    </row>
    <row r="71" spans="1:10">
      <c r="A71" t="s">
        <v>400</v>
      </c>
      <c r="B71" t="s">
        <v>377</v>
      </c>
      <c r="C71">
        <v>-4469.53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-4469.53</v>
      </c>
    </row>
    <row r="72" spans="1:10">
      <c r="A72" t="s">
        <v>6</v>
      </c>
      <c r="B72" t="s">
        <v>734</v>
      </c>
      <c r="C72">
        <v>0</v>
      </c>
      <c r="D72">
        <v>1628467.0799999998</v>
      </c>
      <c r="E72">
        <v>-60917.46</v>
      </c>
      <c r="F72">
        <v>1567549.62</v>
      </c>
      <c r="G72">
        <v>1581842.98</v>
      </c>
      <c r="H72">
        <v>-14293.359999999999</v>
      </c>
      <c r="I72">
        <v>1567549.62</v>
      </c>
      <c r="J72">
        <v>0</v>
      </c>
    </row>
    <row r="73" spans="1:10">
      <c r="A73" t="s">
        <v>805</v>
      </c>
      <c r="B73" t="s">
        <v>963</v>
      </c>
      <c r="C73">
        <v>0</v>
      </c>
      <c r="D73">
        <v>480062.76999999996</v>
      </c>
      <c r="E73">
        <v>-16141.22</v>
      </c>
      <c r="F73">
        <v>463921.55</v>
      </c>
      <c r="G73">
        <v>471851.87</v>
      </c>
      <c r="H73">
        <v>-7930.32</v>
      </c>
      <c r="I73">
        <v>463921.55</v>
      </c>
      <c r="J73">
        <v>0</v>
      </c>
    </row>
    <row r="74" spans="1:10">
      <c r="A74" t="s">
        <v>160</v>
      </c>
      <c r="B74" t="s">
        <v>3</v>
      </c>
      <c r="C74">
        <v>0</v>
      </c>
      <c r="D74">
        <v>257218.58</v>
      </c>
      <c r="E74">
        <v>-6717.5499999999993</v>
      </c>
      <c r="F74">
        <v>250501.03</v>
      </c>
      <c r="G74">
        <v>254599.78999999998</v>
      </c>
      <c r="H74">
        <v>-4098.7599999999993</v>
      </c>
      <c r="I74">
        <v>250501.03</v>
      </c>
      <c r="J74">
        <v>0</v>
      </c>
    </row>
    <row r="75" spans="1:10">
      <c r="A75" t="s">
        <v>926</v>
      </c>
      <c r="B75" t="s">
        <v>36</v>
      </c>
      <c r="C75">
        <v>0</v>
      </c>
      <c r="D75">
        <v>215064.15</v>
      </c>
      <c r="E75">
        <v>-13270.49</v>
      </c>
      <c r="F75">
        <v>201793.65999999997</v>
      </c>
      <c r="G75">
        <v>209280.03999999998</v>
      </c>
      <c r="H75">
        <v>-7486.3799999999992</v>
      </c>
      <c r="I75">
        <v>201793.65999999997</v>
      </c>
      <c r="J75">
        <v>0</v>
      </c>
    </row>
    <row r="76" spans="1:10">
      <c r="A76" t="s">
        <v>37</v>
      </c>
      <c r="B76" t="s">
        <v>633</v>
      </c>
      <c r="C76">
        <v>0</v>
      </c>
      <c r="D76">
        <v>315959.71999999997</v>
      </c>
      <c r="E76">
        <v>-13032.859999999999</v>
      </c>
      <c r="F76">
        <v>302926.86</v>
      </c>
      <c r="G76">
        <v>309207.43</v>
      </c>
      <c r="H76">
        <v>-6280.57</v>
      </c>
      <c r="I76">
        <v>302926.86</v>
      </c>
      <c r="J76">
        <v>0</v>
      </c>
    </row>
    <row r="77" spans="1:10">
      <c r="A77" t="s">
        <v>688</v>
      </c>
      <c r="B77" t="s">
        <v>800</v>
      </c>
      <c r="C77">
        <v>0</v>
      </c>
      <c r="D77">
        <v>12066867.189999999</v>
      </c>
      <c r="E77">
        <v>-11707340.35</v>
      </c>
      <c r="F77">
        <v>359526.84</v>
      </c>
      <c r="G77">
        <v>12057966.219999999</v>
      </c>
      <c r="H77">
        <v>-11698439.379999999</v>
      </c>
      <c r="I77">
        <v>359526.84</v>
      </c>
      <c r="J77">
        <v>0</v>
      </c>
    </row>
    <row r="78" spans="1:10">
      <c r="A78" t="s">
        <v>265</v>
      </c>
      <c r="B78" t="s">
        <v>901</v>
      </c>
      <c r="C78">
        <v>0</v>
      </c>
      <c r="D78">
        <v>373068.99</v>
      </c>
      <c r="E78">
        <v>-24461.65</v>
      </c>
      <c r="F78">
        <v>348607.34</v>
      </c>
      <c r="G78">
        <v>368181.31</v>
      </c>
      <c r="H78">
        <v>-19573.969999999998</v>
      </c>
      <c r="I78">
        <v>348607.34</v>
      </c>
      <c r="J78">
        <v>0</v>
      </c>
    </row>
    <row r="79" spans="1:10">
      <c r="A79" t="s">
        <v>864</v>
      </c>
      <c r="B79" t="s">
        <v>979</v>
      </c>
      <c r="C79">
        <v>0</v>
      </c>
      <c r="D79">
        <v>163042.03999999998</v>
      </c>
      <c r="E79">
        <v>-6774.61</v>
      </c>
      <c r="F79">
        <v>156267.43</v>
      </c>
      <c r="G79">
        <v>156393.69999999998</v>
      </c>
      <c r="H79">
        <v>-126.27</v>
      </c>
      <c r="I79">
        <v>156267.43</v>
      </c>
      <c r="J79">
        <v>0</v>
      </c>
    </row>
    <row r="80" spans="1:10">
      <c r="A80" t="s">
        <v>276</v>
      </c>
      <c r="B80" t="s">
        <v>690</v>
      </c>
      <c r="C80">
        <v>0</v>
      </c>
      <c r="D80">
        <v>10088.56</v>
      </c>
      <c r="E80">
        <v>-967.83</v>
      </c>
      <c r="F80">
        <v>9120.73</v>
      </c>
      <c r="G80">
        <v>9120.73</v>
      </c>
      <c r="H80">
        <v>0</v>
      </c>
      <c r="I80">
        <v>9120.73</v>
      </c>
      <c r="J80">
        <v>0</v>
      </c>
    </row>
    <row r="81" spans="1:10">
      <c r="A81" t="s">
        <v>1201</v>
      </c>
      <c r="B81" t="s">
        <v>914</v>
      </c>
      <c r="C81">
        <v>319455.27999999997</v>
      </c>
      <c r="D81">
        <v>1802317.13</v>
      </c>
      <c r="E81">
        <v>-17474.179999999997</v>
      </c>
      <c r="F81">
        <v>1784842.95</v>
      </c>
      <c r="G81">
        <v>1952343.88</v>
      </c>
      <c r="H81">
        <v>-103026.65</v>
      </c>
      <c r="I81">
        <v>1849317.23</v>
      </c>
      <c r="J81">
        <v>254981</v>
      </c>
    </row>
    <row r="82" spans="1:10">
      <c r="A82" t="s">
        <v>562</v>
      </c>
      <c r="B82" t="s">
        <v>66</v>
      </c>
      <c r="C82">
        <v>87557.68</v>
      </c>
      <c r="D82">
        <v>580820.91999999993</v>
      </c>
      <c r="E82">
        <v>-9436.66</v>
      </c>
      <c r="F82">
        <v>571384.25999999989</v>
      </c>
      <c r="G82">
        <v>643403.47</v>
      </c>
      <c r="H82">
        <v>-36037.609999999993</v>
      </c>
      <c r="I82">
        <v>607365.86</v>
      </c>
      <c r="J82">
        <v>51576.079999999994</v>
      </c>
    </row>
    <row r="83" spans="1:10">
      <c r="A83" t="s">
        <v>1044</v>
      </c>
      <c r="B83" t="s">
        <v>132</v>
      </c>
      <c r="C83">
        <v>28609.039999999997</v>
      </c>
      <c r="D83">
        <v>474779.85</v>
      </c>
      <c r="E83">
        <v>-9458.64</v>
      </c>
      <c r="F83">
        <v>465321.21</v>
      </c>
      <c r="G83">
        <v>502692.26999999996</v>
      </c>
      <c r="H83">
        <v>-29003.179999999997</v>
      </c>
      <c r="I83">
        <v>473689.09</v>
      </c>
      <c r="J83">
        <v>20241.16</v>
      </c>
    </row>
    <row r="84" spans="1:10">
      <c r="A84" t="s">
        <v>453</v>
      </c>
      <c r="B84" t="s">
        <v>1360</v>
      </c>
      <c r="C84">
        <v>48666.32</v>
      </c>
      <c r="D84">
        <v>319414.68999999994</v>
      </c>
      <c r="E84">
        <v>-7986.5899999999992</v>
      </c>
      <c r="F84">
        <v>311428.09999999998</v>
      </c>
      <c r="G84">
        <v>367876.22</v>
      </c>
      <c r="H84">
        <v>-33181.57</v>
      </c>
      <c r="I84">
        <v>334694.64999999997</v>
      </c>
      <c r="J84">
        <v>25399.769999999997</v>
      </c>
    </row>
    <row r="85" spans="1:10">
      <c r="A85" t="s">
        <v>1320</v>
      </c>
      <c r="B85" t="s">
        <v>740</v>
      </c>
      <c r="C85">
        <v>64833.96</v>
      </c>
      <c r="D85">
        <v>477741.00999999995</v>
      </c>
      <c r="E85">
        <v>-11402.23</v>
      </c>
      <c r="F85">
        <v>466338.78</v>
      </c>
      <c r="G85">
        <v>562736.44999999995</v>
      </c>
      <c r="H85">
        <v>-55463.46</v>
      </c>
      <c r="I85">
        <v>507272.99</v>
      </c>
      <c r="J85">
        <v>23899.75</v>
      </c>
    </row>
    <row r="86" spans="1:10">
      <c r="A86" t="s">
        <v>511</v>
      </c>
      <c r="B86" t="s">
        <v>1131</v>
      </c>
      <c r="C86">
        <v>63115.99</v>
      </c>
      <c r="D86">
        <v>12314538.879999999</v>
      </c>
      <c r="E86">
        <v>-11700110.079999998</v>
      </c>
      <c r="F86">
        <v>614428.79999999993</v>
      </c>
      <c r="G86">
        <v>675195.71</v>
      </c>
      <c r="H86">
        <v>-44423.27</v>
      </c>
      <c r="I86">
        <v>630772.43999999994</v>
      </c>
      <c r="J86">
        <v>46772.35</v>
      </c>
    </row>
    <row r="87" spans="1:10">
      <c r="A87" t="s">
        <v>1070</v>
      </c>
      <c r="B87" t="s">
        <v>752</v>
      </c>
      <c r="C87">
        <v>16176.45</v>
      </c>
      <c r="D87">
        <v>507635.71</v>
      </c>
      <c r="E87">
        <v>-26363.41</v>
      </c>
      <c r="F87">
        <v>481272.3</v>
      </c>
      <c r="G87">
        <v>495952.28</v>
      </c>
      <c r="H87">
        <v>-35390.6</v>
      </c>
      <c r="I87">
        <v>460561.68</v>
      </c>
      <c r="J87">
        <v>36887.07</v>
      </c>
    </row>
    <row r="88" spans="1:10">
      <c r="A88" t="s">
        <v>303</v>
      </c>
      <c r="B88" t="s">
        <v>219</v>
      </c>
      <c r="C88">
        <v>12581.24</v>
      </c>
      <c r="D88">
        <v>219573.02</v>
      </c>
      <c r="E88">
        <v>-562.63</v>
      </c>
      <c r="F88">
        <v>219010.39</v>
      </c>
      <c r="G88">
        <v>247220.12999999998</v>
      </c>
      <c r="H88">
        <v>-15628.5</v>
      </c>
      <c r="I88">
        <v>231591.62999999998</v>
      </c>
      <c r="J88">
        <v>0</v>
      </c>
    </row>
    <row r="89" spans="1:10">
      <c r="A89" t="s">
        <v>1065</v>
      </c>
      <c r="B89" t="s">
        <v>531</v>
      </c>
      <c r="C89">
        <v>-4225.1099999999997</v>
      </c>
      <c r="D89">
        <v>261930.27</v>
      </c>
      <c r="E89">
        <v>-3125.79</v>
      </c>
      <c r="F89">
        <v>258804.48000000001</v>
      </c>
      <c r="G89">
        <v>277736.53999999998</v>
      </c>
      <c r="H89">
        <v>0</v>
      </c>
      <c r="I89">
        <v>277736.53999999998</v>
      </c>
      <c r="J89">
        <v>-23157.17</v>
      </c>
    </row>
    <row r="90" spans="1:10">
      <c r="A90" t="s">
        <v>315</v>
      </c>
      <c r="B90" t="s">
        <v>591</v>
      </c>
      <c r="C90">
        <v>-3860.54</v>
      </c>
      <c r="D90">
        <v>76805.599999999991</v>
      </c>
      <c r="E90">
        <v>-2061.0499999999997</v>
      </c>
      <c r="F90">
        <v>74744.549999999988</v>
      </c>
      <c r="G90">
        <v>74762.969999999987</v>
      </c>
      <c r="H90">
        <v>0</v>
      </c>
      <c r="I90">
        <v>74762.969999999987</v>
      </c>
      <c r="J90">
        <v>-3878.9599999999996</v>
      </c>
    </row>
    <row r="91" spans="1:10">
      <c r="A91" t="s">
        <v>1309</v>
      </c>
      <c r="B91" t="s">
        <v>836</v>
      </c>
      <c r="C91">
        <v>-4859.3599999999997</v>
      </c>
      <c r="D91">
        <v>37322.839999999997</v>
      </c>
      <c r="E91">
        <v>-4556.4699999999993</v>
      </c>
      <c r="F91">
        <v>32766.37</v>
      </c>
      <c r="G91">
        <v>28963.629999999997</v>
      </c>
      <c r="H91">
        <v>0</v>
      </c>
      <c r="I91">
        <v>28963.629999999997</v>
      </c>
      <c r="J91">
        <v>-1056.6199999999999</v>
      </c>
    </row>
    <row r="92" spans="1:10">
      <c r="A92" t="s">
        <v>525</v>
      </c>
      <c r="B92" t="s">
        <v>970</v>
      </c>
      <c r="C92">
        <v>4004.2</v>
      </c>
      <c r="D92">
        <v>28276.679999999997</v>
      </c>
      <c r="E92">
        <v>-228.14999999999998</v>
      </c>
      <c r="F92">
        <v>28048.53</v>
      </c>
      <c r="G92">
        <v>33213.35</v>
      </c>
      <c r="H92">
        <v>0</v>
      </c>
      <c r="I92">
        <v>33213.35</v>
      </c>
      <c r="J92">
        <v>-1160.6199999999999</v>
      </c>
    </row>
    <row r="93" spans="1:10">
      <c r="A93" t="s">
        <v>1033</v>
      </c>
      <c r="B93" t="s">
        <v>1038</v>
      </c>
      <c r="C93">
        <v>3121.8799999999997</v>
      </c>
      <c r="D93">
        <v>38400.699999999997</v>
      </c>
      <c r="E93">
        <v>-1243.9799999999998</v>
      </c>
      <c r="F93">
        <v>37156.719999999994</v>
      </c>
      <c r="G93">
        <v>41479.329999999994</v>
      </c>
      <c r="H93">
        <v>0</v>
      </c>
      <c r="I93">
        <v>41479.329999999994</v>
      </c>
      <c r="J93">
        <v>-1200.7299999999998</v>
      </c>
    </row>
    <row r="94" spans="1:10">
      <c r="A94" t="s">
        <v>459</v>
      </c>
      <c r="B94" t="s">
        <v>30</v>
      </c>
      <c r="C94">
        <v>-1859.32</v>
      </c>
      <c r="D94">
        <v>53137.78</v>
      </c>
      <c r="E94">
        <v>-399.01</v>
      </c>
      <c r="F94">
        <v>52738.77</v>
      </c>
      <c r="G94">
        <v>53754.81</v>
      </c>
      <c r="H94">
        <v>0</v>
      </c>
      <c r="I94">
        <v>53754.81</v>
      </c>
      <c r="J94">
        <v>-2875.3599999999997</v>
      </c>
    </row>
    <row r="95" spans="1:10">
      <c r="A95" t="s">
        <v>1183</v>
      </c>
      <c r="B95" t="s">
        <v>683</v>
      </c>
      <c r="C95">
        <v>-530.25</v>
      </c>
      <c r="D95">
        <v>58035.92</v>
      </c>
      <c r="E95">
        <v>-2055.2799999999997</v>
      </c>
      <c r="F95">
        <v>55980.639999999999</v>
      </c>
      <c r="G95">
        <v>58538.77</v>
      </c>
      <c r="H95">
        <v>0</v>
      </c>
      <c r="I95">
        <v>58538.77</v>
      </c>
      <c r="J95">
        <v>-3088.3799999999997</v>
      </c>
    </row>
    <row r="96" spans="1:10">
      <c r="A96" t="s">
        <v>573</v>
      </c>
      <c r="B96" t="s">
        <v>152</v>
      </c>
      <c r="C96">
        <v>6505.77</v>
      </c>
      <c r="D96">
        <v>20581.379999999997</v>
      </c>
      <c r="E96">
        <v>-202.45</v>
      </c>
      <c r="F96">
        <v>20378.929999999997</v>
      </c>
      <c r="G96">
        <v>25676.75</v>
      </c>
      <c r="H96">
        <v>0</v>
      </c>
      <c r="I96">
        <v>25676.75</v>
      </c>
      <c r="J96">
        <v>1207.9499999999998</v>
      </c>
    </row>
    <row r="97" spans="1:10">
      <c r="A97" t="s">
        <v>1022</v>
      </c>
      <c r="B97" t="s">
        <v>218</v>
      </c>
      <c r="C97">
        <v>238688.9</v>
      </c>
      <c r="D97">
        <v>815986.19</v>
      </c>
      <c r="E97">
        <v>-5475.1</v>
      </c>
      <c r="F97">
        <v>810511.09</v>
      </c>
      <c r="G97">
        <v>599626.80999999994</v>
      </c>
      <c r="H97">
        <v>0</v>
      </c>
      <c r="I97">
        <v>599626.80999999994</v>
      </c>
      <c r="J97">
        <v>449573.18</v>
      </c>
    </row>
    <row r="98" spans="1:10">
      <c r="A98" t="s">
        <v>389</v>
      </c>
      <c r="B98" t="s">
        <v>506</v>
      </c>
      <c r="C98">
        <v>769.76</v>
      </c>
      <c r="D98">
        <v>296712.88999999996</v>
      </c>
      <c r="E98">
        <v>-392</v>
      </c>
      <c r="F98">
        <v>296320.88999999996</v>
      </c>
      <c r="G98">
        <v>296720.62999999995</v>
      </c>
      <c r="H98">
        <v>0</v>
      </c>
      <c r="I98">
        <v>296720.62999999995</v>
      </c>
      <c r="J98">
        <v>370.02</v>
      </c>
    </row>
    <row r="99" spans="1:10">
      <c r="A99" t="s">
        <v>1220</v>
      </c>
      <c r="B99" t="s">
        <v>1132</v>
      </c>
      <c r="C99">
        <v>166.33</v>
      </c>
      <c r="D99">
        <v>318400.61</v>
      </c>
      <c r="E99">
        <v>-7442.9599999999991</v>
      </c>
      <c r="F99">
        <v>310957.64999999997</v>
      </c>
      <c r="G99">
        <v>310108.71999999997</v>
      </c>
      <c r="H99">
        <v>0</v>
      </c>
      <c r="I99">
        <v>310108.71999999997</v>
      </c>
      <c r="J99">
        <v>1015.26</v>
      </c>
    </row>
    <row r="100" spans="1:10">
      <c r="A100" t="s">
        <v>628</v>
      </c>
      <c r="B100" t="s">
        <v>1012</v>
      </c>
      <c r="C100">
        <v>106.63</v>
      </c>
      <c r="D100">
        <v>110052.65</v>
      </c>
      <c r="E100">
        <v>-152.5</v>
      </c>
      <c r="F100">
        <v>109900.15</v>
      </c>
      <c r="G100">
        <v>109740.57</v>
      </c>
      <c r="H100">
        <v>0</v>
      </c>
      <c r="I100">
        <v>109740.57</v>
      </c>
      <c r="J100">
        <v>266.20999999999998</v>
      </c>
    </row>
    <row r="101" spans="1:10">
      <c r="A101" t="s">
        <v>1139</v>
      </c>
      <c r="B101" t="s">
        <v>447</v>
      </c>
      <c r="C101">
        <v>110.69999999999999</v>
      </c>
      <c r="D101">
        <v>212075.87</v>
      </c>
      <c r="E101">
        <v>-395.04999999999995</v>
      </c>
      <c r="F101">
        <v>211680.81999999998</v>
      </c>
      <c r="G101">
        <v>208111.02</v>
      </c>
      <c r="H101">
        <v>0</v>
      </c>
      <c r="I101">
        <v>208111.02</v>
      </c>
      <c r="J101">
        <v>3680.5</v>
      </c>
    </row>
    <row r="102" spans="1:10">
      <c r="A102" t="s">
        <v>338</v>
      </c>
      <c r="B102" t="s">
        <v>123</v>
      </c>
      <c r="C102">
        <v>1567.4799999999998</v>
      </c>
      <c r="D102">
        <v>346233.34</v>
      </c>
      <c r="E102">
        <v>-7724.35</v>
      </c>
      <c r="F102">
        <v>338508.99</v>
      </c>
      <c r="G102">
        <v>339773.6</v>
      </c>
      <c r="H102">
        <v>0</v>
      </c>
      <c r="I102">
        <v>339773.6</v>
      </c>
      <c r="J102">
        <v>302.86999999999995</v>
      </c>
    </row>
    <row r="103" spans="1:10">
      <c r="A103" t="s">
        <v>1258</v>
      </c>
      <c r="B103" t="s">
        <v>1239</v>
      </c>
      <c r="C103">
        <v>41.239999999999995</v>
      </c>
      <c r="D103">
        <v>123722.62999999999</v>
      </c>
      <c r="E103">
        <v>-27631.65</v>
      </c>
      <c r="F103">
        <v>96090.98</v>
      </c>
      <c r="G103">
        <v>95308.49</v>
      </c>
      <c r="H103">
        <v>0</v>
      </c>
      <c r="I103">
        <v>95308.49</v>
      </c>
      <c r="J103">
        <v>823.7299999999999</v>
      </c>
    </row>
    <row r="104" spans="1:10">
      <c r="A104" t="s">
        <v>493</v>
      </c>
      <c r="B104" t="s">
        <v>1107</v>
      </c>
      <c r="C104">
        <v>128.66999999999999</v>
      </c>
      <c r="D104">
        <v>28519.64</v>
      </c>
      <c r="E104">
        <v>-1500</v>
      </c>
      <c r="F104">
        <v>27019.64</v>
      </c>
      <c r="G104">
        <v>27148.31</v>
      </c>
      <c r="H104">
        <v>0</v>
      </c>
      <c r="I104">
        <v>27148.31</v>
      </c>
      <c r="J104">
        <v>0</v>
      </c>
    </row>
    <row r="105" spans="1:10">
      <c r="A105" t="s">
        <v>1245</v>
      </c>
      <c r="B105" t="s">
        <v>408</v>
      </c>
      <c r="C105">
        <v>844.28</v>
      </c>
      <c r="D105">
        <v>125440.76999999999</v>
      </c>
      <c r="E105">
        <v>-14245.189999999999</v>
      </c>
      <c r="F105">
        <v>111195.57999999999</v>
      </c>
      <c r="G105">
        <v>108920.79</v>
      </c>
      <c r="H105">
        <v>0</v>
      </c>
      <c r="I105">
        <v>108920.79</v>
      </c>
      <c r="J105">
        <v>3119.07</v>
      </c>
    </row>
    <row r="106" spans="1:10">
      <c r="A106" t="s">
        <v>501</v>
      </c>
      <c r="B106" t="s">
        <v>741</v>
      </c>
      <c r="C106">
        <v>714.3599999999999</v>
      </c>
      <c r="D106">
        <v>494887.22</v>
      </c>
      <c r="E106">
        <v>-5095.8999999999996</v>
      </c>
      <c r="F106">
        <v>489791.31999999995</v>
      </c>
      <c r="G106">
        <v>490505.68</v>
      </c>
      <c r="H106">
        <v>0</v>
      </c>
      <c r="I106">
        <v>490505.68</v>
      </c>
      <c r="J106">
        <v>0</v>
      </c>
    </row>
    <row r="107" spans="1:10">
      <c r="A107" t="s">
        <v>283</v>
      </c>
      <c r="B107" t="s">
        <v>1251</v>
      </c>
      <c r="C107">
        <v>0</v>
      </c>
      <c r="D107">
        <v>45035.35</v>
      </c>
      <c r="E107">
        <v>-1304.56</v>
      </c>
      <c r="F107">
        <v>43730.789999999994</v>
      </c>
      <c r="G107">
        <v>43730.789999999994</v>
      </c>
      <c r="H107">
        <v>0</v>
      </c>
      <c r="I107">
        <v>43730.789999999994</v>
      </c>
      <c r="J107">
        <v>0</v>
      </c>
    </row>
    <row r="108" spans="1:10">
      <c r="A108" t="s">
        <v>677</v>
      </c>
      <c r="B108" t="s">
        <v>180</v>
      </c>
      <c r="C108">
        <v>0</v>
      </c>
      <c r="D108">
        <v>53336.439999999995</v>
      </c>
      <c r="E108">
        <v>-668.96999999999991</v>
      </c>
      <c r="F108">
        <v>52667.469999999994</v>
      </c>
      <c r="G108">
        <v>52667.469999999994</v>
      </c>
      <c r="H108">
        <v>0</v>
      </c>
      <c r="I108">
        <v>52667.469999999994</v>
      </c>
      <c r="J108">
        <v>0</v>
      </c>
    </row>
    <row r="109" spans="1:10">
      <c r="A109" t="s">
        <v>55</v>
      </c>
      <c r="B109" t="s">
        <v>1057</v>
      </c>
      <c r="C109">
        <v>0</v>
      </c>
      <c r="D109">
        <v>14169.3</v>
      </c>
      <c r="E109">
        <v>-400.83</v>
      </c>
      <c r="F109">
        <v>13768.47</v>
      </c>
      <c r="G109">
        <v>13768.47</v>
      </c>
      <c r="H109">
        <v>0</v>
      </c>
      <c r="I109">
        <v>13768.47</v>
      </c>
      <c r="J109">
        <v>0</v>
      </c>
    </row>
    <row r="110" spans="1:10">
      <c r="A110" t="s">
        <v>908</v>
      </c>
      <c r="B110" t="s">
        <v>847</v>
      </c>
      <c r="C110">
        <v>0</v>
      </c>
      <c r="D110">
        <v>17260.439999999999</v>
      </c>
      <c r="E110">
        <v>-574.01</v>
      </c>
      <c r="F110">
        <v>16686.429999999997</v>
      </c>
      <c r="G110">
        <v>16686.429999999997</v>
      </c>
      <c r="H110">
        <v>0</v>
      </c>
      <c r="I110">
        <v>16686.429999999997</v>
      </c>
      <c r="J110">
        <v>0</v>
      </c>
    </row>
    <row r="111" spans="1:10">
      <c r="A111" t="s">
        <v>170</v>
      </c>
      <c r="B111" t="s">
        <v>718</v>
      </c>
      <c r="C111">
        <v>0</v>
      </c>
      <c r="D111">
        <v>89298.68</v>
      </c>
      <c r="E111">
        <v>-2059.33</v>
      </c>
      <c r="F111">
        <v>87239.35</v>
      </c>
      <c r="G111">
        <v>87239.35</v>
      </c>
      <c r="H111">
        <v>0</v>
      </c>
      <c r="I111">
        <v>87239.35</v>
      </c>
      <c r="J111">
        <v>0</v>
      </c>
    </row>
    <row r="112" spans="1:10">
      <c r="A112" t="s">
        <v>791</v>
      </c>
      <c r="B112" t="s">
        <v>526</v>
      </c>
      <c r="C112">
        <v>0</v>
      </c>
      <c r="D112">
        <v>20858.839999999997</v>
      </c>
      <c r="E112">
        <v>-544.30999999999995</v>
      </c>
      <c r="F112">
        <v>20314.53</v>
      </c>
      <c r="G112">
        <v>20314.53</v>
      </c>
      <c r="H112">
        <v>0</v>
      </c>
      <c r="I112">
        <v>20314.53</v>
      </c>
      <c r="J112">
        <v>0</v>
      </c>
    </row>
    <row r="113" spans="1:10">
      <c r="A113" t="s">
        <v>16</v>
      </c>
      <c r="B113" t="s">
        <v>1171</v>
      </c>
      <c r="C113">
        <v>0</v>
      </c>
      <c r="D113">
        <v>7159.45</v>
      </c>
      <c r="E113">
        <v>-85.22999999999999</v>
      </c>
      <c r="F113">
        <v>7074.2199999999993</v>
      </c>
      <c r="G113">
        <v>7074.2199999999993</v>
      </c>
      <c r="H113">
        <v>0</v>
      </c>
      <c r="I113">
        <v>7074.2199999999993</v>
      </c>
      <c r="J113">
        <v>0</v>
      </c>
    </row>
    <row r="114" spans="1:10">
      <c r="A114" t="s">
        <v>971</v>
      </c>
      <c r="B114" t="s">
        <v>128</v>
      </c>
      <c r="C114">
        <v>0</v>
      </c>
      <c r="D114">
        <v>63099.25</v>
      </c>
      <c r="E114">
        <v>-2594.2199999999998</v>
      </c>
      <c r="F114">
        <v>60505.03</v>
      </c>
      <c r="G114">
        <v>69272.95</v>
      </c>
      <c r="H114">
        <v>-8767.9199999999983</v>
      </c>
      <c r="I114">
        <v>60505.03</v>
      </c>
      <c r="J114">
        <v>0</v>
      </c>
    </row>
    <row r="115" spans="1:10">
      <c r="A115" t="s">
        <v>1361</v>
      </c>
      <c r="B115" t="s">
        <v>1125</v>
      </c>
      <c r="C115">
        <v>0</v>
      </c>
      <c r="D115">
        <v>231588.27</v>
      </c>
      <c r="E115">
        <v>-8317.3499999999985</v>
      </c>
      <c r="F115">
        <v>223270.92</v>
      </c>
      <c r="G115">
        <v>223570.92</v>
      </c>
      <c r="H115">
        <v>-300</v>
      </c>
      <c r="I115">
        <v>223270.92</v>
      </c>
      <c r="J115">
        <v>0</v>
      </c>
    </row>
    <row r="116" spans="1:10">
      <c r="A116" t="s">
        <v>362</v>
      </c>
      <c r="B116" t="s">
        <v>270</v>
      </c>
      <c r="C116">
        <v>1542.9799999999998</v>
      </c>
      <c r="D116">
        <v>24343.919999999998</v>
      </c>
      <c r="E116">
        <v>0</v>
      </c>
      <c r="F116">
        <v>24343.919999999998</v>
      </c>
      <c r="G116">
        <v>25158.1</v>
      </c>
      <c r="H116">
        <v>0</v>
      </c>
      <c r="I116">
        <v>25158.1</v>
      </c>
      <c r="J116">
        <v>728.8</v>
      </c>
    </row>
    <row r="117" spans="1:10">
      <c r="A117" t="s">
        <v>80</v>
      </c>
      <c r="B117" t="s">
        <v>1362</v>
      </c>
      <c r="C117">
        <v>-314399.64999999997</v>
      </c>
      <c r="D117">
        <v>3437121.3299999996</v>
      </c>
      <c r="E117">
        <v>0</v>
      </c>
      <c r="F117">
        <v>3437121.3299999996</v>
      </c>
      <c r="G117">
        <v>3429545.09</v>
      </c>
      <c r="H117">
        <v>0</v>
      </c>
      <c r="I117">
        <v>3429545.09</v>
      </c>
      <c r="J117">
        <v>-306823.40999999997</v>
      </c>
    </row>
    <row r="118" spans="1:10">
      <c r="A118" t="s">
        <v>661</v>
      </c>
      <c r="B118" t="s">
        <v>848</v>
      </c>
      <c r="C118">
        <v>-74759.839999999997</v>
      </c>
      <c r="D118">
        <v>186721.46999999997</v>
      </c>
      <c r="E118">
        <v>0</v>
      </c>
      <c r="F118">
        <v>186721.46999999997</v>
      </c>
      <c r="G118">
        <v>111955.57999999999</v>
      </c>
      <c r="H118">
        <v>0</v>
      </c>
      <c r="I118">
        <v>111955.57999999999</v>
      </c>
      <c r="J118">
        <v>6.05</v>
      </c>
    </row>
    <row r="119" spans="1:10">
      <c r="A119" t="s">
        <v>260</v>
      </c>
      <c r="B119" t="s">
        <v>390</v>
      </c>
      <c r="C119">
        <v>3452.37</v>
      </c>
      <c r="D119">
        <v>560961.94999999995</v>
      </c>
      <c r="E119">
        <v>0</v>
      </c>
      <c r="F119">
        <v>560961.94999999995</v>
      </c>
      <c r="G119">
        <v>550117.19999999995</v>
      </c>
      <c r="H119">
        <v>0</v>
      </c>
      <c r="I119">
        <v>550117.19999999995</v>
      </c>
      <c r="J119">
        <v>14297.12</v>
      </c>
    </row>
    <row r="120" spans="1:10">
      <c r="A120" t="s">
        <v>897</v>
      </c>
      <c r="B120" t="s">
        <v>1288</v>
      </c>
      <c r="C120">
        <v>9.1</v>
      </c>
      <c r="D120">
        <v>280445.27999999997</v>
      </c>
      <c r="E120">
        <v>0</v>
      </c>
      <c r="F120">
        <v>280445.27999999997</v>
      </c>
      <c r="G120">
        <v>280154.64999999997</v>
      </c>
      <c r="H120">
        <v>0</v>
      </c>
      <c r="I120">
        <v>280154.64999999997</v>
      </c>
      <c r="J120">
        <v>299.72999999999996</v>
      </c>
    </row>
    <row r="121" spans="1:10">
      <c r="A121" t="s">
        <v>26</v>
      </c>
      <c r="B121" t="s">
        <v>233</v>
      </c>
      <c r="C121">
        <v>-365890.13999999996</v>
      </c>
      <c r="D121">
        <v>630826.78999999992</v>
      </c>
      <c r="E121">
        <v>0</v>
      </c>
      <c r="F121">
        <v>630826.78999999992</v>
      </c>
      <c r="G121">
        <v>671007.66999999993</v>
      </c>
      <c r="H121">
        <v>0</v>
      </c>
      <c r="I121">
        <v>671007.66999999993</v>
      </c>
      <c r="J121">
        <v>-406071.01999999996</v>
      </c>
    </row>
    <row r="122" spans="1:10">
      <c r="A122" t="s">
        <v>1095</v>
      </c>
      <c r="B122" t="s">
        <v>771</v>
      </c>
      <c r="C122">
        <v>-145440.50999999998</v>
      </c>
      <c r="D122">
        <v>1168200.19</v>
      </c>
      <c r="E122">
        <v>0</v>
      </c>
      <c r="F122">
        <v>1168200.19</v>
      </c>
      <c r="G122">
        <v>1220288.8699999999</v>
      </c>
      <c r="H122">
        <v>0</v>
      </c>
      <c r="I122">
        <v>1220288.8699999999</v>
      </c>
      <c r="J122">
        <v>-197529.18999999997</v>
      </c>
    </row>
    <row r="123" spans="1:10">
      <c r="A123" t="s">
        <v>290</v>
      </c>
      <c r="B123" t="s">
        <v>1148</v>
      </c>
      <c r="C123">
        <v>0</v>
      </c>
      <c r="D123">
        <v>291681</v>
      </c>
      <c r="E123">
        <v>0</v>
      </c>
      <c r="F123">
        <v>291681</v>
      </c>
      <c r="G123">
        <v>291681</v>
      </c>
      <c r="H123">
        <v>0</v>
      </c>
      <c r="I123">
        <v>291681</v>
      </c>
      <c r="J123">
        <v>0</v>
      </c>
    </row>
    <row r="124" spans="1:10">
      <c r="A124" t="s">
        <v>1305</v>
      </c>
      <c r="B124" t="s">
        <v>313</v>
      </c>
      <c r="C124">
        <v>0</v>
      </c>
      <c r="D124">
        <v>306121.93</v>
      </c>
      <c r="E124">
        <v>0</v>
      </c>
      <c r="F124">
        <v>306121.93</v>
      </c>
      <c r="G124">
        <v>306721.93</v>
      </c>
      <c r="H124">
        <v>0</v>
      </c>
      <c r="I124">
        <v>306721.93</v>
      </c>
      <c r="J124">
        <v>-600</v>
      </c>
    </row>
    <row r="125" spans="1:10">
      <c r="A125" t="s">
        <v>536</v>
      </c>
      <c r="B125" t="s">
        <v>455</v>
      </c>
      <c r="C125">
        <v>0</v>
      </c>
      <c r="D125">
        <v>105400</v>
      </c>
      <c r="E125">
        <v>0</v>
      </c>
      <c r="F125">
        <v>105400</v>
      </c>
      <c r="G125">
        <v>105400</v>
      </c>
      <c r="H125">
        <v>0</v>
      </c>
      <c r="I125">
        <v>105400</v>
      </c>
      <c r="J125">
        <v>0</v>
      </c>
    </row>
    <row r="126" spans="1:10">
      <c r="A126" t="s">
        <v>1058</v>
      </c>
      <c r="B126" t="s">
        <v>546</v>
      </c>
      <c r="C126">
        <v>0</v>
      </c>
      <c r="D126">
        <v>196605.71</v>
      </c>
      <c r="E126">
        <v>0</v>
      </c>
      <c r="F126">
        <v>196605.71</v>
      </c>
      <c r="G126">
        <v>199805.71</v>
      </c>
      <c r="H126">
        <v>0</v>
      </c>
      <c r="I126">
        <v>199805.71</v>
      </c>
      <c r="J126">
        <v>-3200</v>
      </c>
    </row>
    <row r="127" spans="1:10">
      <c r="A127" t="s">
        <v>433</v>
      </c>
      <c r="B127" t="s">
        <v>59</v>
      </c>
      <c r="C127">
        <v>0</v>
      </c>
      <c r="D127">
        <v>331300.84999999998</v>
      </c>
      <c r="E127">
        <v>0</v>
      </c>
      <c r="F127">
        <v>331300.84999999998</v>
      </c>
      <c r="G127">
        <v>331300.84999999998</v>
      </c>
      <c r="H127">
        <v>0</v>
      </c>
      <c r="I127">
        <v>331300.84999999998</v>
      </c>
      <c r="J127">
        <v>0</v>
      </c>
    </row>
    <row r="128" spans="1:10">
      <c r="A128" t="s">
        <v>1164</v>
      </c>
      <c r="B128" t="s">
        <v>972</v>
      </c>
      <c r="C128">
        <v>0</v>
      </c>
      <c r="D128">
        <v>88100</v>
      </c>
      <c r="E128">
        <v>0</v>
      </c>
      <c r="F128">
        <v>88100</v>
      </c>
      <c r="G128">
        <v>88100</v>
      </c>
      <c r="H128">
        <v>0</v>
      </c>
      <c r="I128">
        <v>88100</v>
      </c>
      <c r="J128">
        <v>0</v>
      </c>
    </row>
    <row r="129" spans="1:10">
      <c r="A129" t="s">
        <v>579</v>
      </c>
      <c r="B129" t="s">
        <v>1133</v>
      </c>
      <c r="C129">
        <v>0</v>
      </c>
      <c r="D129">
        <v>29634.26</v>
      </c>
      <c r="E129">
        <v>0</v>
      </c>
      <c r="F129">
        <v>29634.26</v>
      </c>
      <c r="G129">
        <v>29634.26</v>
      </c>
      <c r="H129">
        <v>0</v>
      </c>
      <c r="I129">
        <v>29634.26</v>
      </c>
      <c r="J129">
        <v>0</v>
      </c>
    </row>
    <row r="130" spans="1:10">
      <c r="A130" t="s">
        <v>1155</v>
      </c>
      <c r="B130" t="s">
        <v>636</v>
      </c>
      <c r="C130">
        <v>0</v>
      </c>
      <c r="D130">
        <v>108331.53</v>
      </c>
      <c r="E130">
        <v>0</v>
      </c>
      <c r="F130">
        <v>108331.53</v>
      </c>
      <c r="G130">
        <v>108331.53</v>
      </c>
      <c r="H130">
        <v>0</v>
      </c>
      <c r="I130">
        <v>108331.53</v>
      </c>
      <c r="J130">
        <v>0</v>
      </c>
    </row>
    <row r="131" spans="1:10">
      <c r="A131" t="s">
        <v>585</v>
      </c>
      <c r="B131" t="s">
        <v>1023</v>
      </c>
      <c r="C131">
        <v>0</v>
      </c>
      <c r="D131">
        <v>468779.00999999995</v>
      </c>
      <c r="E131">
        <v>0</v>
      </c>
      <c r="F131">
        <v>468779.00999999995</v>
      </c>
      <c r="G131">
        <v>468779.00999999995</v>
      </c>
      <c r="H131">
        <v>0</v>
      </c>
      <c r="I131">
        <v>468779.00999999995</v>
      </c>
      <c r="J131">
        <v>0</v>
      </c>
    </row>
    <row r="132" spans="1:10">
      <c r="A132" t="s">
        <v>211</v>
      </c>
      <c r="B132" t="s">
        <v>306</v>
      </c>
      <c r="C132">
        <v>0</v>
      </c>
      <c r="D132">
        <v>37417.109999999993</v>
      </c>
      <c r="E132">
        <v>0</v>
      </c>
      <c r="F132">
        <v>37417.109999999993</v>
      </c>
      <c r="G132">
        <v>37417.109999999993</v>
      </c>
      <c r="H132">
        <v>0</v>
      </c>
      <c r="I132">
        <v>37417.109999999993</v>
      </c>
      <c r="J132">
        <v>0</v>
      </c>
    </row>
    <row r="133" spans="1:10">
      <c r="A133" t="s">
        <v>763</v>
      </c>
      <c r="B133" t="s">
        <v>792</v>
      </c>
      <c r="C133">
        <v>0</v>
      </c>
      <c r="D133">
        <v>52631.71</v>
      </c>
      <c r="E133">
        <v>0</v>
      </c>
      <c r="F133">
        <v>52631.71</v>
      </c>
      <c r="G133">
        <v>52631.71</v>
      </c>
      <c r="H133">
        <v>0</v>
      </c>
      <c r="I133">
        <v>52631.71</v>
      </c>
      <c r="J133">
        <v>0</v>
      </c>
    </row>
    <row r="134" spans="1:10">
      <c r="A134" t="s">
        <v>1342</v>
      </c>
      <c r="B134" t="s">
        <v>611</v>
      </c>
      <c r="C134">
        <v>0</v>
      </c>
      <c r="D134">
        <v>14901.33</v>
      </c>
      <c r="E134">
        <v>0</v>
      </c>
      <c r="F134">
        <v>14901.33</v>
      </c>
      <c r="G134">
        <v>14901.33</v>
      </c>
      <c r="H134">
        <v>0</v>
      </c>
      <c r="I134">
        <v>14901.33</v>
      </c>
      <c r="J134">
        <v>0</v>
      </c>
    </row>
    <row r="135" spans="1:10">
      <c r="A135" t="s">
        <v>810</v>
      </c>
      <c r="B135" t="s">
        <v>113</v>
      </c>
      <c r="C135">
        <v>0</v>
      </c>
      <c r="D135">
        <v>15502.06</v>
      </c>
      <c r="E135">
        <v>0</v>
      </c>
      <c r="F135">
        <v>15502.06</v>
      </c>
      <c r="G135">
        <v>15502.06</v>
      </c>
      <c r="H135">
        <v>0</v>
      </c>
      <c r="I135">
        <v>15502.06</v>
      </c>
      <c r="J135">
        <v>0</v>
      </c>
    </row>
    <row r="136" spans="1:10">
      <c r="A136" t="s">
        <v>241</v>
      </c>
      <c r="B136" t="s">
        <v>249</v>
      </c>
      <c r="C136">
        <v>0</v>
      </c>
      <c r="D136">
        <v>77382.75</v>
      </c>
      <c r="E136">
        <v>0</v>
      </c>
      <c r="F136">
        <v>77382.75</v>
      </c>
      <c r="G136">
        <v>77382.75</v>
      </c>
      <c r="H136">
        <v>0</v>
      </c>
      <c r="I136">
        <v>77382.75</v>
      </c>
      <c r="J136">
        <v>0</v>
      </c>
    </row>
    <row r="137" spans="1:10">
      <c r="A137" t="s">
        <v>719</v>
      </c>
      <c r="B137" t="s">
        <v>1140</v>
      </c>
      <c r="C137">
        <v>0</v>
      </c>
      <c r="D137">
        <v>20314.429999999997</v>
      </c>
      <c r="E137">
        <v>0</v>
      </c>
      <c r="F137">
        <v>20314.429999999997</v>
      </c>
      <c r="G137">
        <v>20314.429999999997</v>
      </c>
      <c r="H137">
        <v>0</v>
      </c>
      <c r="I137">
        <v>20314.429999999997</v>
      </c>
      <c r="J137">
        <v>0</v>
      </c>
    </row>
    <row r="138" spans="1:10">
      <c r="A138" t="s">
        <v>99</v>
      </c>
      <c r="B138" t="s">
        <v>207</v>
      </c>
      <c r="C138">
        <v>0</v>
      </c>
      <c r="D138">
        <v>5238.75</v>
      </c>
      <c r="E138">
        <v>0</v>
      </c>
      <c r="F138">
        <v>5238.75</v>
      </c>
      <c r="G138">
        <v>5238.75</v>
      </c>
      <c r="H138">
        <v>0</v>
      </c>
      <c r="I138">
        <v>5238.75</v>
      </c>
      <c r="J138">
        <v>0</v>
      </c>
    </row>
    <row r="139" spans="1:10">
      <c r="A139" t="s">
        <v>898</v>
      </c>
      <c r="B139" t="s">
        <v>277</v>
      </c>
      <c r="C139">
        <v>0</v>
      </c>
      <c r="D139">
        <v>63191.23</v>
      </c>
      <c r="E139">
        <v>-8767.9199999999983</v>
      </c>
      <c r="F139">
        <v>54423.31</v>
      </c>
      <c r="G139">
        <v>63191.23</v>
      </c>
      <c r="H139">
        <v>-8767.9199999999983</v>
      </c>
      <c r="I139">
        <v>54423.31</v>
      </c>
      <c r="J139">
        <v>0</v>
      </c>
    </row>
    <row r="140" spans="1:10">
      <c r="A140" t="s">
        <v>76</v>
      </c>
      <c r="B140" t="s">
        <v>1315</v>
      </c>
      <c r="C140">
        <v>0</v>
      </c>
      <c r="D140">
        <v>184132.17</v>
      </c>
      <c r="E140">
        <v>-300</v>
      </c>
      <c r="F140">
        <v>183832.17</v>
      </c>
      <c r="G140">
        <v>184132.17</v>
      </c>
      <c r="H140">
        <v>-300</v>
      </c>
      <c r="I140">
        <v>183832.17</v>
      </c>
      <c r="J140">
        <v>0</v>
      </c>
    </row>
    <row r="141" spans="1:10">
      <c r="A141" t="s">
        <v>481</v>
      </c>
      <c r="B141" t="s">
        <v>418</v>
      </c>
      <c r="C141">
        <v>161261.43999999997</v>
      </c>
      <c r="D141">
        <v>4601093.7699999996</v>
      </c>
      <c r="E141">
        <v>-429198.75</v>
      </c>
      <c r="F141">
        <v>4171895.0199999996</v>
      </c>
      <c r="G141">
        <v>4349277.18</v>
      </c>
      <c r="H141">
        <v>-115064.62</v>
      </c>
      <c r="I141">
        <v>4234212.5599999996</v>
      </c>
      <c r="J141">
        <v>98943.9</v>
      </c>
    </row>
    <row r="142" spans="1:10">
      <c r="A142" t="s">
        <v>383</v>
      </c>
      <c r="B142" t="s">
        <v>758</v>
      </c>
      <c r="C142">
        <v>-2039.29</v>
      </c>
      <c r="D142">
        <v>34306.159999999996</v>
      </c>
      <c r="E142">
        <v>0</v>
      </c>
      <c r="F142">
        <v>34306.159999999996</v>
      </c>
      <c r="G142">
        <v>32506.16</v>
      </c>
      <c r="H142">
        <v>0</v>
      </c>
      <c r="I142">
        <v>32506.16</v>
      </c>
      <c r="J142">
        <v>-239.29</v>
      </c>
    </row>
    <row r="143" spans="1:10">
      <c r="A143" t="s">
        <v>945</v>
      </c>
      <c r="B143" t="s">
        <v>956</v>
      </c>
      <c r="C143">
        <v>-14.159999999999998</v>
      </c>
      <c r="D143">
        <v>915.7399999999999</v>
      </c>
      <c r="E143">
        <v>0</v>
      </c>
      <c r="F143">
        <v>915.7399999999999</v>
      </c>
      <c r="G143">
        <v>2062.1499999999996</v>
      </c>
      <c r="H143">
        <v>0</v>
      </c>
      <c r="I143">
        <v>2062.1499999999996</v>
      </c>
      <c r="J143">
        <v>-1160.57</v>
      </c>
    </row>
    <row r="144" spans="1:10">
      <c r="A144" t="s">
        <v>237</v>
      </c>
      <c r="B144" t="s">
        <v>157</v>
      </c>
      <c r="C144">
        <v>-5003.1699999999992</v>
      </c>
      <c r="D144">
        <v>342749.91</v>
      </c>
      <c r="E144">
        <v>0</v>
      </c>
      <c r="F144">
        <v>342749.91</v>
      </c>
      <c r="G144">
        <v>68446.739999999991</v>
      </c>
      <c r="H144">
        <v>0</v>
      </c>
      <c r="I144">
        <v>68446.739999999991</v>
      </c>
      <c r="J144">
        <v>269300</v>
      </c>
    </row>
    <row r="145" spans="1:10">
      <c r="A145" t="s">
        <v>921</v>
      </c>
      <c r="B145" t="s">
        <v>678</v>
      </c>
      <c r="C145">
        <v>-692926.94</v>
      </c>
      <c r="D145">
        <v>4205676.3899999997</v>
      </c>
      <c r="E145">
        <v>-92859.79</v>
      </c>
      <c r="F145">
        <v>4112816.5999999996</v>
      </c>
      <c r="G145">
        <v>4624927.22</v>
      </c>
      <c r="H145">
        <v>-437423.87</v>
      </c>
      <c r="I145">
        <v>4187503.3499999996</v>
      </c>
      <c r="J145">
        <v>-767613.69</v>
      </c>
    </row>
    <row r="146" spans="1:10">
      <c r="A146" t="s">
        <v>252</v>
      </c>
      <c r="B146" t="s">
        <v>78</v>
      </c>
      <c r="C146">
        <v>0</v>
      </c>
      <c r="D146">
        <v>0</v>
      </c>
      <c r="E146">
        <v>0</v>
      </c>
      <c r="F146">
        <v>0</v>
      </c>
      <c r="G146">
        <v>1500</v>
      </c>
      <c r="H146">
        <v>0</v>
      </c>
      <c r="I146">
        <v>1500</v>
      </c>
      <c r="J146">
        <v>-1500</v>
      </c>
    </row>
    <row r="147" spans="1:10">
      <c r="A147" t="s">
        <v>655</v>
      </c>
      <c r="B147" t="s">
        <v>181</v>
      </c>
      <c r="C147">
        <v>-194937.14</v>
      </c>
      <c r="D147">
        <v>2747966.38</v>
      </c>
      <c r="E147">
        <v>-890.45</v>
      </c>
      <c r="F147">
        <v>2747075.93</v>
      </c>
      <c r="G147">
        <v>2799302.8</v>
      </c>
      <c r="H147">
        <v>-59821.929999999993</v>
      </c>
      <c r="I147">
        <v>2739480.8699999996</v>
      </c>
      <c r="J147">
        <v>-187342.07999999999</v>
      </c>
    </row>
    <row r="148" spans="1:10">
      <c r="A148" t="s">
        <v>71</v>
      </c>
      <c r="B148" t="s">
        <v>1246</v>
      </c>
      <c r="C148">
        <v>-55683.63</v>
      </c>
      <c r="D148">
        <v>454268.09</v>
      </c>
      <c r="E148">
        <v>-47194.289999999994</v>
      </c>
      <c r="F148">
        <v>407073.8</v>
      </c>
      <c r="G148">
        <v>421972.53</v>
      </c>
      <c r="H148">
        <v>-15367.05</v>
      </c>
      <c r="I148">
        <v>406605.48</v>
      </c>
      <c r="J148">
        <v>-55215.31</v>
      </c>
    </row>
    <row r="149" spans="1:10">
      <c r="A149" t="s">
        <v>19</v>
      </c>
      <c r="B149" t="s">
        <v>266</v>
      </c>
      <c r="C149">
        <v>33006.71</v>
      </c>
      <c r="D149">
        <v>2832.75</v>
      </c>
      <c r="E149">
        <v>-35839.46</v>
      </c>
      <c r="F149">
        <v>-33006.71</v>
      </c>
      <c r="G149">
        <v>0</v>
      </c>
      <c r="H149">
        <v>0</v>
      </c>
      <c r="I149">
        <v>0</v>
      </c>
      <c r="J149">
        <v>0</v>
      </c>
    </row>
    <row r="150" spans="1:10">
      <c r="A150" t="s">
        <v>1337</v>
      </c>
      <c r="B150" t="s">
        <v>592</v>
      </c>
      <c r="C150">
        <v>-32326.76</v>
      </c>
      <c r="D150">
        <v>361829.71</v>
      </c>
      <c r="E150">
        <v>-3614.16</v>
      </c>
      <c r="F150">
        <v>358215.55</v>
      </c>
      <c r="G150">
        <v>345556.43999999994</v>
      </c>
      <c r="H150">
        <v>-12.819999999999999</v>
      </c>
      <c r="I150">
        <v>345543.62</v>
      </c>
      <c r="J150">
        <v>-19654.829999999998</v>
      </c>
    </row>
    <row r="151" spans="1:10">
      <c r="A151" t="s">
        <v>957</v>
      </c>
      <c r="B151" t="s">
        <v>1062</v>
      </c>
      <c r="C151">
        <v>-34345.379999999997</v>
      </c>
      <c r="D151">
        <v>166641.29999999999</v>
      </c>
      <c r="E151">
        <v>0</v>
      </c>
      <c r="F151">
        <v>166641.29999999999</v>
      </c>
      <c r="G151">
        <v>153808.63999999998</v>
      </c>
      <c r="H151">
        <v>0</v>
      </c>
      <c r="I151">
        <v>153808.63999999998</v>
      </c>
      <c r="J151">
        <v>-21512.719999999998</v>
      </c>
    </row>
    <row r="152" spans="1:10">
      <c r="A152" t="s">
        <v>1310</v>
      </c>
      <c r="B152" t="s">
        <v>234</v>
      </c>
      <c r="C152">
        <v>-3411.95</v>
      </c>
      <c r="D152">
        <v>19088.03</v>
      </c>
      <c r="E152">
        <v>0</v>
      </c>
      <c r="F152">
        <v>19088.03</v>
      </c>
      <c r="G152">
        <v>21148.74</v>
      </c>
      <c r="H152">
        <v>-3614.16</v>
      </c>
      <c r="I152">
        <v>17534.579999999998</v>
      </c>
      <c r="J152">
        <v>-1858.5</v>
      </c>
    </row>
    <row r="153" spans="1:10">
      <c r="A153" t="s">
        <v>938</v>
      </c>
      <c r="B153" t="s">
        <v>368</v>
      </c>
      <c r="C153">
        <v>82566.569999999992</v>
      </c>
      <c r="D153">
        <v>240064.58</v>
      </c>
      <c r="E153">
        <v>0</v>
      </c>
      <c r="F153">
        <v>240064.58</v>
      </c>
      <c r="G153">
        <v>218412.45</v>
      </c>
      <c r="H153">
        <v>0</v>
      </c>
      <c r="I153">
        <v>218412.45</v>
      </c>
      <c r="J153">
        <v>104218.7</v>
      </c>
    </row>
    <row r="154" spans="1:10">
      <c r="A154" t="s">
        <v>625</v>
      </c>
      <c r="B154" t="s">
        <v>1089</v>
      </c>
      <c r="C154">
        <v>0</v>
      </c>
      <c r="D154">
        <v>733356.40999999992</v>
      </c>
      <c r="E154">
        <v>-38604.689999999995</v>
      </c>
      <c r="F154">
        <v>694751.72</v>
      </c>
      <c r="G154">
        <v>792064.17</v>
      </c>
      <c r="H154">
        <v>-97525.909999999989</v>
      </c>
      <c r="I154">
        <v>694538.25999999989</v>
      </c>
      <c r="J154">
        <v>213.45999999999998</v>
      </c>
    </row>
    <row r="155" spans="1:10">
      <c r="A155" t="s">
        <v>1240</v>
      </c>
      <c r="B155" t="s">
        <v>642</v>
      </c>
      <c r="C155">
        <v>0</v>
      </c>
      <c r="D155">
        <v>10.72</v>
      </c>
      <c r="E155">
        <v>0</v>
      </c>
      <c r="F155">
        <v>10.72</v>
      </c>
      <c r="G155">
        <v>10.72</v>
      </c>
      <c r="H155">
        <v>0</v>
      </c>
      <c r="I155">
        <v>10.72</v>
      </c>
      <c r="J155">
        <v>0</v>
      </c>
    </row>
    <row r="156" spans="1:10">
      <c r="A156" t="s">
        <v>358</v>
      </c>
      <c r="B156" t="s">
        <v>1267</v>
      </c>
      <c r="C156">
        <v>0</v>
      </c>
      <c r="D156">
        <v>534965.12999999989</v>
      </c>
      <c r="E156">
        <v>-58703.03</v>
      </c>
      <c r="F156">
        <v>476262.1</v>
      </c>
      <c r="G156">
        <v>476328.55</v>
      </c>
      <c r="H156">
        <v>0</v>
      </c>
      <c r="I156">
        <v>476328.55</v>
      </c>
      <c r="J156">
        <v>-66.449999999999989</v>
      </c>
    </row>
    <row r="157" spans="1:10">
      <c r="A157" t="s">
        <v>51</v>
      </c>
      <c r="B157" t="s">
        <v>307</v>
      </c>
      <c r="C157">
        <v>0</v>
      </c>
      <c r="D157">
        <v>168998.64</v>
      </c>
      <c r="E157">
        <v>-7755.95</v>
      </c>
      <c r="F157">
        <v>161242.68999999997</v>
      </c>
      <c r="G157">
        <v>161242.68999999997</v>
      </c>
      <c r="H157">
        <v>0</v>
      </c>
      <c r="I157">
        <v>161242.68999999997</v>
      </c>
      <c r="J157">
        <v>0</v>
      </c>
    </row>
    <row r="158" spans="1:10">
      <c r="A158" t="s">
        <v>164</v>
      </c>
      <c r="B158" t="s">
        <v>98</v>
      </c>
      <c r="C158">
        <v>0</v>
      </c>
      <c r="D158">
        <v>161242.68999999997</v>
      </c>
      <c r="E158">
        <v>0</v>
      </c>
      <c r="F158">
        <v>161242.68999999997</v>
      </c>
      <c r="G158">
        <v>168998.64</v>
      </c>
      <c r="H158">
        <v>-7755.95</v>
      </c>
      <c r="I158">
        <v>161242.68999999997</v>
      </c>
      <c r="J158">
        <v>0</v>
      </c>
    </row>
    <row r="159" spans="1:10">
      <c r="A159" t="s">
        <v>1141</v>
      </c>
      <c r="B159" t="s">
        <v>392</v>
      </c>
      <c r="C159">
        <v>2257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2257</v>
      </c>
    </row>
    <row r="160" spans="1:10">
      <c r="A160" t="s">
        <v>57</v>
      </c>
      <c r="B160" t="s">
        <v>629</v>
      </c>
      <c r="C160">
        <v>3610.54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3610.54</v>
      </c>
    </row>
    <row r="161" spans="1:10">
      <c r="A161" t="s">
        <v>304</v>
      </c>
      <c r="B161" t="s">
        <v>992</v>
      </c>
      <c r="C161">
        <v>50856.57</v>
      </c>
      <c r="D161">
        <v>0</v>
      </c>
      <c r="E161">
        <v>0</v>
      </c>
      <c r="F161">
        <v>0</v>
      </c>
      <c r="G161">
        <v>50856.57</v>
      </c>
      <c r="H161">
        <v>0</v>
      </c>
      <c r="I161">
        <v>50856.57</v>
      </c>
      <c r="J161">
        <v>0</v>
      </c>
    </row>
    <row r="162" spans="1:10">
      <c r="A162" t="s">
        <v>1268</v>
      </c>
      <c r="B162" t="s">
        <v>253</v>
      </c>
      <c r="C162">
        <v>0</v>
      </c>
      <c r="D162">
        <v>214749.12999999998</v>
      </c>
      <c r="E162">
        <v>-6053.1799999999994</v>
      </c>
      <c r="F162">
        <v>208695.95</v>
      </c>
      <c r="G162">
        <v>211876.77</v>
      </c>
      <c r="H162">
        <v>-3180.82</v>
      </c>
      <c r="I162">
        <v>208695.95</v>
      </c>
      <c r="J162">
        <v>0</v>
      </c>
    </row>
    <row r="163" spans="1:10">
      <c r="A163" t="s">
        <v>482</v>
      </c>
      <c r="B163" t="s">
        <v>520</v>
      </c>
      <c r="C163">
        <v>0</v>
      </c>
      <c r="D163">
        <v>107202.25</v>
      </c>
      <c r="E163">
        <v>-1683.6</v>
      </c>
      <c r="F163">
        <v>105518.65</v>
      </c>
      <c r="G163">
        <v>107024.99</v>
      </c>
      <c r="H163">
        <v>-1506.34</v>
      </c>
      <c r="I163">
        <v>105518.65</v>
      </c>
      <c r="J163">
        <v>0</v>
      </c>
    </row>
    <row r="164" spans="1:10">
      <c r="A164" t="s">
        <v>1102</v>
      </c>
      <c r="B164" t="s">
        <v>1277</v>
      </c>
      <c r="C164">
        <v>0</v>
      </c>
      <c r="D164">
        <v>215955.87999999998</v>
      </c>
      <c r="E164">
        <v>-2073.75</v>
      </c>
      <c r="F164">
        <v>213882.12999999998</v>
      </c>
      <c r="G164">
        <v>219242.00999999998</v>
      </c>
      <c r="H164">
        <v>-5359.8799999999992</v>
      </c>
      <c r="I164">
        <v>213882.12999999998</v>
      </c>
      <c r="J164">
        <v>0</v>
      </c>
    </row>
    <row r="165" spans="1:10">
      <c r="A165" t="s">
        <v>372</v>
      </c>
      <c r="B165" t="s">
        <v>785</v>
      </c>
      <c r="C165">
        <v>0</v>
      </c>
      <c r="D165">
        <v>110048.87</v>
      </c>
      <c r="E165">
        <v>-1369.8</v>
      </c>
      <c r="F165">
        <v>108679.07</v>
      </c>
      <c r="G165">
        <v>109179.28</v>
      </c>
      <c r="H165">
        <v>-500.21</v>
      </c>
      <c r="I165">
        <v>108679.07</v>
      </c>
      <c r="J165">
        <v>0</v>
      </c>
    </row>
    <row r="166" spans="1:10">
      <c r="A166" t="s">
        <v>1228</v>
      </c>
      <c r="B166" t="s">
        <v>384</v>
      </c>
      <c r="C166">
        <v>0</v>
      </c>
      <c r="D166">
        <v>164120.26999999999</v>
      </c>
      <c r="E166">
        <v>-3211.4799999999996</v>
      </c>
      <c r="F166">
        <v>160908.78999999998</v>
      </c>
      <c r="G166">
        <v>166030.44999999998</v>
      </c>
      <c r="H166">
        <v>-5121.66</v>
      </c>
      <c r="I166">
        <v>160908.78999999998</v>
      </c>
      <c r="J166">
        <v>0</v>
      </c>
    </row>
    <row r="167" spans="1:10">
      <c r="A167" t="s">
        <v>620</v>
      </c>
      <c r="B167" t="s">
        <v>986</v>
      </c>
      <c r="C167">
        <v>0</v>
      </c>
      <c r="D167">
        <v>255272.53</v>
      </c>
      <c r="E167">
        <v>-3653.55</v>
      </c>
      <c r="F167">
        <v>251618.98</v>
      </c>
      <c r="G167">
        <v>253289.68</v>
      </c>
      <c r="H167">
        <v>-1670.6999999999998</v>
      </c>
      <c r="I167">
        <v>251618.98</v>
      </c>
      <c r="J167">
        <v>0</v>
      </c>
    </row>
    <row r="168" spans="1:10">
      <c r="A168" t="s">
        <v>996</v>
      </c>
      <c r="B168" t="s">
        <v>586</v>
      </c>
      <c r="C168">
        <v>0</v>
      </c>
      <c r="D168">
        <v>139655.18999999997</v>
      </c>
      <c r="E168">
        <v>-9389.6099999999988</v>
      </c>
      <c r="F168">
        <v>130265.57999999999</v>
      </c>
      <c r="G168">
        <v>137055.01999999999</v>
      </c>
      <c r="H168">
        <v>-6789.44</v>
      </c>
      <c r="I168">
        <v>130265.57999999999</v>
      </c>
      <c r="J168">
        <v>0</v>
      </c>
    </row>
    <row r="169" spans="1:10">
      <c r="A169" t="s">
        <v>428</v>
      </c>
      <c r="B169" t="s">
        <v>60</v>
      </c>
      <c r="C169">
        <v>0</v>
      </c>
      <c r="D169">
        <v>60215.23</v>
      </c>
      <c r="E169">
        <v>-1330.7199999999998</v>
      </c>
      <c r="F169">
        <v>58884.509999999995</v>
      </c>
      <c r="G169">
        <v>59320.87</v>
      </c>
      <c r="H169">
        <v>-436.35999999999996</v>
      </c>
      <c r="I169">
        <v>58884.509999999995</v>
      </c>
      <c r="J169">
        <v>0</v>
      </c>
    </row>
    <row r="170" spans="1:10">
      <c r="A170" t="s">
        <v>1001</v>
      </c>
      <c r="B170" t="s">
        <v>435</v>
      </c>
      <c r="C170">
        <v>0</v>
      </c>
      <c r="D170">
        <v>8884.7599999999984</v>
      </c>
      <c r="E170">
        <v>0</v>
      </c>
      <c r="F170">
        <v>8884.7599999999984</v>
      </c>
      <c r="G170">
        <v>8884.7599999999984</v>
      </c>
      <c r="H170">
        <v>0</v>
      </c>
      <c r="I170">
        <v>8884.7599999999984</v>
      </c>
      <c r="J170">
        <v>0</v>
      </c>
    </row>
    <row r="171" spans="1:10">
      <c r="A171" t="s">
        <v>419</v>
      </c>
      <c r="B171" t="s">
        <v>1096</v>
      </c>
      <c r="C171">
        <v>0</v>
      </c>
      <c r="D171">
        <v>2006.55</v>
      </c>
      <c r="E171">
        <v>0</v>
      </c>
      <c r="F171">
        <v>2006.55</v>
      </c>
      <c r="G171">
        <v>2006.55</v>
      </c>
      <c r="H171">
        <v>0</v>
      </c>
      <c r="I171">
        <v>2006.55</v>
      </c>
      <c r="J171">
        <v>0</v>
      </c>
    </row>
    <row r="172" spans="1:10">
      <c r="A172" t="s">
        <v>1241</v>
      </c>
      <c r="B172" t="s">
        <v>31</v>
      </c>
      <c r="C172">
        <v>0</v>
      </c>
      <c r="D172">
        <v>961.27</v>
      </c>
      <c r="E172">
        <v>0</v>
      </c>
      <c r="F172">
        <v>961.27</v>
      </c>
      <c r="G172">
        <v>961.27</v>
      </c>
      <c r="H172">
        <v>0</v>
      </c>
      <c r="I172">
        <v>961.27</v>
      </c>
      <c r="J172">
        <v>0</v>
      </c>
    </row>
    <row r="173" spans="1:10">
      <c r="A173" t="s">
        <v>606</v>
      </c>
      <c r="B173" t="s">
        <v>1204</v>
      </c>
      <c r="C173">
        <v>0</v>
      </c>
      <c r="D173">
        <v>1170.9099999999999</v>
      </c>
      <c r="E173">
        <v>0</v>
      </c>
      <c r="F173">
        <v>1170.9099999999999</v>
      </c>
      <c r="G173">
        <v>1170.9099999999999</v>
      </c>
      <c r="H173">
        <v>0</v>
      </c>
      <c r="I173">
        <v>1170.9099999999999</v>
      </c>
      <c r="J173">
        <v>0</v>
      </c>
    </row>
    <row r="174" spans="1:10">
      <c r="A174" t="s">
        <v>1114</v>
      </c>
      <c r="B174" t="s">
        <v>726</v>
      </c>
      <c r="C174">
        <v>0</v>
      </c>
      <c r="D174">
        <v>2698.72</v>
      </c>
      <c r="E174">
        <v>0</v>
      </c>
      <c r="F174">
        <v>2698.72</v>
      </c>
      <c r="G174">
        <v>2698.72</v>
      </c>
      <c r="H174">
        <v>0</v>
      </c>
      <c r="I174">
        <v>2698.72</v>
      </c>
      <c r="J174">
        <v>0</v>
      </c>
    </row>
    <row r="175" spans="1:10">
      <c r="A175" t="s">
        <v>363</v>
      </c>
      <c r="B175" t="s">
        <v>862</v>
      </c>
      <c r="C175">
        <v>0</v>
      </c>
      <c r="D175">
        <v>3642.99</v>
      </c>
      <c r="E175">
        <v>0</v>
      </c>
      <c r="F175">
        <v>3642.99</v>
      </c>
      <c r="G175">
        <v>3642.99</v>
      </c>
      <c r="H175">
        <v>0</v>
      </c>
      <c r="I175">
        <v>3642.99</v>
      </c>
      <c r="J175">
        <v>0</v>
      </c>
    </row>
    <row r="176" spans="1:10">
      <c r="A176" t="s">
        <v>1278</v>
      </c>
      <c r="B176" t="s">
        <v>364</v>
      </c>
      <c r="C176">
        <v>0</v>
      </c>
      <c r="D176">
        <v>2426.9799999999996</v>
      </c>
      <c r="E176">
        <v>0</v>
      </c>
      <c r="F176">
        <v>2426.9799999999996</v>
      </c>
      <c r="G176">
        <v>2426.9799999999996</v>
      </c>
      <c r="H176">
        <v>0</v>
      </c>
      <c r="I176">
        <v>2426.9799999999996</v>
      </c>
      <c r="J176">
        <v>0</v>
      </c>
    </row>
    <row r="177" spans="1:10">
      <c r="A177" t="s">
        <v>469</v>
      </c>
      <c r="B177" t="s">
        <v>749</v>
      </c>
      <c r="C177">
        <v>0</v>
      </c>
      <c r="D177">
        <v>3872.18</v>
      </c>
      <c r="E177">
        <v>0</v>
      </c>
      <c r="F177">
        <v>3872.18</v>
      </c>
      <c r="G177">
        <v>3872.18</v>
      </c>
      <c r="H177">
        <v>0</v>
      </c>
      <c r="I177">
        <v>3872.18</v>
      </c>
      <c r="J177">
        <v>0</v>
      </c>
    </row>
    <row r="178" spans="1:10">
      <c r="A178" t="s">
        <v>131</v>
      </c>
      <c r="B178" t="s">
        <v>543</v>
      </c>
      <c r="C178">
        <v>0</v>
      </c>
      <c r="D178">
        <v>825960.05</v>
      </c>
      <c r="E178">
        <v>-113899.76999999999</v>
      </c>
      <c r="F178">
        <v>712060.27999999991</v>
      </c>
      <c r="G178">
        <v>800769.6</v>
      </c>
      <c r="H178">
        <v>-88709.32</v>
      </c>
      <c r="I178">
        <v>712060.27999999991</v>
      </c>
      <c r="J178">
        <v>0</v>
      </c>
    </row>
    <row r="179" spans="1:10">
      <c r="A179" t="s">
        <v>1116</v>
      </c>
      <c r="B179" t="s">
        <v>184</v>
      </c>
      <c r="C179">
        <v>-33193.919999999998</v>
      </c>
      <c r="D179">
        <v>0</v>
      </c>
      <c r="E179">
        <v>0</v>
      </c>
      <c r="F179">
        <v>0</v>
      </c>
      <c r="G179">
        <v>403000.07999999996</v>
      </c>
      <c r="H179">
        <v>0</v>
      </c>
      <c r="I179">
        <v>403000.07999999996</v>
      </c>
      <c r="J179">
        <v>-436194</v>
      </c>
    </row>
    <row r="180" spans="1:10">
      <c r="A180" t="s">
        <v>15</v>
      </c>
      <c r="B180" t="s">
        <v>841</v>
      </c>
      <c r="C180">
        <v>-6030.11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-6030.11</v>
      </c>
    </row>
    <row r="181" spans="1:10">
      <c r="A181" t="s">
        <v>656</v>
      </c>
      <c r="B181" t="s">
        <v>799</v>
      </c>
      <c r="C181">
        <v>-404561.5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-404561.5</v>
      </c>
    </row>
    <row r="182" spans="1:10">
      <c r="A182" t="s">
        <v>1184</v>
      </c>
      <c r="B182" t="s">
        <v>92</v>
      </c>
      <c r="C182">
        <v>125274.1</v>
      </c>
      <c r="D182">
        <v>482044.15999999997</v>
      </c>
      <c r="E182">
        <v>0</v>
      </c>
      <c r="F182">
        <v>482044.15999999997</v>
      </c>
      <c r="G182">
        <v>165000</v>
      </c>
      <c r="H182">
        <v>0</v>
      </c>
      <c r="I182">
        <v>165000</v>
      </c>
      <c r="J182">
        <v>442318.25999999995</v>
      </c>
    </row>
    <row r="183" spans="1:10">
      <c r="A183" t="s">
        <v>953</v>
      </c>
      <c r="B183" t="s">
        <v>456</v>
      </c>
      <c r="C183">
        <v>482044.15999999997</v>
      </c>
      <c r="D183">
        <v>0</v>
      </c>
      <c r="E183">
        <v>0</v>
      </c>
      <c r="F183">
        <v>0</v>
      </c>
      <c r="G183">
        <v>482044.15999999997</v>
      </c>
      <c r="H183">
        <v>0</v>
      </c>
      <c r="I183">
        <v>482044.15999999997</v>
      </c>
      <c r="J183">
        <v>0</v>
      </c>
    </row>
    <row r="184" spans="1:10">
      <c r="A184" t="s">
        <v>761</v>
      </c>
      <c r="B184" t="s">
        <v>1343</v>
      </c>
      <c r="C184">
        <v>-7000.83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-7000.83</v>
      </c>
    </row>
    <row r="185" spans="1:10">
      <c r="A185" t="s">
        <v>614</v>
      </c>
      <c r="B185" t="s">
        <v>950</v>
      </c>
      <c r="C185">
        <v>-2443.7799999999997</v>
      </c>
      <c r="D185">
        <v>2443.7799999999997</v>
      </c>
      <c r="E185">
        <v>0</v>
      </c>
      <c r="F185">
        <v>2443.7799999999997</v>
      </c>
      <c r="G185">
        <v>0</v>
      </c>
      <c r="H185">
        <v>0</v>
      </c>
      <c r="I185">
        <v>0</v>
      </c>
      <c r="J185">
        <v>0</v>
      </c>
    </row>
    <row r="186" spans="1:10">
      <c r="A186" t="s">
        <v>1225</v>
      </c>
      <c r="B186" t="s">
        <v>100</v>
      </c>
      <c r="C186">
        <v>-4347.83</v>
      </c>
      <c r="D186">
        <v>4477.2699999999995</v>
      </c>
      <c r="E186">
        <v>0</v>
      </c>
      <c r="F186">
        <v>4477.2699999999995</v>
      </c>
      <c r="G186">
        <v>129.44</v>
      </c>
      <c r="H186">
        <v>0</v>
      </c>
      <c r="I186">
        <v>129.44</v>
      </c>
      <c r="J186">
        <v>0</v>
      </c>
    </row>
    <row r="187" spans="1:10">
      <c r="A187" t="s">
        <v>12</v>
      </c>
      <c r="B187" t="s">
        <v>1196</v>
      </c>
      <c r="C187">
        <v>-16134.15</v>
      </c>
      <c r="D187">
        <v>16515.649999999998</v>
      </c>
      <c r="E187">
        <v>0</v>
      </c>
      <c r="F187">
        <v>16515.649999999998</v>
      </c>
      <c r="G187">
        <v>381.5</v>
      </c>
      <c r="H187">
        <v>0</v>
      </c>
      <c r="I187">
        <v>381.5</v>
      </c>
      <c r="J187">
        <v>0</v>
      </c>
    </row>
    <row r="188" spans="1:10">
      <c r="A188" t="s">
        <v>927</v>
      </c>
      <c r="B188" t="s">
        <v>325</v>
      </c>
      <c r="C188">
        <v>-5766.95</v>
      </c>
      <c r="D188">
        <v>5860.32</v>
      </c>
      <c r="E188">
        <v>0</v>
      </c>
      <c r="F188">
        <v>5860.32</v>
      </c>
      <c r="G188">
        <v>93.36999999999999</v>
      </c>
      <c r="H188">
        <v>0</v>
      </c>
      <c r="I188">
        <v>93.36999999999999</v>
      </c>
      <c r="J188">
        <v>0</v>
      </c>
    </row>
    <row r="189" spans="1:10">
      <c r="A189" t="s">
        <v>40</v>
      </c>
      <c r="B189" t="s">
        <v>1303</v>
      </c>
      <c r="C189">
        <v>-7186.6699999999992</v>
      </c>
      <c r="D189">
        <v>7363.15</v>
      </c>
      <c r="E189">
        <v>0</v>
      </c>
      <c r="F189">
        <v>7363.15</v>
      </c>
      <c r="G189">
        <v>176.48</v>
      </c>
      <c r="H189">
        <v>0</v>
      </c>
      <c r="I189">
        <v>176.48</v>
      </c>
      <c r="J189">
        <v>0</v>
      </c>
    </row>
    <row r="190" spans="1:10">
      <c r="A190" t="s">
        <v>684</v>
      </c>
      <c r="B190" t="s">
        <v>1266</v>
      </c>
      <c r="C190">
        <v>-2523.7799999999997</v>
      </c>
      <c r="D190">
        <v>2750.7099999999996</v>
      </c>
      <c r="E190">
        <v>0</v>
      </c>
      <c r="F190">
        <v>2750.7099999999996</v>
      </c>
      <c r="G190">
        <v>226.92999999999998</v>
      </c>
      <c r="H190">
        <v>0</v>
      </c>
      <c r="I190">
        <v>226.92999999999998</v>
      </c>
      <c r="J190">
        <v>0</v>
      </c>
    </row>
    <row r="191" spans="1:10">
      <c r="A191" t="s">
        <v>865</v>
      </c>
      <c r="B191" t="s">
        <v>257</v>
      </c>
      <c r="C191">
        <v>2633.3599999999997</v>
      </c>
      <c r="D191">
        <v>0</v>
      </c>
      <c r="E191">
        <v>0</v>
      </c>
      <c r="F191">
        <v>0</v>
      </c>
      <c r="G191">
        <v>2633.3599999999997</v>
      </c>
      <c r="H191">
        <v>0</v>
      </c>
      <c r="I191">
        <v>2633.3599999999997</v>
      </c>
      <c r="J191">
        <v>0</v>
      </c>
    </row>
    <row r="192" spans="1:10">
      <c r="A192" t="s">
        <v>261</v>
      </c>
      <c r="B192" t="s">
        <v>1336</v>
      </c>
      <c r="C192">
        <v>-44675.64</v>
      </c>
      <c r="D192">
        <v>27016.58</v>
      </c>
      <c r="E192">
        <v>0</v>
      </c>
      <c r="F192">
        <v>27016.58</v>
      </c>
      <c r="G192">
        <v>3082.07</v>
      </c>
      <c r="H192">
        <v>0</v>
      </c>
      <c r="I192">
        <v>3082.07</v>
      </c>
      <c r="J192">
        <v>-20741.129999999997</v>
      </c>
    </row>
    <row r="193" spans="1:10">
      <c r="A193" t="s">
        <v>899</v>
      </c>
      <c r="B193" t="s">
        <v>397</v>
      </c>
      <c r="C193">
        <v>-8250.5099999999984</v>
      </c>
      <c r="D193">
        <v>5264.82</v>
      </c>
      <c r="E193">
        <v>0</v>
      </c>
      <c r="F193">
        <v>5264.82</v>
      </c>
      <c r="G193">
        <v>188.52</v>
      </c>
      <c r="H193">
        <v>0</v>
      </c>
      <c r="I193">
        <v>188.52</v>
      </c>
      <c r="J193">
        <v>-3174.2099999999996</v>
      </c>
    </row>
    <row r="194" spans="1:10">
      <c r="A194" t="s">
        <v>1040</v>
      </c>
      <c r="B194" t="s">
        <v>1192</v>
      </c>
      <c r="C194">
        <v>2970.87</v>
      </c>
      <c r="D194">
        <v>5023.1499999999996</v>
      </c>
      <c r="E194">
        <v>0</v>
      </c>
      <c r="F194">
        <v>5023.1499999999996</v>
      </c>
      <c r="G194">
        <v>7994.02</v>
      </c>
      <c r="H194">
        <v>0</v>
      </c>
      <c r="I194">
        <v>7994.02</v>
      </c>
      <c r="J194">
        <v>0</v>
      </c>
    </row>
    <row r="195" spans="1:10">
      <c r="A195" t="s">
        <v>448</v>
      </c>
      <c r="B195" t="s">
        <v>246</v>
      </c>
      <c r="C195">
        <v>-10534.109999999999</v>
      </c>
      <c r="D195">
        <v>6022.36</v>
      </c>
      <c r="E195">
        <v>0</v>
      </c>
      <c r="F195">
        <v>6022.36</v>
      </c>
      <c r="G195">
        <v>495.04999999999995</v>
      </c>
      <c r="H195">
        <v>0</v>
      </c>
      <c r="I195">
        <v>495.04999999999995</v>
      </c>
      <c r="J195">
        <v>-5006.7999999999993</v>
      </c>
    </row>
    <row r="196" spans="1:10">
      <c r="A196" t="s">
        <v>1190</v>
      </c>
      <c r="B196" t="s">
        <v>175</v>
      </c>
      <c r="C196">
        <v>-8482.9699999999993</v>
      </c>
      <c r="D196">
        <v>4338.6799999999994</v>
      </c>
      <c r="E196">
        <v>0</v>
      </c>
      <c r="F196">
        <v>4338.6799999999994</v>
      </c>
      <c r="G196">
        <v>557.04999999999995</v>
      </c>
      <c r="H196">
        <v>0</v>
      </c>
      <c r="I196">
        <v>557.04999999999995</v>
      </c>
      <c r="J196">
        <v>-4701.3399999999992</v>
      </c>
    </row>
    <row r="197" spans="1:10">
      <c r="A197" t="s">
        <v>557</v>
      </c>
      <c r="B197" t="s">
        <v>619</v>
      </c>
      <c r="C197">
        <v>-11209.78</v>
      </c>
      <c r="D197">
        <v>5730</v>
      </c>
      <c r="E197">
        <v>0</v>
      </c>
      <c r="F197">
        <v>5730</v>
      </c>
      <c r="G197">
        <v>554.46999999999991</v>
      </c>
      <c r="H197">
        <v>0</v>
      </c>
      <c r="I197">
        <v>554.46999999999991</v>
      </c>
      <c r="J197">
        <v>-6034.25</v>
      </c>
    </row>
    <row r="198" spans="1:10">
      <c r="A198" t="s">
        <v>1072</v>
      </c>
      <c r="B198" t="s">
        <v>1270</v>
      </c>
      <c r="C198">
        <v>-7177.98</v>
      </c>
      <c r="D198">
        <v>12752.8</v>
      </c>
      <c r="E198">
        <v>0</v>
      </c>
      <c r="F198">
        <v>12752.8</v>
      </c>
      <c r="G198">
        <v>5574.82</v>
      </c>
      <c r="H198">
        <v>0</v>
      </c>
      <c r="I198">
        <v>5574.82</v>
      </c>
      <c r="J198">
        <v>0</v>
      </c>
    </row>
    <row r="199" spans="1:10">
      <c r="A199" t="s">
        <v>308</v>
      </c>
      <c r="B199" t="s">
        <v>357</v>
      </c>
      <c r="C199">
        <v>-74692.649999999994</v>
      </c>
      <c r="D199">
        <v>24137.85</v>
      </c>
      <c r="E199">
        <v>0</v>
      </c>
      <c r="F199">
        <v>24137.85</v>
      </c>
      <c r="G199">
        <v>3131.81</v>
      </c>
      <c r="H199">
        <v>0</v>
      </c>
      <c r="I199">
        <v>3131.81</v>
      </c>
      <c r="J199">
        <v>-53686.609999999993</v>
      </c>
    </row>
    <row r="200" spans="1:10">
      <c r="A200" t="s">
        <v>1323</v>
      </c>
      <c r="B200" t="s">
        <v>1209</v>
      </c>
      <c r="C200">
        <v>-14371</v>
      </c>
      <c r="D200">
        <v>6024.2</v>
      </c>
      <c r="E200">
        <v>0</v>
      </c>
      <c r="F200">
        <v>6024.2</v>
      </c>
      <c r="G200">
        <v>442.35999999999996</v>
      </c>
      <c r="H200">
        <v>0</v>
      </c>
      <c r="I200">
        <v>442.35999999999996</v>
      </c>
      <c r="J200">
        <v>-8789.16</v>
      </c>
    </row>
    <row r="201" spans="1:10">
      <c r="A201" t="s">
        <v>513</v>
      </c>
      <c r="B201" t="s">
        <v>287</v>
      </c>
      <c r="C201">
        <v>-10039.839999999998</v>
      </c>
      <c r="D201">
        <v>4884.3999999999996</v>
      </c>
      <c r="E201">
        <v>0</v>
      </c>
      <c r="F201">
        <v>4884.3999999999996</v>
      </c>
      <c r="G201">
        <v>657.88</v>
      </c>
      <c r="H201">
        <v>0</v>
      </c>
      <c r="I201">
        <v>657.88</v>
      </c>
      <c r="J201">
        <v>-5813.32</v>
      </c>
    </row>
    <row r="202" spans="1:10">
      <c r="A202" t="s">
        <v>1289</v>
      </c>
      <c r="B202" t="s">
        <v>301</v>
      </c>
      <c r="C202">
        <v>-84412.6</v>
      </c>
      <c r="D202">
        <v>26919.289999999997</v>
      </c>
      <c r="E202">
        <v>0</v>
      </c>
      <c r="F202">
        <v>26919.289999999997</v>
      </c>
      <c r="G202">
        <v>5081.0899999999992</v>
      </c>
      <c r="H202">
        <v>0</v>
      </c>
      <c r="I202">
        <v>5081.0899999999992</v>
      </c>
      <c r="J202">
        <v>-62574.399999999994</v>
      </c>
    </row>
    <row r="203" spans="1:10">
      <c r="A203" t="s">
        <v>544</v>
      </c>
      <c r="B203" t="s">
        <v>1123</v>
      </c>
      <c r="C203">
        <v>-10464.23</v>
      </c>
      <c r="D203">
        <v>4644.6399999999994</v>
      </c>
      <c r="E203">
        <v>0</v>
      </c>
      <c r="F203">
        <v>4644.6399999999994</v>
      </c>
      <c r="G203">
        <v>727.39</v>
      </c>
      <c r="H203">
        <v>0</v>
      </c>
      <c r="I203">
        <v>727.39</v>
      </c>
      <c r="J203">
        <v>-6546.98</v>
      </c>
    </row>
    <row r="204" spans="1:10">
      <c r="A204" t="s">
        <v>1063</v>
      </c>
      <c r="B204" t="s">
        <v>517</v>
      </c>
      <c r="C204">
        <v>0</v>
      </c>
      <c r="D204">
        <v>22135.179999999997</v>
      </c>
      <c r="E204">
        <v>0</v>
      </c>
      <c r="F204">
        <v>22135.179999999997</v>
      </c>
      <c r="G204">
        <v>0</v>
      </c>
      <c r="H204">
        <v>0</v>
      </c>
      <c r="I204">
        <v>0</v>
      </c>
      <c r="J204">
        <v>22135.179999999997</v>
      </c>
    </row>
    <row r="205" spans="1:10">
      <c r="A205" t="s">
        <v>436</v>
      </c>
      <c r="B205" t="s">
        <v>582</v>
      </c>
      <c r="C205">
        <v>0</v>
      </c>
      <c r="D205">
        <v>21964.929999999997</v>
      </c>
      <c r="E205">
        <v>0</v>
      </c>
      <c r="F205">
        <v>21964.929999999997</v>
      </c>
      <c r="G205">
        <v>0</v>
      </c>
      <c r="H205">
        <v>0</v>
      </c>
      <c r="I205">
        <v>0</v>
      </c>
      <c r="J205">
        <v>21964.929999999997</v>
      </c>
    </row>
    <row r="206" spans="1:10">
      <c r="A206" t="s">
        <v>1170</v>
      </c>
      <c r="B206" t="s">
        <v>1285</v>
      </c>
      <c r="C206">
        <v>0</v>
      </c>
      <c r="D206">
        <v>946.59999999999991</v>
      </c>
      <c r="E206">
        <v>0</v>
      </c>
      <c r="F206">
        <v>946.59999999999991</v>
      </c>
      <c r="G206">
        <v>0</v>
      </c>
      <c r="H206">
        <v>0</v>
      </c>
      <c r="I206">
        <v>0</v>
      </c>
      <c r="J206">
        <v>946.59999999999991</v>
      </c>
    </row>
    <row r="207" spans="1:10">
      <c r="A207" t="s">
        <v>1090</v>
      </c>
      <c r="B207" t="s">
        <v>212</v>
      </c>
      <c r="C207">
        <v>0</v>
      </c>
      <c r="D207">
        <v>403.92999999999995</v>
      </c>
      <c r="E207">
        <v>0</v>
      </c>
      <c r="F207">
        <v>403.92999999999995</v>
      </c>
      <c r="G207">
        <v>7838.9</v>
      </c>
      <c r="H207">
        <v>0</v>
      </c>
      <c r="I207">
        <v>7838.9</v>
      </c>
      <c r="J207">
        <v>-7434.9699999999993</v>
      </c>
    </row>
    <row r="208" spans="1:10">
      <c r="A208" t="s">
        <v>145</v>
      </c>
      <c r="B208" t="s">
        <v>786</v>
      </c>
      <c r="C208">
        <v>0</v>
      </c>
      <c r="D208">
        <v>11522.189999999999</v>
      </c>
      <c r="E208">
        <v>-612.5</v>
      </c>
      <c r="F208">
        <v>10909.689999999999</v>
      </c>
      <c r="G208">
        <v>0</v>
      </c>
      <c r="H208">
        <v>0</v>
      </c>
      <c r="I208">
        <v>0</v>
      </c>
      <c r="J208">
        <v>10909.689999999999</v>
      </c>
    </row>
    <row r="209" spans="1:10">
      <c r="A209" t="s">
        <v>302</v>
      </c>
      <c r="B209" t="s">
        <v>343</v>
      </c>
      <c r="C209">
        <v>0</v>
      </c>
      <c r="D209">
        <v>72423.819999999992</v>
      </c>
      <c r="E209">
        <v>0</v>
      </c>
      <c r="F209">
        <v>72423.819999999992</v>
      </c>
      <c r="G209">
        <v>0</v>
      </c>
      <c r="H209">
        <v>0</v>
      </c>
      <c r="I209">
        <v>0</v>
      </c>
      <c r="J209">
        <v>72423.819999999992</v>
      </c>
    </row>
    <row r="210" spans="1:10">
      <c r="A210" t="s">
        <v>512</v>
      </c>
      <c r="B210" t="s">
        <v>1211</v>
      </c>
      <c r="C210">
        <v>0</v>
      </c>
      <c r="D210">
        <v>3916.43</v>
      </c>
      <c r="E210">
        <v>0</v>
      </c>
      <c r="F210">
        <v>3916.43</v>
      </c>
      <c r="G210">
        <v>0</v>
      </c>
      <c r="H210">
        <v>0</v>
      </c>
      <c r="I210">
        <v>0</v>
      </c>
      <c r="J210">
        <v>3916.43</v>
      </c>
    </row>
    <row r="211" spans="1:10">
      <c r="A211" t="s">
        <v>1314</v>
      </c>
      <c r="B211" t="s">
        <v>1149</v>
      </c>
      <c r="C211">
        <v>0</v>
      </c>
      <c r="D211">
        <v>4059558.6199999996</v>
      </c>
      <c r="E211">
        <v>-317843.09999999998</v>
      </c>
      <c r="F211">
        <v>3741715.5199999996</v>
      </c>
      <c r="G211">
        <v>389673.9</v>
      </c>
      <c r="H211">
        <v>0</v>
      </c>
      <c r="I211">
        <v>389673.9</v>
      </c>
      <c r="J211">
        <v>3352041.6199999996</v>
      </c>
    </row>
    <row r="212" spans="1:10">
      <c r="A212" t="s">
        <v>964</v>
      </c>
      <c r="B212" t="s">
        <v>687</v>
      </c>
      <c r="C212">
        <v>0</v>
      </c>
      <c r="D212">
        <v>19443.579999999998</v>
      </c>
      <c r="E212">
        <v>0</v>
      </c>
      <c r="F212">
        <v>19443.579999999998</v>
      </c>
      <c r="G212">
        <v>323398.51999999996</v>
      </c>
      <c r="H212">
        <v>0</v>
      </c>
      <c r="I212">
        <v>323398.51999999996</v>
      </c>
      <c r="J212">
        <v>-303954.93999999994</v>
      </c>
    </row>
    <row r="213" spans="1:10">
      <c r="A213" t="s">
        <v>648</v>
      </c>
      <c r="B213" t="s">
        <v>574</v>
      </c>
      <c r="C213">
        <v>0</v>
      </c>
      <c r="D213">
        <v>17622.689999999999</v>
      </c>
      <c r="E213">
        <v>0</v>
      </c>
      <c r="F213">
        <v>17622.689999999999</v>
      </c>
      <c r="G213">
        <v>250.70999999999998</v>
      </c>
      <c r="H213">
        <v>0</v>
      </c>
      <c r="I213">
        <v>250.70999999999998</v>
      </c>
      <c r="J213">
        <v>17371.98</v>
      </c>
    </row>
    <row r="214" spans="1:10">
      <c r="A214" t="s">
        <v>747</v>
      </c>
      <c r="B214" t="s">
        <v>1083</v>
      </c>
      <c r="C214">
        <v>0</v>
      </c>
      <c r="D214">
        <v>1001.8499999999999</v>
      </c>
      <c r="E214">
        <v>0</v>
      </c>
      <c r="F214">
        <v>1001.8499999999999</v>
      </c>
      <c r="G214">
        <v>0</v>
      </c>
      <c r="H214">
        <v>0</v>
      </c>
      <c r="I214">
        <v>0</v>
      </c>
      <c r="J214">
        <v>1001.8499999999999</v>
      </c>
    </row>
    <row r="215" spans="1:10">
      <c r="A215" t="s">
        <v>1269</v>
      </c>
      <c r="B215" t="s">
        <v>990</v>
      </c>
      <c r="C215">
        <v>0</v>
      </c>
      <c r="D215">
        <v>5262.15</v>
      </c>
      <c r="E215">
        <v>0</v>
      </c>
      <c r="F215">
        <v>5262.15</v>
      </c>
      <c r="G215">
        <v>0</v>
      </c>
      <c r="H215">
        <v>0</v>
      </c>
      <c r="I215">
        <v>0</v>
      </c>
      <c r="J215">
        <v>5262.15</v>
      </c>
    </row>
    <row r="216" spans="1:10">
      <c r="A216" t="s">
        <v>1272</v>
      </c>
      <c r="B216" t="s">
        <v>457</v>
      </c>
      <c r="C216">
        <v>0</v>
      </c>
      <c r="D216">
        <v>88621.45</v>
      </c>
      <c r="E216">
        <v>-24.4</v>
      </c>
      <c r="F216">
        <v>88597.049999999988</v>
      </c>
      <c r="G216">
        <v>0</v>
      </c>
      <c r="H216">
        <v>0</v>
      </c>
      <c r="I216">
        <v>0</v>
      </c>
      <c r="J216">
        <v>88597.049999999988</v>
      </c>
    </row>
    <row r="217" spans="1:10">
      <c r="A217" t="s">
        <v>413</v>
      </c>
      <c r="B217" t="s">
        <v>593</v>
      </c>
      <c r="C217">
        <v>0</v>
      </c>
      <c r="D217">
        <v>59468.509999999995</v>
      </c>
      <c r="E217">
        <v>-8862.7799999999988</v>
      </c>
      <c r="F217">
        <v>50605.73</v>
      </c>
      <c r="G217">
        <v>0</v>
      </c>
      <c r="H217">
        <v>0</v>
      </c>
      <c r="I217">
        <v>0</v>
      </c>
      <c r="J217">
        <v>50605.73</v>
      </c>
    </row>
    <row r="218" spans="1:10">
      <c r="A218" t="s">
        <v>787</v>
      </c>
      <c r="B218" t="s">
        <v>680</v>
      </c>
      <c r="C218">
        <v>0</v>
      </c>
      <c r="D218">
        <v>15418.33</v>
      </c>
      <c r="E218">
        <v>0</v>
      </c>
      <c r="F218">
        <v>15418.33</v>
      </c>
      <c r="G218">
        <v>0</v>
      </c>
      <c r="H218">
        <v>0</v>
      </c>
      <c r="I218">
        <v>0</v>
      </c>
      <c r="J218">
        <v>15418.33</v>
      </c>
    </row>
    <row r="219" spans="1:10">
      <c r="A219" t="s">
        <v>894</v>
      </c>
      <c r="B219" t="s">
        <v>1115</v>
      </c>
      <c r="C219">
        <v>0</v>
      </c>
      <c r="D219">
        <v>11967.72</v>
      </c>
      <c r="E219">
        <v>-116.18</v>
      </c>
      <c r="F219">
        <v>11851.54</v>
      </c>
      <c r="G219">
        <v>0</v>
      </c>
      <c r="H219">
        <v>0</v>
      </c>
      <c r="I219">
        <v>0</v>
      </c>
      <c r="J219">
        <v>11851.54</v>
      </c>
    </row>
    <row r="220" spans="1:10">
      <c r="A220" t="s">
        <v>1229</v>
      </c>
      <c r="B220" t="s">
        <v>292</v>
      </c>
      <c r="C220">
        <v>0</v>
      </c>
      <c r="D220">
        <v>0</v>
      </c>
      <c r="E220">
        <v>0</v>
      </c>
      <c r="F220">
        <v>0</v>
      </c>
      <c r="G220">
        <v>12472.2</v>
      </c>
      <c r="H220">
        <v>0</v>
      </c>
      <c r="I220">
        <v>12472.2</v>
      </c>
      <c r="J220">
        <v>-12472.2</v>
      </c>
    </row>
    <row r="221" spans="1:10">
      <c r="A221" t="s">
        <v>182</v>
      </c>
      <c r="B221" t="s">
        <v>699</v>
      </c>
      <c r="C221">
        <v>0</v>
      </c>
      <c r="D221">
        <v>28340.69</v>
      </c>
      <c r="E221">
        <v>0</v>
      </c>
      <c r="F221">
        <v>28340.69</v>
      </c>
      <c r="G221">
        <v>0</v>
      </c>
      <c r="H221">
        <v>0</v>
      </c>
      <c r="I221">
        <v>0</v>
      </c>
      <c r="J221">
        <v>28340.69</v>
      </c>
    </row>
    <row r="222" spans="1:10">
      <c r="A222" t="s">
        <v>119</v>
      </c>
      <c r="B222" t="s">
        <v>1332</v>
      </c>
      <c r="C222">
        <v>0</v>
      </c>
      <c r="D222">
        <v>34595.939999999995</v>
      </c>
      <c r="E222">
        <v>0</v>
      </c>
      <c r="F222">
        <v>34595.939999999995</v>
      </c>
      <c r="G222">
        <v>0</v>
      </c>
      <c r="H222">
        <v>0</v>
      </c>
      <c r="I222">
        <v>0</v>
      </c>
      <c r="J222">
        <v>34595.939999999995</v>
      </c>
    </row>
    <row r="223" spans="1:10">
      <c r="A223" t="s">
        <v>320</v>
      </c>
      <c r="B223" t="s">
        <v>1066</v>
      </c>
      <c r="C223">
        <v>0</v>
      </c>
      <c r="D223">
        <v>805.9</v>
      </c>
      <c r="E223">
        <v>-3.65</v>
      </c>
      <c r="F223">
        <v>802.25</v>
      </c>
      <c r="G223">
        <v>0</v>
      </c>
      <c r="H223">
        <v>0</v>
      </c>
      <c r="I223">
        <v>0</v>
      </c>
      <c r="J223">
        <v>802.25</v>
      </c>
    </row>
    <row r="224" spans="1:10">
      <c r="A224" t="s">
        <v>553</v>
      </c>
      <c r="B224" t="s">
        <v>1018</v>
      </c>
      <c r="C224">
        <v>0</v>
      </c>
      <c r="D224">
        <v>12313.13</v>
      </c>
      <c r="E224">
        <v>-1008.5</v>
      </c>
      <c r="F224">
        <v>11304.63</v>
      </c>
      <c r="G224">
        <v>0</v>
      </c>
      <c r="H224">
        <v>0</v>
      </c>
      <c r="I224">
        <v>0</v>
      </c>
      <c r="J224">
        <v>11304.63</v>
      </c>
    </row>
    <row r="225" spans="1:10">
      <c r="A225" t="s">
        <v>902</v>
      </c>
      <c r="B225" t="s">
        <v>1176</v>
      </c>
      <c r="C225">
        <v>0</v>
      </c>
      <c r="D225">
        <v>343558.76999999996</v>
      </c>
      <c r="E225">
        <v>0</v>
      </c>
      <c r="F225">
        <v>343558.76999999996</v>
      </c>
      <c r="G225">
        <v>0</v>
      </c>
      <c r="H225">
        <v>0</v>
      </c>
      <c r="I225">
        <v>0</v>
      </c>
      <c r="J225">
        <v>343558.76999999996</v>
      </c>
    </row>
    <row r="226" spans="1:10">
      <c r="A226" t="s">
        <v>796</v>
      </c>
      <c r="B226" t="s">
        <v>612</v>
      </c>
      <c r="C226">
        <v>0</v>
      </c>
      <c r="D226">
        <v>112202.87</v>
      </c>
      <c r="E226">
        <v>0</v>
      </c>
      <c r="F226">
        <v>112202.87</v>
      </c>
      <c r="G226">
        <v>0</v>
      </c>
      <c r="H226">
        <v>0</v>
      </c>
      <c r="I226">
        <v>0</v>
      </c>
      <c r="J226">
        <v>112202.87</v>
      </c>
    </row>
    <row r="227" spans="1:10">
      <c r="A227" t="s">
        <v>575</v>
      </c>
      <c r="B227" t="s">
        <v>1119</v>
      </c>
      <c r="C227">
        <v>0</v>
      </c>
      <c r="D227">
        <v>1079.6699999999998</v>
      </c>
      <c r="E227">
        <v>-12.819999999999999</v>
      </c>
      <c r="F227">
        <v>1066.8499999999999</v>
      </c>
      <c r="G227">
        <v>0</v>
      </c>
      <c r="H227">
        <v>0</v>
      </c>
      <c r="I227">
        <v>0</v>
      </c>
      <c r="J227">
        <v>1066.8499999999999</v>
      </c>
    </row>
    <row r="228" spans="1:10">
      <c r="A228" t="s">
        <v>159</v>
      </c>
      <c r="B228" t="s">
        <v>748</v>
      </c>
      <c r="C228">
        <v>0</v>
      </c>
      <c r="D228">
        <v>12576.349999999999</v>
      </c>
      <c r="E228">
        <v>0</v>
      </c>
      <c r="F228">
        <v>12576.349999999999</v>
      </c>
      <c r="G228">
        <v>11658.349999999999</v>
      </c>
      <c r="H228">
        <v>0</v>
      </c>
      <c r="I228">
        <v>11658.349999999999</v>
      </c>
      <c r="J228">
        <v>918</v>
      </c>
    </row>
    <row r="229" spans="1:10">
      <c r="A229" t="s">
        <v>613</v>
      </c>
      <c r="B229" t="s">
        <v>1071</v>
      </c>
      <c r="C229">
        <v>0</v>
      </c>
      <c r="D229">
        <v>10447.529999999999</v>
      </c>
      <c r="E229">
        <v>0</v>
      </c>
      <c r="F229">
        <v>10447.529999999999</v>
      </c>
      <c r="G229">
        <v>0</v>
      </c>
      <c r="H229">
        <v>0</v>
      </c>
      <c r="I229">
        <v>0</v>
      </c>
      <c r="J229">
        <v>10447.529999999999</v>
      </c>
    </row>
    <row r="230" spans="1:10">
      <c r="A230" t="s">
        <v>125</v>
      </c>
      <c r="B230" t="s">
        <v>1338</v>
      </c>
      <c r="C230">
        <v>0</v>
      </c>
      <c r="D230">
        <v>8000</v>
      </c>
      <c r="E230">
        <v>0</v>
      </c>
      <c r="F230">
        <v>8000</v>
      </c>
      <c r="G230">
        <v>0</v>
      </c>
      <c r="H230">
        <v>0</v>
      </c>
      <c r="I230">
        <v>0</v>
      </c>
      <c r="J230">
        <v>8000</v>
      </c>
    </row>
    <row r="231" spans="1:10">
      <c r="A231" t="s">
        <v>1252</v>
      </c>
      <c r="B231" t="s">
        <v>602</v>
      </c>
      <c r="C231">
        <v>0</v>
      </c>
      <c r="D231">
        <v>1034.08</v>
      </c>
      <c r="E231">
        <v>0</v>
      </c>
      <c r="F231">
        <v>1034.08</v>
      </c>
      <c r="G231">
        <v>0</v>
      </c>
      <c r="H231">
        <v>0</v>
      </c>
      <c r="I231">
        <v>0</v>
      </c>
      <c r="J231">
        <v>1034.08</v>
      </c>
    </row>
    <row r="232" spans="1:10">
      <c r="A232" t="s">
        <v>32</v>
      </c>
      <c r="B232" t="s">
        <v>331</v>
      </c>
      <c r="C232">
        <v>0</v>
      </c>
      <c r="D232">
        <v>42952.929999999993</v>
      </c>
      <c r="E232">
        <v>0</v>
      </c>
      <c r="F232">
        <v>42952.929999999993</v>
      </c>
      <c r="G232">
        <v>0</v>
      </c>
      <c r="H232">
        <v>0</v>
      </c>
      <c r="I232">
        <v>0</v>
      </c>
      <c r="J232">
        <v>42952.929999999993</v>
      </c>
    </row>
    <row r="233" spans="1:10">
      <c r="A233" t="s">
        <v>434</v>
      </c>
      <c r="B233" t="s">
        <v>594</v>
      </c>
      <c r="C233">
        <v>0</v>
      </c>
      <c r="D233">
        <v>422.89</v>
      </c>
      <c r="E233">
        <v>0</v>
      </c>
      <c r="F233">
        <v>422.89</v>
      </c>
      <c r="G233">
        <v>0</v>
      </c>
      <c r="H233">
        <v>0</v>
      </c>
      <c r="I233">
        <v>0</v>
      </c>
      <c r="J233">
        <v>422.89</v>
      </c>
    </row>
    <row r="234" spans="1:10">
      <c r="A234" t="s">
        <v>681</v>
      </c>
      <c r="B234" t="s">
        <v>460</v>
      </c>
      <c r="C234">
        <v>0</v>
      </c>
      <c r="D234">
        <v>9262.3399999999983</v>
      </c>
      <c r="E234">
        <v>0</v>
      </c>
      <c r="F234">
        <v>9262.3399999999983</v>
      </c>
      <c r="G234">
        <v>0</v>
      </c>
      <c r="H234">
        <v>0</v>
      </c>
      <c r="I234">
        <v>0</v>
      </c>
      <c r="J234">
        <v>9262.3399999999983</v>
      </c>
    </row>
    <row r="235" spans="1:10">
      <c r="A235" t="s">
        <v>1156</v>
      </c>
      <c r="B235" t="s">
        <v>1221</v>
      </c>
      <c r="C235">
        <v>0</v>
      </c>
      <c r="D235">
        <v>20.18</v>
      </c>
      <c r="E235">
        <v>0</v>
      </c>
      <c r="F235">
        <v>20.18</v>
      </c>
      <c r="G235">
        <v>0</v>
      </c>
      <c r="H235">
        <v>0</v>
      </c>
      <c r="I235">
        <v>0</v>
      </c>
      <c r="J235">
        <v>20.18</v>
      </c>
    </row>
    <row r="236" spans="1:10">
      <c r="A236" t="s">
        <v>987</v>
      </c>
      <c r="B236" t="s">
        <v>1026</v>
      </c>
      <c r="C236">
        <v>0</v>
      </c>
      <c r="D236">
        <v>25469.62</v>
      </c>
      <c r="E236">
        <v>0</v>
      </c>
      <c r="F236">
        <v>25469.62</v>
      </c>
      <c r="G236">
        <v>0</v>
      </c>
      <c r="H236">
        <v>0</v>
      </c>
      <c r="I236">
        <v>0</v>
      </c>
      <c r="J236">
        <v>25469.62</v>
      </c>
    </row>
    <row r="237" spans="1:10">
      <c r="A237" t="s">
        <v>183</v>
      </c>
      <c r="B237" t="s">
        <v>328</v>
      </c>
      <c r="C237">
        <v>0</v>
      </c>
      <c r="D237">
        <v>168612.53</v>
      </c>
      <c r="E237">
        <v>0</v>
      </c>
      <c r="F237">
        <v>168612.53</v>
      </c>
      <c r="G237">
        <v>0</v>
      </c>
      <c r="H237">
        <v>0</v>
      </c>
      <c r="I237">
        <v>0</v>
      </c>
      <c r="J237">
        <v>168612.53</v>
      </c>
    </row>
    <row r="238" spans="1:10">
      <c r="A238" t="s">
        <v>662</v>
      </c>
      <c r="B238" t="s">
        <v>54</v>
      </c>
      <c r="C238">
        <v>0</v>
      </c>
      <c r="D238">
        <v>35864.589999999997</v>
      </c>
      <c r="E238">
        <v>0</v>
      </c>
      <c r="F238">
        <v>35864.589999999997</v>
      </c>
      <c r="G238">
        <v>0</v>
      </c>
      <c r="H238">
        <v>0</v>
      </c>
      <c r="I238">
        <v>0</v>
      </c>
      <c r="J238">
        <v>35864.589999999997</v>
      </c>
    </row>
    <row r="239" spans="1:10">
      <c r="A239" t="s">
        <v>79</v>
      </c>
      <c r="B239" t="s">
        <v>863</v>
      </c>
      <c r="C239">
        <v>0</v>
      </c>
      <c r="D239">
        <v>16265.919999999998</v>
      </c>
      <c r="E239">
        <v>0</v>
      </c>
      <c r="F239">
        <v>16265.919999999998</v>
      </c>
      <c r="G239">
        <v>0</v>
      </c>
      <c r="H239">
        <v>0</v>
      </c>
      <c r="I239">
        <v>0</v>
      </c>
      <c r="J239">
        <v>16265.919999999998</v>
      </c>
    </row>
    <row r="240" spans="1:10">
      <c r="A240" t="s">
        <v>1177</v>
      </c>
      <c r="B240" t="s">
        <v>271</v>
      </c>
      <c r="C240">
        <v>0</v>
      </c>
      <c r="D240">
        <v>1965.27</v>
      </c>
      <c r="E240">
        <v>0</v>
      </c>
      <c r="F240">
        <v>1965.27</v>
      </c>
      <c r="G240">
        <v>0</v>
      </c>
      <c r="H240">
        <v>0</v>
      </c>
      <c r="I240">
        <v>0</v>
      </c>
      <c r="J240">
        <v>1965.27</v>
      </c>
    </row>
    <row r="241" spans="1:10">
      <c r="A241" t="s">
        <v>1185</v>
      </c>
      <c r="B241" t="s">
        <v>527</v>
      </c>
      <c r="C241">
        <v>0</v>
      </c>
      <c r="D241">
        <v>3278.0899999999997</v>
      </c>
      <c r="E241">
        <v>-5278.3399999999992</v>
      </c>
      <c r="F241">
        <v>-2000.25</v>
      </c>
      <c r="G241">
        <v>0</v>
      </c>
      <c r="H241">
        <v>0</v>
      </c>
      <c r="I241">
        <v>0</v>
      </c>
      <c r="J241">
        <v>-2000.25</v>
      </c>
    </row>
    <row r="242" spans="1:10">
      <c r="A242" t="s">
        <v>735</v>
      </c>
      <c r="B242" t="s">
        <v>206</v>
      </c>
      <c r="C242">
        <v>0</v>
      </c>
      <c r="D242">
        <v>0</v>
      </c>
      <c r="E242">
        <v>0</v>
      </c>
      <c r="F242">
        <v>0</v>
      </c>
      <c r="G242">
        <v>136583.88999999998</v>
      </c>
      <c r="H242">
        <v>-46739.63</v>
      </c>
      <c r="I242">
        <v>89844.26</v>
      </c>
      <c r="J242">
        <v>-89844.26</v>
      </c>
    </row>
    <row r="243" spans="1:10">
      <c r="A243" t="s">
        <v>1059</v>
      </c>
      <c r="B243" t="s">
        <v>38</v>
      </c>
      <c r="C243">
        <v>0</v>
      </c>
      <c r="D243">
        <v>0</v>
      </c>
      <c r="E243">
        <v>0</v>
      </c>
      <c r="F243">
        <v>0</v>
      </c>
      <c r="G243">
        <v>23114.639999999999</v>
      </c>
      <c r="H243">
        <v>-1000</v>
      </c>
      <c r="I243">
        <v>22114.639999999999</v>
      </c>
      <c r="J243">
        <v>-22114.639999999999</v>
      </c>
    </row>
    <row r="244" spans="1:10">
      <c r="A244" t="s">
        <v>1013</v>
      </c>
      <c r="B244" t="s">
        <v>195</v>
      </c>
      <c r="C244">
        <v>0</v>
      </c>
      <c r="D244">
        <v>0</v>
      </c>
      <c r="E244">
        <v>0</v>
      </c>
      <c r="F244">
        <v>0</v>
      </c>
      <c r="G244">
        <v>4067760.9099999997</v>
      </c>
      <c r="H244">
        <v>-332309.26999999996</v>
      </c>
      <c r="I244">
        <v>3735451.6399999997</v>
      </c>
      <c r="J244">
        <v>-3735451.6399999997</v>
      </c>
    </row>
    <row r="245" spans="1:10">
      <c r="A245" t="s">
        <v>818</v>
      </c>
      <c r="B245" t="s">
        <v>829</v>
      </c>
      <c r="C245">
        <v>0</v>
      </c>
      <c r="D245">
        <v>0</v>
      </c>
      <c r="E245">
        <v>0</v>
      </c>
      <c r="F245">
        <v>0</v>
      </c>
      <c r="G245">
        <v>150000</v>
      </c>
      <c r="H245">
        <v>0</v>
      </c>
      <c r="I245">
        <v>150000</v>
      </c>
      <c r="J245">
        <v>-150000</v>
      </c>
    </row>
    <row r="246" spans="1:10">
      <c r="A246" t="s">
        <v>188</v>
      </c>
      <c r="B246" t="s">
        <v>465</v>
      </c>
      <c r="C246">
        <v>0</v>
      </c>
      <c r="D246">
        <v>1.9999999999999997E-2</v>
      </c>
      <c r="E246">
        <v>0</v>
      </c>
      <c r="F246">
        <v>1.9999999999999997E-2</v>
      </c>
      <c r="G246">
        <v>47784.859999999993</v>
      </c>
      <c r="H246">
        <v>0</v>
      </c>
      <c r="I246">
        <v>47784.859999999993</v>
      </c>
      <c r="J246">
        <v>-47784.84</v>
      </c>
    </row>
    <row r="247" spans="1:10">
      <c r="A247" t="s">
        <v>213</v>
      </c>
      <c r="B247" t="s">
        <v>54</v>
      </c>
      <c r="C247">
        <v>0</v>
      </c>
      <c r="D247">
        <v>0</v>
      </c>
      <c r="E247">
        <v>0</v>
      </c>
      <c r="F247">
        <v>0</v>
      </c>
      <c r="G247">
        <v>4.3299999999999992</v>
      </c>
      <c r="H247">
        <v>0</v>
      </c>
      <c r="I247">
        <v>4.3299999999999992</v>
      </c>
      <c r="J247">
        <v>-4.3299999999999992</v>
      </c>
    </row>
    <row r="248" spans="1:10">
      <c r="A248" t="s">
        <v>346</v>
      </c>
      <c r="B248" t="s">
        <v>1103</v>
      </c>
      <c r="C248">
        <v>0</v>
      </c>
      <c r="D248">
        <v>0</v>
      </c>
      <c r="E248">
        <v>0</v>
      </c>
      <c r="F248">
        <v>0</v>
      </c>
      <c r="G248">
        <v>430.2</v>
      </c>
      <c r="H248">
        <v>0</v>
      </c>
      <c r="I248">
        <v>430.2</v>
      </c>
      <c r="J248">
        <v>-430.2</v>
      </c>
    </row>
    <row r="249" spans="1:10">
      <c r="A249" t="s">
        <v>359</v>
      </c>
      <c r="B249" t="s">
        <v>20</v>
      </c>
      <c r="C249">
        <v>0</v>
      </c>
      <c r="D249">
        <v>1.9999999999999997E-2</v>
      </c>
      <c r="E249">
        <v>0</v>
      </c>
      <c r="F249">
        <v>1.9999999999999997E-2</v>
      </c>
      <c r="G249">
        <v>29797.06</v>
      </c>
      <c r="H249">
        <v>-28357.58</v>
      </c>
      <c r="I249">
        <v>1439.4799999999998</v>
      </c>
      <c r="J249">
        <v>-1439.4599999999998</v>
      </c>
    </row>
    <row r="250" spans="1:10">
      <c r="A250" t="s">
        <v>1006</v>
      </c>
      <c r="B250" t="s">
        <v>772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</row>
  </sheetData>
  <sheetProtection sheet="1"/>
  <phoneticPr fontId="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cols>
    <col min="1" max="1" width="9.42578125" customWidth="1"/>
    <col min="2" max="2" width="34.42578125" customWidth="1"/>
    <col min="3" max="4" width="9.85546875" customWidth="1"/>
  </cols>
  <sheetData>
    <row r="1" spans="1:4">
      <c r="A1" t="s">
        <v>1237</v>
      </c>
      <c r="B1" t="s">
        <v>554</v>
      </c>
      <c r="C1" t="s">
        <v>670</v>
      </c>
      <c r="D1" t="s">
        <v>494</v>
      </c>
    </row>
    <row r="2" spans="1:4">
      <c r="A2" t="s">
        <v>481</v>
      </c>
      <c r="B2" t="s">
        <v>418</v>
      </c>
      <c r="C2">
        <v>14913.73</v>
      </c>
      <c r="D2">
        <v>93515.71</v>
      </c>
    </row>
    <row r="3" spans="1:4">
      <c r="A3" t="s">
        <v>383</v>
      </c>
      <c r="B3" t="s">
        <v>758</v>
      </c>
      <c r="C3">
        <v>0</v>
      </c>
      <c r="D3">
        <v>2165.9699999999998</v>
      </c>
    </row>
    <row r="4" spans="1:4">
      <c r="A4" t="s">
        <v>921</v>
      </c>
      <c r="B4" t="s">
        <v>678</v>
      </c>
      <c r="C4">
        <v>-273302.86</v>
      </c>
      <c r="D4">
        <v>-411820.15</v>
      </c>
    </row>
    <row r="5" spans="1:4">
      <c r="A5" t="s">
        <v>679</v>
      </c>
      <c r="B5" t="s">
        <v>825</v>
      </c>
      <c r="C5">
        <v>0</v>
      </c>
      <c r="D5">
        <v>-16806.8</v>
      </c>
    </row>
    <row r="6" spans="1:4">
      <c r="A6" t="s">
        <v>655</v>
      </c>
      <c r="B6" t="s">
        <v>181</v>
      </c>
      <c r="C6">
        <v>0</v>
      </c>
      <c r="D6">
        <v>-161780.88999999998</v>
      </c>
    </row>
    <row r="7" spans="1:4">
      <c r="A7" t="s">
        <v>547</v>
      </c>
      <c r="B7" t="s">
        <v>1324</v>
      </c>
      <c r="C7">
        <v>0</v>
      </c>
      <c r="D7">
        <v>0</v>
      </c>
    </row>
  </sheetData>
  <sheetProtection sheet="1"/>
  <phoneticPr fontId="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D6"/>
  <sheetViews>
    <sheetView workbookViewId="0"/>
  </sheetViews>
  <sheetFormatPr defaultRowHeight="15"/>
  <cols>
    <col min="1" max="1" width="9.42578125" customWidth="1"/>
    <col min="2" max="2" width="34.42578125" customWidth="1"/>
    <col min="3" max="4" width="9.85546875" customWidth="1"/>
  </cols>
  <sheetData>
    <row r="1" spans="1:4">
      <c r="A1" t="s">
        <v>1237</v>
      </c>
      <c r="B1" t="s">
        <v>554</v>
      </c>
      <c r="C1" t="s">
        <v>670</v>
      </c>
      <c r="D1" t="s">
        <v>494</v>
      </c>
    </row>
    <row r="2" spans="1:4">
      <c r="A2" t="s">
        <v>481</v>
      </c>
      <c r="B2" t="s">
        <v>418</v>
      </c>
      <c r="C2">
        <v>5665.4599999999991</v>
      </c>
      <c r="D2">
        <v>90623.109999999986</v>
      </c>
    </row>
    <row r="3" spans="1:4">
      <c r="A3" t="s">
        <v>383</v>
      </c>
      <c r="B3" t="s">
        <v>758</v>
      </c>
      <c r="C3">
        <v>0</v>
      </c>
      <c r="D3">
        <v>2165.9699999999998</v>
      </c>
    </row>
    <row r="4" spans="1:4">
      <c r="A4" t="s">
        <v>921</v>
      </c>
      <c r="B4" t="s">
        <v>678</v>
      </c>
      <c r="C4">
        <v>-279848.20999999996</v>
      </c>
      <c r="D4">
        <v>-497193.69999999995</v>
      </c>
    </row>
    <row r="5" spans="1:4">
      <c r="A5" t="s">
        <v>655</v>
      </c>
      <c r="B5" t="s">
        <v>181</v>
      </c>
      <c r="C5">
        <v>0</v>
      </c>
      <c r="D5">
        <v>-187341.93999999997</v>
      </c>
    </row>
    <row r="6" spans="1:4">
      <c r="A6" t="s">
        <v>547</v>
      </c>
      <c r="B6" t="s">
        <v>1324</v>
      </c>
      <c r="C6">
        <v>0</v>
      </c>
      <c r="D6">
        <v>0</v>
      </c>
    </row>
  </sheetData>
  <sheetProtection sheet="1"/>
  <phoneticPr fontId="0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2:AF49"/>
  <sheetViews>
    <sheetView topLeftCell="A20" workbookViewId="0">
      <selection activeCell="A47" sqref="A47:G48"/>
    </sheetView>
  </sheetViews>
  <sheetFormatPr defaultRowHeight="15"/>
  <cols>
    <col min="1" max="31" width="2.7109375" customWidth="1"/>
    <col min="32" max="32" width="2.85546875" customWidth="1"/>
  </cols>
  <sheetData>
    <row r="2" spans="1:32">
      <c r="W2" s="89" t="s">
        <v>985</v>
      </c>
      <c r="X2" s="90"/>
      <c r="Y2" s="90"/>
      <c r="Z2" s="90"/>
      <c r="AA2" s="90"/>
      <c r="AB2" s="90"/>
      <c r="AC2" s="90"/>
      <c r="AD2" s="91"/>
    </row>
    <row r="4" spans="1:32" ht="23.25">
      <c r="A4" s="94" t="s">
        <v>85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</row>
    <row r="5" spans="1:32" s="31" customFormat="1" ht="17.25">
      <c r="A5" s="95" t="s">
        <v>63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</row>
    <row r="6" spans="1:32" s="31" customFormat="1" ht="17.25">
      <c r="L6" s="93" t="s">
        <v>216</v>
      </c>
      <c r="M6" s="93"/>
      <c r="N6" s="93"/>
      <c r="O6" s="93"/>
      <c r="P6" s="93"/>
      <c r="Q6" s="96" t="s">
        <v>871</v>
      </c>
      <c r="R6" s="96"/>
      <c r="S6" s="96"/>
      <c r="T6" s="92">
        <v>20</v>
      </c>
      <c r="U6" s="92"/>
      <c r="V6" s="32">
        <v>1</v>
      </c>
      <c r="W6" s="31">
        <v>2</v>
      </c>
    </row>
    <row r="8" spans="1:32">
      <c r="H8" s="6"/>
    </row>
    <row r="9" spans="1:32">
      <c r="N9" s="28" t="s">
        <v>623</v>
      </c>
      <c r="O9" s="2" t="s">
        <v>1359</v>
      </c>
      <c r="P9" s="23" t="s">
        <v>441</v>
      </c>
      <c r="X9" s="28"/>
      <c r="Y9" s="2" t="s">
        <v>1359</v>
      </c>
      <c r="Z9" s="23" t="s">
        <v>1042</v>
      </c>
    </row>
    <row r="11" spans="1:32">
      <c r="N11" s="30" t="s">
        <v>263</v>
      </c>
      <c r="Q11" s="30" t="s">
        <v>529</v>
      </c>
      <c r="X11" s="30" t="s">
        <v>263</v>
      </c>
      <c r="AA11" s="30" t="s">
        <v>529</v>
      </c>
    </row>
    <row r="12" spans="1:32">
      <c r="I12" s="30" t="s">
        <v>355</v>
      </c>
      <c r="M12" s="30" t="s">
        <v>177</v>
      </c>
      <c r="N12" s="28">
        <v>0</v>
      </c>
      <c r="O12" s="28">
        <v>1</v>
      </c>
      <c r="Q12" s="28">
        <v>2</v>
      </c>
      <c r="R12" s="28">
        <v>0</v>
      </c>
      <c r="S12" s="28">
        <v>1</v>
      </c>
      <c r="T12" s="28">
        <v>2</v>
      </c>
      <c r="W12" s="30" t="s">
        <v>523</v>
      </c>
      <c r="X12" s="28">
        <v>1</v>
      </c>
      <c r="Y12" s="28">
        <v>2</v>
      </c>
      <c r="AA12" s="28">
        <v>2</v>
      </c>
      <c r="AB12" s="28">
        <v>0</v>
      </c>
      <c r="AC12" s="28">
        <v>1</v>
      </c>
      <c r="AD12" s="28">
        <v>2</v>
      </c>
    </row>
    <row r="14" spans="1:32">
      <c r="F14" s="30" t="s">
        <v>524</v>
      </c>
      <c r="N14" s="30" t="s">
        <v>263</v>
      </c>
      <c r="Q14" s="30" t="s">
        <v>529</v>
      </c>
      <c r="X14" s="30" t="s">
        <v>263</v>
      </c>
      <c r="AA14" s="30" t="s">
        <v>529</v>
      </c>
    </row>
    <row r="15" spans="1:32">
      <c r="F15" s="30" t="s">
        <v>311</v>
      </c>
      <c r="M15" s="30" t="s">
        <v>177</v>
      </c>
      <c r="N15" s="28">
        <v>0</v>
      </c>
      <c r="O15" s="28">
        <v>1</v>
      </c>
      <c r="Q15" s="28">
        <v>2</v>
      </c>
      <c r="R15" s="28">
        <v>0</v>
      </c>
      <c r="S15" s="28">
        <v>1</v>
      </c>
      <c r="T15" s="28">
        <v>1</v>
      </c>
      <c r="W15" s="30" t="s">
        <v>523</v>
      </c>
      <c r="X15" s="28">
        <v>1</v>
      </c>
      <c r="Y15" s="28">
        <v>2</v>
      </c>
      <c r="AA15" s="28">
        <v>2</v>
      </c>
      <c r="AB15" s="28">
        <v>0</v>
      </c>
      <c r="AC15" s="28">
        <v>1</v>
      </c>
      <c r="AD15" s="28">
        <v>1</v>
      </c>
    </row>
    <row r="18" spans="1:31" s="3" customFormat="1">
      <c r="A18" s="30" t="s">
        <v>701</v>
      </c>
      <c r="P18" s="30" t="s">
        <v>769</v>
      </c>
      <c r="W18" s="30" t="s">
        <v>769</v>
      </c>
    </row>
    <row r="19" spans="1:31">
      <c r="A19" s="28">
        <v>0</v>
      </c>
      <c r="B19" s="28">
        <v>5</v>
      </c>
      <c r="D19" s="28">
        <v>0</v>
      </c>
      <c r="E19" s="28">
        <v>9</v>
      </c>
      <c r="G19" s="28">
        <v>2</v>
      </c>
      <c r="H19" s="28">
        <v>0</v>
      </c>
      <c r="I19" s="28">
        <v>0</v>
      </c>
      <c r="J19" s="28">
        <v>7</v>
      </c>
      <c r="P19" s="28" t="s">
        <v>623</v>
      </c>
      <c r="Q19" s="2" t="s">
        <v>1359</v>
      </c>
      <c r="R19" s="23" t="s">
        <v>1093</v>
      </c>
      <c r="W19" s="28" t="s">
        <v>623</v>
      </c>
      <c r="X19" s="2" t="s">
        <v>1359</v>
      </c>
      <c r="Y19" s="23" t="s">
        <v>1128</v>
      </c>
    </row>
    <row r="20" spans="1:31">
      <c r="P20" s="28"/>
      <c r="Q20" s="2" t="s">
        <v>1359</v>
      </c>
      <c r="R20" s="23" t="s">
        <v>349</v>
      </c>
      <c r="W20" s="28" t="s">
        <v>623</v>
      </c>
      <c r="X20" s="2" t="s">
        <v>1359</v>
      </c>
      <c r="Y20" s="23" t="s">
        <v>802</v>
      </c>
    </row>
    <row r="21" spans="1:31">
      <c r="P21" s="28"/>
      <c r="Q21" s="2" t="s">
        <v>1359</v>
      </c>
      <c r="R21" s="23" t="s">
        <v>1321</v>
      </c>
    </row>
    <row r="23" spans="1:31" s="30" customFormat="1" ht="12">
      <c r="A23" s="30" t="s">
        <v>968</v>
      </c>
      <c r="J23" s="30" t="s">
        <v>17</v>
      </c>
      <c r="V23" s="30" t="s">
        <v>631</v>
      </c>
    </row>
    <row r="24" spans="1:31">
      <c r="A24" s="28">
        <v>3</v>
      </c>
      <c r="B24" s="28">
        <v>6</v>
      </c>
      <c r="C24" s="28">
        <v>8</v>
      </c>
      <c r="D24" s="28">
        <v>3</v>
      </c>
      <c r="E24" s="28">
        <v>0</v>
      </c>
      <c r="F24" s="28">
        <v>6</v>
      </c>
      <c r="G24" s="28">
        <v>3</v>
      </c>
      <c r="H24" s="28">
        <v>1</v>
      </c>
      <c r="J24" s="28">
        <v>2</v>
      </c>
      <c r="K24" s="28">
        <v>0</v>
      </c>
      <c r="L24" s="28">
        <v>2</v>
      </c>
      <c r="M24" s="28">
        <v>2</v>
      </c>
      <c r="N24" s="28">
        <v>4</v>
      </c>
      <c r="O24" s="28">
        <v>4</v>
      </c>
      <c r="P24" s="28">
        <v>6</v>
      </c>
      <c r="Q24" s="28">
        <v>2</v>
      </c>
      <c r="R24" s="28">
        <v>1</v>
      </c>
      <c r="S24" s="28">
        <v>7</v>
      </c>
      <c r="T24" s="28"/>
      <c r="V24" s="28">
        <v>4</v>
      </c>
      <c r="W24" s="28">
        <v>6</v>
      </c>
      <c r="X24" s="2" t="s">
        <v>967</v>
      </c>
      <c r="Y24" s="28">
        <v>3</v>
      </c>
      <c r="Z24" s="28">
        <v>2</v>
      </c>
      <c r="AA24" s="2" t="s">
        <v>1363</v>
      </c>
      <c r="AB24" s="28">
        <v>1</v>
      </c>
    </row>
    <row r="26" spans="1:31" s="30" customFormat="1" ht="12">
      <c r="A26" s="30" t="s">
        <v>1275</v>
      </c>
    </row>
    <row r="27" spans="1:31">
      <c r="A27" s="28" t="s">
        <v>881</v>
      </c>
      <c r="B27" s="28" t="s">
        <v>1364</v>
      </c>
      <c r="C27" s="28" t="s">
        <v>880</v>
      </c>
      <c r="D27" s="28" t="s">
        <v>878</v>
      </c>
      <c r="E27" s="28" t="s">
        <v>1365</v>
      </c>
      <c r="F27" s="28" t="s">
        <v>1364</v>
      </c>
      <c r="G27" s="28" t="s">
        <v>881</v>
      </c>
      <c r="H27" s="28"/>
      <c r="I27" s="28" t="s">
        <v>872</v>
      </c>
      <c r="J27" s="28" t="s">
        <v>967</v>
      </c>
      <c r="K27" s="28" t="s">
        <v>881</v>
      </c>
      <c r="L27" s="28" t="s">
        <v>967</v>
      </c>
      <c r="M27" s="28" t="s">
        <v>882</v>
      </c>
      <c r="N27" s="28" t="s">
        <v>967</v>
      </c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30" spans="1:31" s="23" customFormat="1" ht="12">
      <c r="A30" s="30" t="s">
        <v>855</v>
      </c>
    </row>
    <row r="31" spans="1:31" s="23" customFormat="1" ht="12">
      <c r="A31" s="23" t="s">
        <v>1195</v>
      </c>
      <c r="X31" s="23" t="s">
        <v>336</v>
      </c>
    </row>
    <row r="32" spans="1:31">
      <c r="A32" s="28" t="s">
        <v>1366</v>
      </c>
      <c r="B32" s="28" t="s">
        <v>1367</v>
      </c>
      <c r="C32" s="28" t="s">
        <v>876</v>
      </c>
      <c r="D32" s="28" t="s">
        <v>873</v>
      </c>
      <c r="E32" s="28" t="s">
        <v>883</v>
      </c>
      <c r="F32" s="28" t="s">
        <v>878</v>
      </c>
      <c r="G32" s="28" t="s">
        <v>884</v>
      </c>
      <c r="H32" s="28" t="s">
        <v>882</v>
      </c>
      <c r="I32" s="28" t="s">
        <v>875</v>
      </c>
      <c r="J32" s="28" t="s">
        <v>874</v>
      </c>
      <c r="K32" s="28" t="s">
        <v>1363</v>
      </c>
      <c r="L32" s="28" t="s">
        <v>1363</v>
      </c>
      <c r="M32" s="28" t="s">
        <v>1363</v>
      </c>
      <c r="N32" s="28"/>
      <c r="O32" s="28"/>
      <c r="P32" s="28"/>
      <c r="Q32" s="28"/>
      <c r="R32" s="28"/>
      <c r="S32" s="28"/>
      <c r="T32" s="28"/>
      <c r="U32" s="28"/>
      <c r="V32" s="28"/>
      <c r="W32" s="29"/>
      <c r="X32" s="28">
        <v>1</v>
      </c>
      <c r="Y32" s="28">
        <v>6</v>
      </c>
      <c r="Z32" s="28"/>
      <c r="AA32" s="28"/>
      <c r="AB32" s="28"/>
      <c r="AC32" s="28"/>
      <c r="AD32" s="28"/>
      <c r="AE32" s="28"/>
    </row>
    <row r="34" spans="1:31" s="23" customFormat="1" ht="12">
      <c r="A34" s="23" t="s">
        <v>630</v>
      </c>
      <c r="G34" s="23" t="s">
        <v>70</v>
      </c>
    </row>
    <row r="35" spans="1:31">
      <c r="A35" s="28">
        <v>8</v>
      </c>
      <c r="B35" s="28">
        <v>2</v>
      </c>
      <c r="C35" s="28">
        <v>1</v>
      </c>
      <c r="D35" s="28">
        <v>0</v>
      </c>
      <c r="E35" s="28">
        <v>2</v>
      </c>
      <c r="G35" s="28" t="s">
        <v>877</v>
      </c>
      <c r="H35" s="28" t="s">
        <v>881</v>
      </c>
      <c r="I35" s="28" t="s">
        <v>874</v>
      </c>
      <c r="J35" s="28" t="s">
        <v>873</v>
      </c>
      <c r="K35" s="28" t="s">
        <v>878</v>
      </c>
      <c r="L35" s="28" t="s">
        <v>872</v>
      </c>
      <c r="M35" s="28" t="s">
        <v>879</v>
      </c>
      <c r="N35" s="28" t="s">
        <v>874</v>
      </c>
      <c r="O35" s="28" t="s">
        <v>875</v>
      </c>
      <c r="P35" s="28" t="s">
        <v>874</v>
      </c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7" spans="1:31" s="23" customFormat="1" ht="12">
      <c r="A37" s="23" t="s">
        <v>69</v>
      </c>
      <c r="P37" s="23" t="s">
        <v>976</v>
      </c>
    </row>
    <row r="38" spans="1:31">
      <c r="A38" s="28">
        <v>0</v>
      </c>
      <c r="B38" s="28">
        <v>2</v>
      </c>
      <c r="C38" s="28"/>
      <c r="D38" s="28"/>
      <c r="E38" s="2" t="s">
        <v>187</v>
      </c>
      <c r="F38" s="28" t="s">
        <v>1363</v>
      </c>
      <c r="G38" s="28" t="s">
        <v>1363</v>
      </c>
      <c r="H38" s="28" t="s">
        <v>1363</v>
      </c>
      <c r="I38" s="28" t="s">
        <v>1363</v>
      </c>
      <c r="J38" s="28" t="s">
        <v>1363</v>
      </c>
      <c r="K38" s="28" t="s">
        <v>1363</v>
      </c>
      <c r="L38" s="28" t="s">
        <v>1363</v>
      </c>
      <c r="M38" s="28" t="s">
        <v>1363</v>
      </c>
      <c r="P38" s="28">
        <v>0</v>
      </c>
      <c r="Q38" s="28">
        <v>2</v>
      </c>
      <c r="R38" s="28"/>
      <c r="S38" s="28"/>
      <c r="T38" s="2" t="s">
        <v>187</v>
      </c>
      <c r="U38" s="28" t="s">
        <v>1363</v>
      </c>
      <c r="V38" s="28" t="s">
        <v>1363</v>
      </c>
      <c r="W38" s="28" t="s">
        <v>1363</v>
      </c>
      <c r="X38" s="28" t="s">
        <v>1363</v>
      </c>
      <c r="Y38" s="28" t="s">
        <v>1363</v>
      </c>
      <c r="Z38" s="28" t="s">
        <v>1363</v>
      </c>
      <c r="AA38" s="28" t="s">
        <v>1363</v>
      </c>
      <c r="AB38" s="28" t="s">
        <v>1363</v>
      </c>
    </row>
    <row r="40" spans="1:31" s="23" customFormat="1" ht="12">
      <c r="A40" s="23" t="s">
        <v>729</v>
      </c>
    </row>
    <row r="41" spans="1:31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</row>
    <row r="43" spans="1:31" ht="15" customHeight="1">
      <c r="A43" s="85" t="s">
        <v>186</v>
      </c>
      <c r="B43" s="86"/>
      <c r="C43" s="86"/>
      <c r="D43" s="86"/>
      <c r="E43" s="86"/>
      <c r="F43" s="86"/>
      <c r="G43" s="87"/>
      <c r="H43" s="73" t="s">
        <v>912</v>
      </c>
      <c r="I43" s="74"/>
      <c r="J43" s="74"/>
      <c r="K43" s="74"/>
      <c r="L43" s="74"/>
      <c r="M43" s="74"/>
      <c r="N43" s="74"/>
      <c r="O43" s="75"/>
      <c r="P43" s="73" t="s">
        <v>966</v>
      </c>
      <c r="Q43" s="74"/>
      <c r="R43" s="74"/>
      <c r="S43" s="74"/>
      <c r="T43" s="74"/>
      <c r="U43" s="74"/>
      <c r="V43" s="74"/>
      <c r="W43" s="75"/>
      <c r="X43" s="73" t="s">
        <v>299</v>
      </c>
      <c r="Y43" s="74"/>
      <c r="Z43" s="74"/>
      <c r="AA43" s="74"/>
      <c r="AB43" s="74"/>
      <c r="AC43" s="74"/>
      <c r="AD43" s="74"/>
      <c r="AE43" s="75"/>
    </row>
    <row r="44" spans="1:31">
      <c r="A44" s="79">
        <v>41344</v>
      </c>
      <c r="B44" s="80"/>
      <c r="C44" s="80"/>
      <c r="D44" s="80"/>
      <c r="E44" s="80"/>
      <c r="F44" s="80"/>
      <c r="G44" s="81"/>
      <c r="H44" s="76"/>
      <c r="I44" s="77"/>
      <c r="J44" s="77"/>
      <c r="K44" s="77"/>
      <c r="L44" s="77"/>
      <c r="M44" s="77"/>
      <c r="N44" s="77"/>
      <c r="O44" s="78"/>
      <c r="P44" s="76"/>
      <c r="Q44" s="77"/>
      <c r="R44" s="77"/>
      <c r="S44" s="77"/>
      <c r="T44" s="77"/>
      <c r="U44" s="77"/>
      <c r="V44" s="77"/>
      <c r="W44" s="78"/>
      <c r="X44" s="76"/>
      <c r="Y44" s="77"/>
      <c r="Z44" s="77"/>
      <c r="AA44" s="77"/>
      <c r="AB44" s="77"/>
      <c r="AC44" s="77"/>
      <c r="AD44" s="77"/>
      <c r="AE44" s="78"/>
    </row>
    <row r="45" spans="1:31">
      <c r="A45" s="82"/>
      <c r="B45" s="83"/>
      <c r="C45" s="83"/>
      <c r="D45" s="83"/>
      <c r="E45" s="83"/>
      <c r="F45" s="83"/>
      <c r="G45" s="84"/>
      <c r="H45" s="66"/>
      <c r="I45" s="67"/>
      <c r="J45" s="67"/>
      <c r="K45" s="67"/>
      <c r="L45" s="67"/>
      <c r="M45" s="67"/>
      <c r="N45" s="67"/>
      <c r="O45" s="68"/>
      <c r="P45" s="66"/>
      <c r="Q45" s="67"/>
      <c r="R45" s="67"/>
      <c r="S45" s="67"/>
      <c r="T45" s="67"/>
      <c r="U45" s="67"/>
      <c r="V45" s="67"/>
      <c r="W45" s="68"/>
      <c r="X45" s="66"/>
      <c r="Y45" s="67"/>
      <c r="Z45" s="67"/>
      <c r="AA45" s="67"/>
      <c r="AB45" s="67"/>
      <c r="AC45" s="67"/>
      <c r="AD45" s="67"/>
      <c r="AE45" s="68"/>
    </row>
    <row r="46" spans="1:31">
      <c r="A46" s="85" t="s">
        <v>192</v>
      </c>
      <c r="B46" s="86"/>
      <c r="C46" s="86"/>
      <c r="D46" s="86"/>
      <c r="E46" s="86"/>
      <c r="F46" s="86"/>
      <c r="G46" s="87"/>
      <c r="H46" s="66"/>
      <c r="I46" s="69"/>
      <c r="J46" s="69"/>
      <c r="K46" s="69"/>
      <c r="L46" s="69"/>
      <c r="M46" s="69"/>
      <c r="N46" s="69"/>
      <c r="O46" s="68"/>
      <c r="P46" s="66"/>
      <c r="Q46" s="69"/>
      <c r="R46" s="69"/>
      <c r="S46" s="69"/>
      <c r="T46" s="69"/>
      <c r="U46" s="69"/>
      <c r="V46" s="69"/>
      <c r="W46" s="68"/>
      <c r="X46" s="66"/>
      <c r="Y46" s="69"/>
      <c r="Z46" s="69"/>
      <c r="AA46" s="69"/>
      <c r="AB46" s="69"/>
      <c r="AC46" s="69"/>
      <c r="AD46" s="69"/>
      <c r="AE46" s="68"/>
    </row>
    <row r="47" spans="1:31">
      <c r="A47" s="88"/>
      <c r="B47" s="80"/>
      <c r="C47" s="80"/>
      <c r="D47" s="80"/>
      <c r="E47" s="80"/>
      <c r="F47" s="80"/>
      <c r="G47" s="81"/>
      <c r="H47" s="66"/>
      <c r="I47" s="69"/>
      <c r="J47" s="69"/>
      <c r="K47" s="69"/>
      <c r="L47" s="69"/>
      <c r="M47" s="69"/>
      <c r="N47" s="69"/>
      <c r="O47" s="68"/>
      <c r="P47" s="66"/>
      <c r="Q47" s="69"/>
      <c r="R47" s="69"/>
      <c r="S47" s="69"/>
      <c r="T47" s="69"/>
      <c r="U47" s="69"/>
      <c r="V47" s="69"/>
      <c r="W47" s="68"/>
      <c r="X47" s="66"/>
      <c r="Y47" s="69"/>
      <c r="Z47" s="69"/>
      <c r="AA47" s="69"/>
      <c r="AB47" s="69"/>
      <c r="AC47" s="69"/>
      <c r="AD47" s="69"/>
      <c r="AE47" s="68"/>
    </row>
    <row r="48" spans="1:31">
      <c r="A48" s="82"/>
      <c r="B48" s="83"/>
      <c r="C48" s="83"/>
      <c r="D48" s="83"/>
      <c r="E48" s="83"/>
      <c r="F48" s="83"/>
      <c r="G48" s="84"/>
      <c r="H48" s="70"/>
      <c r="I48" s="71"/>
      <c r="J48" s="71"/>
      <c r="K48" s="71"/>
      <c r="L48" s="71"/>
      <c r="M48" s="71"/>
      <c r="N48" s="71"/>
      <c r="O48" s="72"/>
      <c r="P48" s="70"/>
      <c r="Q48" s="71"/>
      <c r="R48" s="71"/>
      <c r="S48" s="71"/>
      <c r="T48" s="71"/>
      <c r="U48" s="71"/>
      <c r="V48" s="71"/>
      <c r="W48" s="72"/>
      <c r="X48" s="70"/>
      <c r="Y48" s="71"/>
      <c r="Z48" s="71"/>
      <c r="AA48" s="71"/>
      <c r="AB48" s="71"/>
      <c r="AC48" s="71"/>
      <c r="AD48" s="71"/>
      <c r="AE48" s="72"/>
    </row>
    <row r="49" spans="1:1">
      <c r="A49" s="23" t="s">
        <v>295</v>
      </c>
    </row>
  </sheetData>
  <mergeCells count="16">
    <mergeCell ref="W2:AD2"/>
    <mergeCell ref="T6:U6"/>
    <mergeCell ref="L6:P6"/>
    <mergeCell ref="A4:AF4"/>
    <mergeCell ref="A5:AF5"/>
    <mergeCell ref="Q6:S6"/>
    <mergeCell ref="X45:AE48"/>
    <mergeCell ref="X43:AE44"/>
    <mergeCell ref="A44:G45"/>
    <mergeCell ref="A43:G43"/>
    <mergeCell ref="A46:G46"/>
    <mergeCell ref="A47:G48"/>
    <mergeCell ref="H45:O48"/>
    <mergeCell ref="H43:O44"/>
    <mergeCell ref="P45:W48"/>
    <mergeCell ref="P43:W44"/>
  </mergeCells>
  <phoneticPr fontId="0" type="noConversion"/>
  <pageMargins left="0.7" right="0.7" top="0.75" bottom="0.75" header="0.3" footer="0.3"/>
  <pageSetup paperSize="9" scale="9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46"/>
  <sheetViews>
    <sheetView topLeftCell="A25" workbookViewId="0">
      <selection activeCell="K49" sqref="K49"/>
    </sheetView>
  </sheetViews>
  <sheetFormatPr defaultRowHeight="15"/>
  <sheetData>
    <row r="1" spans="1:10" ht="18.75">
      <c r="B1" s="12" t="s">
        <v>280</v>
      </c>
    </row>
    <row r="3" spans="1:10" ht="15.75">
      <c r="A3" s="11" t="s">
        <v>984</v>
      </c>
    </row>
    <row r="4" spans="1:10">
      <c r="B4" s="116" t="s">
        <v>1368</v>
      </c>
      <c r="C4" s="122"/>
      <c r="D4" s="122"/>
      <c r="E4" s="122"/>
      <c r="F4" s="122"/>
      <c r="G4" s="122"/>
      <c r="H4" s="122"/>
      <c r="I4" s="123"/>
      <c r="J4" s="17"/>
    </row>
    <row r="5" spans="1:10">
      <c r="B5" s="17" t="s">
        <v>816</v>
      </c>
      <c r="C5" s="17"/>
      <c r="D5" s="112" t="s">
        <v>1369</v>
      </c>
      <c r="E5" s="113"/>
      <c r="F5" s="113"/>
      <c r="G5" s="113"/>
      <c r="H5" s="113"/>
      <c r="I5" s="114"/>
      <c r="J5" s="17"/>
    </row>
    <row r="6" spans="1:10">
      <c r="B6" s="17" t="s">
        <v>105</v>
      </c>
      <c r="D6" s="132">
        <v>39339</v>
      </c>
      <c r="E6" s="123"/>
      <c r="F6" s="27"/>
      <c r="G6" s="27"/>
      <c r="H6" s="27"/>
      <c r="I6" s="27"/>
    </row>
    <row r="7" spans="1:10">
      <c r="B7" s="17" t="s">
        <v>110</v>
      </c>
      <c r="D7" s="132">
        <v>39330</v>
      </c>
      <c r="E7" s="123"/>
      <c r="F7" s="27"/>
      <c r="G7" s="27"/>
      <c r="H7" s="27"/>
      <c r="I7" s="27"/>
    </row>
    <row r="8" spans="1:10">
      <c r="B8" s="17" t="s">
        <v>705</v>
      </c>
      <c r="D8" s="116">
        <v>36830631</v>
      </c>
      <c r="E8" s="123"/>
    </row>
    <row r="9" spans="1:10">
      <c r="B9" s="17" t="s">
        <v>1076</v>
      </c>
      <c r="D9" s="116">
        <v>2022446217</v>
      </c>
      <c r="E9" s="123"/>
    </row>
    <row r="10" spans="1:10">
      <c r="B10" s="17"/>
    </row>
    <row r="11" spans="1:10" ht="15.75">
      <c r="A11" s="11" t="s">
        <v>1073</v>
      </c>
      <c r="B11" s="24"/>
      <c r="C11" s="15"/>
      <c r="D11" s="15"/>
      <c r="E11" s="15"/>
      <c r="F11" s="15"/>
      <c r="G11" s="15"/>
      <c r="H11" s="15"/>
      <c r="I11" s="15"/>
    </row>
    <row r="13" spans="1:10">
      <c r="A13" s="99" t="s">
        <v>1370</v>
      </c>
      <c r="B13" s="100"/>
      <c r="C13" s="100"/>
      <c r="D13" s="100"/>
      <c r="E13" s="100"/>
      <c r="F13" s="100"/>
      <c r="G13" s="100"/>
      <c r="H13" s="100"/>
      <c r="I13" s="101"/>
    </row>
    <row r="14" spans="1:10">
      <c r="A14" s="102"/>
      <c r="B14" s="103"/>
      <c r="C14" s="103"/>
      <c r="D14" s="103"/>
      <c r="E14" s="103"/>
      <c r="F14" s="103"/>
      <c r="G14" s="103"/>
      <c r="H14" s="103"/>
      <c r="I14" s="104"/>
    </row>
    <row r="15" spans="1:10">
      <c r="A15" s="102"/>
      <c r="B15" s="103"/>
      <c r="C15" s="103"/>
      <c r="D15" s="103"/>
      <c r="E15" s="103"/>
      <c r="F15" s="103"/>
      <c r="G15" s="103"/>
      <c r="H15" s="103"/>
      <c r="I15" s="104"/>
    </row>
    <row r="16" spans="1:10">
      <c r="A16" s="102"/>
      <c r="B16" s="103"/>
      <c r="C16" s="103"/>
      <c r="D16" s="103"/>
      <c r="E16" s="103"/>
      <c r="F16" s="103"/>
      <c r="G16" s="103"/>
      <c r="H16" s="103"/>
      <c r="I16" s="104"/>
    </row>
    <row r="17" spans="1:9">
      <c r="A17" s="102"/>
      <c r="B17" s="103"/>
      <c r="C17" s="103"/>
      <c r="D17" s="103"/>
      <c r="E17" s="103"/>
      <c r="F17" s="103"/>
      <c r="G17" s="103"/>
      <c r="H17" s="103"/>
      <c r="I17" s="104"/>
    </row>
    <row r="18" spans="1:9">
      <c r="A18" s="105"/>
      <c r="B18" s="106"/>
      <c r="C18" s="106"/>
      <c r="D18" s="106"/>
      <c r="E18" s="106"/>
      <c r="F18" s="106"/>
      <c r="G18" s="106"/>
      <c r="H18" s="106"/>
      <c r="I18" s="107"/>
    </row>
    <row r="20" spans="1:9" ht="15.75">
      <c r="A20" s="11" t="s">
        <v>1346</v>
      </c>
      <c r="B20" s="24"/>
      <c r="C20" s="15"/>
      <c r="D20" s="15"/>
      <c r="E20" s="15"/>
      <c r="F20" s="15"/>
      <c r="G20" s="15"/>
      <c r="H20" s="15"/>
      <c r="I20" s="15"/>
    </row>
    <row r="22" spans="1:9" ht="15" customHeight="1">
      <c r="A22" s="108" t="s">
        <v>288</v>
      </c>
      <c r="B22" s="109"/>
      <c r="C22" s="109"/>
      <c r="D22" s="109"/>
      <c r="E22" s="110"/>
      <c r="F22" s="111" t="s">
        <v>427</v>
      </c>
      <c r="G22" s="111"/>
      <c r="H22" s="127" t="s">
        <v>337</v>
      </c>
      <c r="I22" s="129"/>
    </row>
    <row r="23" spans="1:9" ht="15" customHeight="1">
      <c r="A23" s="112" t="s">
        <v>1151</v>
      </c>
      <c r="B23" s="113"/>
      <c r="C23" s="113"/>
      <c r="D23" s="113"/>
      <c r="E23" s="114"/>
      <c r="F23" s="115">
        <v>1</v>
      </c>
      <c r="G23" s="115"/>
      <c r="H23" s="112">
        <v>1</v>
      </c>
      <c r="I23" s="72"/>
    </row>
    <row r="24" spans="1:9" ht="30" customHeight="1">
      <c r="A24" s="118" t="s">
        <v>24</v>
      </c>
      <c r="B24" s="119"/>
      <c r="C24" s="119"/>
      <c r="D24" s="119"/>
      <c r="E24" s="120"/>
      <c r="F24" s="121">
        <v>1</v>
      </c>
      <c r="G24" s="121"/>
      <c r="H24" s="116">
        <v>1</v>
      </c>
      <c r="I24" s="117"/>
    </row>
    <row r="25" spans="1:9" ht="15" customHeight="1">
      <c r="A25" s="116" t="s">
        <v>1291</v>
      </c>
      <c r="B25" s="122"/>
      <c r="C25" s="122"/>
      <c r="D25" s="122"/>
      <c r="E25" s="123"/>
      <c r="F25" s="121">
        <v>1</v>
      </c>
      <c r="G25" s="121"/>
      <c r="H25" s="116">
        <v>1</v>
      </c>
      <c r="I25" s="117"/>
    </row>
    <row r="27" spans="1:9" ht="15.75">
      <c r="A27" s="11" t="s">
        <v>217</v>
      </c>
      <c r="B27" s="24"/>
      <c r="C27" s="15"/>
      <c r="D27" s="15"/>
      <c r="E27" s="15"/>
      <c r="F27" s="15"/>
      <c r="G27" s="15"/>
      <c r="H27" s="15"/>
      <c r="I27" s="15"/>
    </row>
    <row r="29" spans="1:9" ht="30" customHeight="1">
      <c r="A29" s="111" t="s">
        <v>1319</v>
      </c>
      <c r="B29" s="124"/>
      <c r="C29" s="124"/>
      <c r="D29" s="111" t="s">
        <v>665</v>
      </c>
      <c r="E29" s="111"/>
      <c r="F29" s="49" t="s">
        <v>1256</v>
      </c>
      <c r="G29" s="127" t="s">
        <v>375</v>
      </c>
      <c r="H29" s="128"/>
      <c r="I29" s="129"/>
    </row>
    <row r="30" spans="1:9" ht="15" customHeight="1">
      <c r="A30" s="125"/>
      <c r="B30" s="126"/>
      <c r="C30" s="126"/>
      <c r="D30" s="125"/>
      <c r="E30" s="126"/>
      <c r="F30" s="48"/>
      <c r="G30" s="112"/>
      <c r="H30" s="71"/>
      <c r="I30" s="72"/>
    </row>
    <row r="31" spans="1:9" ht="15" customHeight="1">
      <c r="A31" s="97"/>
      <c r="B31" s="98"/>
      <c r="C31" s="98"/>
      <c r="D31" s="97"/>
      <c r="E31" s="98"/>
      <c r="F31" s="26"/>
      <c r="G31" s="116"/>
      <c r="H31" s="130"/>
      <c r="I31" s="117"/>
    </row>
    <row r="32" spans="1:9" ht="15" customHeight="1">
      <c r="A32" s="97"/>
      <c r="B32" s="98"/>
      <c r="C32" s="98"/>
      <c r="D32" s="97"/>
      <c r="E32" s="98"/>
      <c r="F32" s="26"/>
      <c r="G32" s="116"/>
      <c r="H32" s="130"/>
      <c r="I32" s="117"/>
    </row>
    <row r="33" spans="1:10" ht="15" customHeight="1">
      <c r="A33" s="97"/>
      <c r="B33" s="98"/>
      <c r="C33" s="98"/>
      <c r="D33" s="97"/>
      <c r="E33" s="98"/>
      <c r="F33" s="26"/>
      <c r="G33" s="131"/>
      <c r="H33" s="130"/>
      <c r="I33" s="117"/>
    </row>
    <row r="34" spans="1:10" ht="15" customHeight="1">
      <c r="A34" s="97"/>
      <c r="B34" s="98"/>
      <c r="C34" s="98"/>
      <c r="D34" s="97"/>
      <c r="E34" s="98"/>
      <c r="F34" s="26"/>
      <c r="G34" s="116"/>
      <c r="H34" s="130"/>
      <c r="I34" s="117"/>
    </row>
    <row r="35" spans="1:10" ht="15" customHeight="1">
      <c r="A35" s="97"/>
      <c r="B35" s="98"/>
      <c r="C35" s="98"/>
      <c r="D35" s="97"/>
      <c r="E35" s="98"/>
      <c r="F35" s="26"/>
      <c r="G35" s="116"/>
      <c r="H35" s="130"/>
      <c r="I35" s="117"/>
    </row>
    <row r="36" spans="1:10" ht="15" customHeight="1">
      <c r="A36" s="97"/>
      <c r="B36" s="98"/>
      <c r="C36" s="98"/>
      <c r="D36" s="97"/>
      <c r="E36" s="98"/>
      <c r="F36" s="26"/>
      <c r="G36" s="116"/>
      <c r="H36" s="130"/>
      <c r="I36" s="117"/>
    </row>
    <row r="37" spans="1:10" ht="15" customHeight="1">
      <c r="A37" s="97"/>
      <c r="B37" s="98"/>
      <c r="C37" s="98"/>
      <c r="D37" s="97"/>
      <c r="E37" s="98"/>
      <c r="F37" s="26"/>
      <c r="G37" s="116"/>
      <c r="H37" s="130"/>
      <c r="I37" s="117"/>
    </row>
    <row r="39" spans="1:10" ht="15.75">
      <c r="A39" s="11" t="s">
        <v>318</v>
      </c>
      <c r="B39" s="24"/>
      <c r="C39" s="15"/>
      <c r="D39" s="15"/>
      <c r="E39" s="15"/>
      <c r="F39" s="15"/>
      <c r="G39" s="15"/>
      <c r="H39" s="15"/>
      <c r="I39" s="15"/>
    </row>
    <row r="42" spans="1:10">
      <c r="B42" s="17" t="s">
        <v>96</v>
      </c>
      <c r="C42" s="17"/>
      <c r="D42" s="17"/>
      <c r="E42" s="17"/>
      <c r="F42" s="17"/>
      <c r="G42" s="17"/>
      <c r="H42" s="17"/>
      <c r="I42" s="17"/>
      <c r="J42" s="17"/>
    </row>
    <row r="46" spans="1:10" ht="15.75">
      <c r="A46" s="11" t="s">
        <v>1352</v>
      </c>
      <c r="B46" s="24"/>
      <c r="C46" s="15"/>
      <c r="D46" s="15"/>
      <c r="E46" s="15"/>
      <c r="F46" s="15"/>
      <c r="G46" s="15"/>
      <c r="H46" s="15"/>
      <c r="I46" s="65">
        <v>40999</v>
      </c>
    </row>
  </sheetData>
  <mergeCells count="46">
    <mergeCell ref="G35:I35"/>
    <mergeCell ref="G36:I36"/>
    <mergeCell ref="G37:I37"/>
    <mergeCell ref="D5:I5"/>
    <mergeCell ref="D6:E6"/>
    <mergeCell ref="D7:E7"/>
    <mergeCell ref="D8:E8"/>
    <mergeCell ref="D9:E9"/>
    <mergeCell ref="D30:E30"/>
    <mergeCell ref="H22:I22"/>
    <mergeCell ref="A37:C37"/>
    <mergeCell ref="D37:E37"/>
    <mergeCell ref="G29:I29"/>
    <mergeCell ref="G30:I30"/>
    <mergeCell ref="G31:I31"/>
    <mergeCell ref="G32:I32"/>
    <mergeCell ref="G33:I33"/>
    <mergeCell ref="G34:I34"/>
    <mergeCell ref="A35:C35"/>
    <mergeCell ref="D35:E35"/>
    <mergeCell ref="A36:C36"/>
    <mergeCell ref="D36:E36"/>
    <mergeCell ref="B4:I4"/>
    <mergeCell ref="A31:C31"/>
    <mergeCell ref="D31:E31"/>
    <mergeCell ref="A32:C32"/>
    <mergeCell ref="D32:E32"/>
    <mergeCell ref="A29:C29"/>
    <mergeCell ref="D29:E29"/>
    <mergeCell ref="A30:C30"/>
    <mergeCell ref="A33:C33"/>
    <mergeCell ref="D33:E33"/>
    <mergeCell ref="A24:E24"/>
    <mergeCell ref="F24:G24"/>
    <mergeCell ref="A25:E25"/>
    <mergeCell ref="F25:G25"/>
    <mergeCell ref="A34:C34"/>
    <mergeCell ref="D34:E34"/>
    <mergeCell ref="A13:I18"/>
    <mergeCell ref="A22:E22"/>
    <mergeCell ref="F22:G22"/>
    <mergeCell ref="A23:E23"/>
    <mergeCell ref="F23:G23"/>
    <mergeCell ref="H23:I23"/>
    <mergeCell ref="H24:I24"/>
    <mergeCell ref="H25:I25"/>
  </mergeCells>
  <phoneticPr fontId="0" type="noConversion"/>
  <pageMargins left="0.7" right="0.7" top="0.75" bottom="0.75" header="0.3" footer="0.3"/>
  <pageSetup paperSize="9" scale="8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35</vt:i4>
      </vt:variant>
    </vt:vector>
  </HeadingPairs>
  <TitlesOfParts>
    <vt:vector size="35" baseType="lpstr">
      <vt:lpstr>Popis</vt:lpstr>
      <vt:lpstr>Suvaha_BO</vt:lpstr>
      <vt:lpstr>Suvaha_PO</vt:lpstr>
      <vt:lpstr>HK_BO</vt:lpstr>
      <vt:lpstr>HK_PO</vt:lpstr>
      <vt:lpstr>OPO_BO</vt:lpstr>
      <vt:lpstr>OPO_PO</vt:lpstr>
      <vt:lpstr>Uvod</vt:lpstr>
      <vt:lpstr>A.</vt:lpstr>
      <vt:lpstr>B.</vt:lpstr>
      <vt:lpstr>C. D.</vt:lpstr>
      <vt:lpstr>E.</vt:lpstr>
      <vt:lpstr>F. a) 1)</vt:lpstr>
      <vt:lpstr>F. a) 2)</vt:lpstr>
      <vt:lpstr>F. b) - h)</vt:lpstr>
      <vt:lpstr>F. i)</vt:lpstr>
      <vt:lpstr>F. j)</vt:lpstr>
      <vt:lpstr>F. j) - m)</vt:lpstr>
      <vt:lpstr>F.n) - p)</vt:lpstr>
      <vt:lpstr>F.q)</vt:lpstr>
      <vt:lpstr>F.r)</vt:lpstr>
      <vt:lpstr>F.w)-z)</vt:lpstr>
      <vt:lpstr>G.a)-b)</vt:lpstr>
      <vt:lpstr>G.c)-i)</vt:lpstr>
      <vt:lpstr>G.j)-m)</vt:lpstr>
      <vt:lpstr>H.</vt:lpstr>
      <vt:lpstr>I.</vt:lpstr>
      <vt:lpstr>J.</vt:lpstr>
      <vt:lpstr>K.</vt:lpstr>
      <vt:lpstr>L.</vt:lpstr>
      <vt:lpstr>M.</vt:lpstr>
      <vt:lpstr>N.</vt:lpstr>
      <vt:lpstr>O.</vt:lpstr>
      <vt:lpstr>P.</vt:lpstr>
      <vt:lpstr>Hárok1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Štrocholec Dušan</dc:creator>
  <cp:lastModifiedBy>Juraj</cp:lastModifiedBy>
  <cp:lastPrinted>2013-03-11T12:51:54Z</cp:lastPrinted>
  <dcterms:created xsi:type="dcterms:W3CDTF">2011-12-30T16:41:12Z</dcterms:created>
  <dcterms:modified xsi:type="dcterms:W3CDTF">2013-03-25T11:03:22Z</dcterms:modified>
</cp:coreProperties>
</file>