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zarssk-my.sharepoint.com/personal/milos_kunsky_mazars_sk/Documents/Pracovná plocha/UZ Clamason/"/>
    </mc:Choice>
  </mc:AlternateContent>
  <xr:revisionPtr revIDLastSave="92" documentId="13_ncr:1_{087DA8B5-D257-41FB-B1A8-EBC0EEFF815D}" xr6:coauthVersionLast="47" xr6:coauthVersionMax="47" xr10:uidLastSave="{0C986627-6AED-4F9A-90F4-CFF3E4F6517C}"/>
  <bookViews>
    <workbookView xWindow="-120" yWindow="-120" windowWidth="29040" windowHeight="15840" tabRatio="777" firstSheet="1" activeTab="1" xr2:uid="{00000000-000D-0000-FFFF-FFFF00000000}"/>
  </bookViews>
  <sheets>
    <sheet name="final cf vstup" sheetId="18" state="hidden" r:id="rId1"/>
    <sheet name="FINAL CF" sheetId="17" r:id="rId2"/>
    <sheet name="cash flow - cisty" sheetId="12" state="hidden" r:id="rId3"/>
    <sheet name="cash flow - priklad" sheetId="13" state="hidden" r:id="rId4"/>
    <sheet name="Sheet1" sheetId="15" state="hidden" r:id="rId5"/>
    <sheet name="GL 2023" sheetId="16" state="hidden" r:id="rId6"/>
  </sheets>
  <externalReferences>
    <externalReference r:id="rId7"/>
  </externalReferences>
  <definedNames>
    <definedName name="AS2DocOpenMode" hidden="1">"AS2DocumentEdit"</definedName>
    <definedName name="AS2HasNoAutoHeaderFooter" hidden="1">" "</definedName>
    <definedName name="_xlnm.Print_Area" localSheetId="2">'cash flow - cisty'!$B$41:$AA$113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7" l="1"/>
  <c r="C16" i="17"/>
  <c r="C11" i="17"/>
  <c r="C27" i="17"/>
  <c r="C24" i="17"/>
  <c r="C3" i="17"/>
  <c r="C26" i="17"/>
  <c r="C13" i="17"/>
  <c r="U65" i="18"/>
  <c r="U63" i="18"/>
  <c r="U57" i="18"/>
  <c r="V58" i="18" s="1"/>
  <c r="U56" i="18"/>
  <c r="U55" i="18"/>
  <c r="U54" i="18"/>
  <c r="U53" i="18"/>
  <c r="U52" i="18"/>
  <c r="U51" i="18"/>
  <c r="U50" i="18"/>
  <c r="U49" i="18"/>
  <c r="U48" i="18"/>
  <c r="U44" i="18"/>
  <c r="U43" i="18"/>
  <c r="V45" i="18" s="1"/>
  <c r="U42" i="18"/>
  <c r="U41" i="18"/>
  <c r="U40" i="18"/>
  <c r="U39" i="18"/>
  <c r="U37" i="18"/>
  <c r="U33" i="18"/>
  <c r="U32" i="18"/>
  <c r="U31" i="18"/>
  <c r="U29" i="18"/>
  <c r="U28" i="18"/>
  <c r="U26" i="18"/>
  <c r="U22" i="18"/>
  <c r="U21" i="18"/>
  <c r="U20" i="18"/>
  <c r="U19" i="18"/>
  <c r="U18" i="18"/>
  <c r="U17" i="18"/>
  <c r="U16" i="18"/>
  <c r="U15" i="18"/>
  <c r="U14" i="18"/>
  <c r="U13" i="18"/>
  <c r="U11" i="18"/>
  <c r="V30" i="18" s="1"/>
  <c r="V34" i="18" s="1"/>
  <c r="V61" i="18" s="1"/>
  <c r="U68" i="18" s="1"/>
  <c r="G63" i="16" l="1"/>
  <c r="H63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F2" i="16"/>
  <c r="G293" i="12" l="1"/>
  <c r="F61" i="12"/>
  <c r="F81" i="12"/>
  <c r="C131" i="12"/>
  <c r="C194" i="12" l="1"/>
  <c r="D28" i="12" l="1"/>
  <c r="C220" i="12" l="1"/>
  <c r="D129" i="12" l="1"/>
  <c r="H101" i="12" l="1"/>
  <c r="C124" i="12"/>
  <c r="E26" i="12" l="1"/>
  <c r="E23" i="12"/>
  <c r="E219" i="12" l="1"/>
  <c r="E218" i="12"/>
  <c r="E217" i="12"/>
  <c r="E216" i="12"/>
  <c r="E215" i="12"/>
  <c r="E214" i="12"/>
  <c r="E213" i="12"/>
  <c r="E144" i="12"/>
  <c r="E143" i="12"/>
  <c r="E142" i="12"/>
  <c r="C199" i="12" l="1"/>
  <c r="C204" i="12" s="1"/>
  <c r="D124" i="12"/>
  <c r="E10" i="12"/>
  <c r="D37" i="12"/>
  <c r="C37" i="12"/>
  <c r="F109" i="12"/>
  <c r="Y109" i="12" s="1"/>
  <c r="F107" i="12"/>
  <c r="E27" i="12"/>
  <c r="E25" i="12"/>
  <c r="E29" i="12"/>
  <c r="F95" i="12" s="1"/>
  <c r="D131" i="12"/>
  <c r="D133" i="12" s="1"/>
  <c r="E129" i="12"/>
  <c r="E35" i="12"/>
  <c r="F92" i="12" s="1"/>
  <c r="M92" i="12"/>
  <c r="G92" i="12" s="1"/>
  <c r="E14" i="12"/>
  <c r="N61" i="12"/>
  <c r="Q61" i="12"/>
  <c r="E16" i="12"/>
  <c r="D119" i="12"/>
  <c r="N60" i="12"/>
  <c r="M60" i="12"/>
  <c r="E19" i="12"/>
  <c r="E36" i="12"/>
  <c r="E145" i="12"/>
  <c r="E147" i="12" s="1"/>
  <c r="J57" i="12" s="1"/>
  <c r="E155" i="12"/>
  <c r="E28" i="12"/>
  <c r="F55" i="12" s="1"/>
  <c r="E34" i="12"/>
  <c r="E119" i="12"/>
  <c r="I47" i="12"/>
  <c r="J49" i="12"/>
  <c r="M56" i="12"/>
  <c r="G56" i="12" s="1"/>
  <c r="Y56" i="12" s="1"/>
  <c r="C248" i="12"/>
  <c r="Q58" i="12" s="1"/>
  <c r="H67" i="12"/>
  <c r="G67" i="12" s="1"/>
  <c r="Y67" i="12" s="1"/>
  <c r="E11" i="12"/>
  <c r="I81" i="12"/>
  <c r="E12" i="12"/>
  <c r="F85" i="12" s="1"/>
  <c r="C273" i="12"/>
  <c r="Q60" i="12"/>
  <c r="J81" i="12"/>
  <c r="M57" i="12"/>
  <c r="E15" i="12"/>
  <c r="E18" i="12"/>
  <c r="F63" i="12" s="1"/>
  <c r="E33" i="12"/>
  <c r="M62" i="12"/>
  <c r="L81" i="12"/>
  <c r="E13" i="12"/>
  <c r="F86" i="12" s="1"/>
  <c r="L82" i="12"/>
  <c r="G82" i="12" s="1"/>
  <c r="Y82" i="12" s="1"/>
  <c r="E32" i="12"/>
  <c r="F93" i="12" s="1"/>
  <c r="M93" i="12"/>
  <c r="G93" i="12" s="1"/>
  <c r="E31" i="12"/>
  <c r="F94" i="12" s="1"/>
  <c r="M94" i="12"/>
  <c r="G94" i="12" s="1"/>
  <c r="M95" i="12"/>
  <c r="E30" i="12"/>
  <c r="F96" i="12" s="1"/>
  <c r="M96" i="12"/>
  <c r="E24" i="12"/>
  <c r="F99" i="12" s="1"/>
  <c r="C176" i="12"/>
  <c r="L52" i="12" s="1"/>
  <c r="E9" i="12"/>
  <c r="E17" i="12"/>
  <c r="D20" i="12"/>
  <c r="C328" i="12"/>
  <c r="C313" i="12"/>
  <c r="I48" i="12"/>
  <c r="G48" i="12" s="1"/>
  <c r="Y48" i="12" s="1"/>
  <c r="E164" i="12"/>
  <c r="R51" i="12"/>
  <c r="N85" i="12"/>
  <c r="C233" i="12"/>
  <c r="O54" i="12" s="1"/>
  <c r="G54" i="12" s="1"/>
  <c r="Y54" i="12" s="1"/>
  <c r="M55" i="12"/>
  <c r="G55" i="12" s="1"/>
  <c r="E153" i="12"/>
  <c r="E154" i="12"/>
  <c r="N57" i="12"/>
  <c r="U57" i="12"/>
  <c r="P58" i="12"/>
  <c r="P112" i="12" s="1"/>
  <c r="O60" i="12"/>
  <c r="P60" i="12"/>
  <c r="C256" i="12"/>
  <c r="C258" i="12"/>
  <c r="R60" i="12" s="1"/>
  <c r="T60" i="12"/>
  <c r="V60" i="12"/>
  <c r="M61" i="12"/>
  <c r="O61" i="12"/>
  <c r="T61" i="12"/>
  <c r="V61" i="12"/>
  <c r="S62" i="12"/>
  <c r="C165" i="12"/>
  <c r="C167" i="12" s="1"/>
  <c r="K63" i="12" s="1"/>
  <c r="M63" i="12"/>
  <c r="N63" i="12"/>
  <c r="O63" i="12"/>
  <c r="Q63" i="12"/>
  <c r="T63" i="12"/>
  <c r="V63" i="12"/>
  <c r="J65" i="12"/>
  <c r="G65" i="12" s="1"/>
  <c r="Y65" i="12" s="1"/>
  <c r="K66" i="12"/>
  <c r="G66" i="12" s="1"/>
  <c r="Y66" i="12" s="1"/>
  <c r="B69" i="12"/>
  <c r="V69" i="12"/>
  <c r="B70" i="12"/>
  <c r="V70" i="12"/>
  <c r="G70" i="12"/>
  <c r="Y70" i="12" s="1"/>
  <c r="B71" i="12"/>
  <c r="V71" i="12"/>
  <c r="G71" i="12" s="1"/>
  <c r="Y71" i="12" s="1"/>
  <c r="B72" i="12"/>
  <c r="V72" i="12"/>
  <c r="G72" i="12" s="1"/>
  <c r="Y72" i="12" s="1"/>
  <c r="B73" i="12"/>
  <c r="V73" i="12"/>
  <c r="G73" i="12" s="1"/>
  <c r="Y73" i="12" s="1"/>
  <c r="B74" i="12"/>
  <c r="V74" i="12"/>
  <c r="G74" i="12" s="1"/>
  <c r="Y74" i="12" s="1"/>
  <c r="B75" i="12"/>
  <c r="V75" i="12"/>
  <c r="G75" i="12" s="1"/>
  <c r="Y75" i="12" s="1"/>
  <c r="B76" i="12"/>
  <c r="V76" i="12"/>
  <c r="G76" i="12" s="1"/>
  <c r="Y76" i="12" s="1"/>
  <c r="B77" i="12"/>
  <c r="V77" i="12"/>
  <c r="G77" i="12" s="1"/>
  <c r="Y77" i="12" s="1"/>
  <c r="M81" i="12"/>
  <c r="N81" i="12"/>
  <c r="O81" i="12"/>
  <c r="Q81" i="12"/>
  <c r="T81" i="12"/>
  <c r="V81" i="12"/>
  <c r="J83" i="12"/>
  <c r="G83" i="12" s="1"/>
  <c r="Y83" i="12" s="1"/>
  <c r="L84" i="12"/>
  <c r="G84" i="12" s="1"/>
  <c r="Y84" i="12" s="1"/>
  <c r="D165" i="12"/>
  <c r="D167" i="12" s="1"/>
  <c r="K85" i="12" s="1"/>
  <c r="L85" i="12"/>
  <c r="M85" i="12"/>
  <c r="O85" i="12"/>
  <c r="Q85" i="12"/>
  <c r="T85" i="12"/>
  <c r="V85" i="12"/>
  <c r="M86" i="12"/>
  <c r="N86" i="12"/>
  <c r="O86" i="12"/>
  <c r="T86" i="12"/>
  <c r="V86" i="12"/>
  <c r="K87" i="12"/>
  <c r="G87" i="12" s="1"/>
  <c r="Y87" i="12" s="1"/>
  <c r="R88" i="12"/>
  <c r="G88" i="12" s="1"/>
  <c r="Y88" i="12" s="1"/>
  <c r="U96" i="12"/>
  <c r="G96" i="12" s="1"/>
  <c r="S97" i="12"/>
  <c r="G97" i="12" s="1"/>
  <c r="Y97" i="12" s="1"/>
  <c r="G98" i="12"/>
  <c r="C287" i="12"/>
  <c r="T99" i="12" s="1"/>
  <c r="G99" i="12" s="1"/>
  <c r="S100" i="12"/>
  <c r="G100" i="12" s="1"/>
  <c r="Y100" i="12" s="1"/>
  <c r="S101" i="12"/>
  <c r="G105" i="12"/>
  <c r="G107" i="12"/>
  <c r="M108" i="12"/>
  <c r="G108" i="12" s="1"/>
  <c r="Y108" i="12" s="1"/>
  <c r="G109" i="12"/>
  <c r="X112" i="12"/>
  <c r="C145" i="12"/>
  <c r="D145" i="12"/>
  <c r="C156" i="12"/>
  <c r="D156" i="12"/>
  <c r="E162" i="12"/>
  <c r="E163" i="12"/>
  <c r="D220" i="12"/>
  <c r="C231" i="12"/>
  <c r="C246" i="12"/>
  <c r="C285" i="12"/>
  <c r="F292" i="12"/>
  <c r="G292" i="12" s="1"/>
  <c r="F293" i="12"/>
  <c r="C296" i="12"/>
  <c r="C299" i="12"/>
  <c r="E9" i="13"/>
  <c r="E10" i="13"/>
  <c r="E11" i="13"/>
  <c r="E12" i="13"/>
  <c r="E13" i="13"/>
  <c r="F86" i="13" s="1"/>
  <c r="E14" i="13"/>
  <c r="F61" i="13" s="1"/>
  <c r="E15" i="13"/>
  <c r="E16" i="13"/>
  <c r="E17" i="13"/>
  <c r="E18" i="13"/>
  <c r="E19" i="13"/>
  <c r="F57" i="13" s="1"/>
  <c r="C20" i="13"/>
  <c r="D20" i="13"/>
  <c r="E23" i="13"/>
  <c r="E24" i="13"/>
  <c r="F99" i="13" s="1"/>
  <c r="E25" i="13"/>
  <c r="E26" i="13"/>
  <c r="F101" i="13" s="1"/>
  <c r="E27" i="13"/>
  <c r="E28" i="13"/>
  <c r="E29" i="13"/>
  <c r="E30" i="13"/>
  <c r="F96" i="13" s="1"/>
  <c r="E31" i="13"/>
  <c r="F94" i="13" s="1"/>
  <c r="E32" i="13"/>
  <c r="E33" i="13"/>
  <c r="E34" i="13"/>
  <c r="F62" i="13" s="1"/>
  <c r="E35" i="13"/>
  <c r="E36" i="13"/>
  <c r="C37" i="13"/>
  <c r="C39" i="13" s="1"/>
  <c r="D37" i="13"/>
  <c r="C328" i="13"/>
  <c r="C313" i="13"/>
  <c r="I47" i="13"/>
  <c r="I48" i="13"/>
  <c r="G48" i="13" s="1"/>
  <c r="Y48" i="13" s="1"/>
  <c r="J49" i="13"/>
  <c r="G49" i="13" s="1"/>
  <c r="Y49" i="13" s="1"/>
  <c r="E155" i="13"/>
  <c r="K50" i="13" s="1"/>
  <c r="G50" i="13" s="1"/>
  <c r="Y50" i="13" s="1"/>
  <c r="E164" i="13"/>
  <c r="R51" i="13"/>
  <c r="C176" i="13"/>
  <c r="L52" i="13" s="1"/>
  <c r="E213" i="13"/>
  <c r="N81" i="13" s="1"/>
  <c r="E214" i="13"/>
  <c r="N85" i="13" s="1"/>
  <c r="E215" i="13"/>
  <c r="N86" i="13" s="1"/>
  <c r="E216" i="13"/>
  <c r="E217" i="13"/>
  <c r="N60" i="13" s="1"/>
  <c r="E218" i="13"/>
  <c r="N61" i="13" s="1"/>
  <c r="E219" i="13"/>
  <c r="N57" i="13" s="1"/>
  <c r="C233" i="13"/>
  <c r="O54" i="13" s="1"/>
  <c r="G54" i="13" s="1"/>
  <c r="Y54" i="13" s="1"/>
  <c r="F55" i="13"/>
  <c r="M55" i="13"/>
  <c r="G55" i="13" s="1"/>
  <c r="M56" i="13"/>
  <c r="E142" i="13"/>
  <c r="E143" i="13"/>
  <c r="E144" i="13"/>
  <c r="E153" i="13"/>
  <c r="E154" i="13"/>
  <c r="M57" i="13"/>
  <c r="U57" i="13"/>
  <c r="P58" i="13"/>
  <c r="C248" i="13"/>
  <c r="Q58" i="13" s="1"/>
  <c r="C124" i="13"/>
  <c r="D124" i="13" s="1"/>
  <c r="D126" i="13" s="1"/>
  <c r="C131" i="13"/>
  <c r="D131" i="13" s="1"/>
  <c r="D129" i="13"/>
  <c r="M60" i="13"/>
  <c r="O60" i="13"/>
  <c r="P60" i="13"/>
  <c r="Q60" i="13"/>
  <c r="C256" i="13"/>
  <c r="C258" i="13" s="1"/>
  <c r="R60" i="13" s="1"/>
  <c r="T60" i="13"/>
  <c r="V60" i="13"/>
  <c r="M61" i="13"/>
  <c r="O61" i="13"/>
  <c r="Q61" i="13"/>
  <c r="T61" i="13"/>
  <c r="V61" i="13"/>
  <c r="E119" i="13"/>
  <c r="M62" i="13"/>
  <c r="S62" i="13"/>
  <c r="F63" i="13"/>
  <c r="C165" i="13"/>
  <c r="C167" i="13" s="1"/>
  <c r="K63" i="13" s="1"/>
  <c r="G63" i="13" s="1"/>
  <c r="Y63" i="13" s="1"/>
  <c r="M63" i="13"/>
  <c r="N63" i="13"/>
  <c r="O63" i="13"/>
  <c r="Q63" i="13"/>
  <c r="T63" i="13"/>
  <c r="V63" i="13"/>
  <c r="J65" i="13"/>
  <c r="G65" i="13" s="1"/>
  <c r="Y65" i="13" s="1"/>
  <c r="K66" i="13"/>
  <c r="G66" i="13" s="1"/>
  <c r="Y66" i="13" s="1"/>
  <c r="H67" i="13"/>
  <c r="G67" i="13" s="1"/>
  <c r="Y67" i="13" s="1"/>
  <c r="B69" i="13"/>
  <c r="V69" i="13"/>
  <c r="G69" i="13"/>
  <c r="Y69" i="13" s="1"/>
  <c r="B70" i="13"/>
  <c r="V70" i="13"/>
  <c r="G70" i="13" s="1"/>
  <c r="Y70" i="13" s="1"/>
  <c r="B71" i="13"/>
  <c r="V71" i="13"/>
  <c r="G71" i="13"/>
  <c r="Y71" i="13" s="1"/>
  <c r="B72" i="13"/>
  <c r="V72" i="13"/>
  <c r="G72" i="13" s="1"/>
  <c r="Y72" i="13" s="1"/>
  <c r="B73" i="13"/>
  <c r="V73" i="13"/>
  <c r="G73" i="13"/>
  <c r="Y73" i="13" s="1"/>
  <c r="B74" i="13"/>
  <c r="V74" i="13"/>
  <c r="G74" i="13" s="1"/>
  <c r="Y74" i="13" s="1"/>
  <c r="B75" i="13"/>
  <c r="V75" i="13"/>
  <c r="G75" i="13"/>
  <c r="Y75" i="13" s="1"/>
  <c r="B76" i="13"/>
  <c r="V76" i="13"/>
  <c r="G76" i="13" s="1"/>
  <c r="Y76" i="13" s="1"/>
  <c r="B77" i="13"/>
  <c r="V77" i="13"/>
  <c r="G77" i="13"/>
  <c r="Y77" i="13" s="1"/>
  <c r="I81" i="13"/>
  <c r="J81" i="13"/>
  <c r="L81" i="13"/>
  <c r="M81" i="13"/>
  <c r="O81" i="13"/>
  <c r="Q81" i="13"/>
  <c r="T81" i="13"/>
  <c r="V81" i="13"/>
  <c r="L82" i="13"/>
  <c r="G82" i="13" s="1"/>
  <c r="Y82" i="13" s="1"/>
  <c r="J83" i="13"/>
  <c r="G83" i="13" s="1"/>
  <c r="Y83" i="13" s="1"/>
  <c r="L84" i="13"/>
  <c r="G84" i="13" s="1"/>
  <c r="Y84" i="13" s="1"/>
  <c r="F85" i="13"/>
  <c r="D165" i="13"/>
  <c r="D167" i="13" s="1"/>
  <c r="K85" i="13" s="1"/>
  <c r="G85" i="13" s="1"/>
  <c r="Y85" i="13" s="1"/>
  <c r="L85" i="13"/>
  <c r="M85" i="13"/>
  <c r="O85" i="13"/>
  <c r="Q85" i="13"/>
  <c r="T85" i="13"/>
  <c r="V85" i="13"/>
  <c r="M86" i="13"/>
  <c r="O86" i="13"/>
  <c r="T86" i="13"/>
  <c r="V86" i="13"/>
  <c r="K87" i="13"/>
  <c r="G87" i="13" s="1"/>
  <c r="Y87" i="13" s="1"/>
  <c r="R88" i="13"/>
  <c r="G88" i="13"/>
  <c r="Y88" i="13" s="1"/>
  <c r="F92" i="13"/>
  <c r="M92" i="13"/>
  <c r="G92" i="13" s="1"/>
  <c r="F93" i="13"/>
  <c r="M93" i="13"/>
  <c r="G93" i="13" s="1"/>
  <c r="M94" i="13"/>
  <c r="G94" i="13" s="1"/>
  <c r="F95" i="13"/>
  <c r="E129" i="13"/>
  <c r="M95" i="13"/>
  <c r="M96" i="13"/>
  <c r="U96" i="13"/>
  <c r="G96" i="13" s="1"/>
  <c r="S97" i="13"/>
  <c r="G97" i="13" s="1"/>
  <c r="Y97" i="13" s="1"/>
  <c r="G98" i="13"/>
  <c r="C287" i="13"/>
  <c r="T99" i="13" s="1"/>
  <c r="G99" i="13" s="1"/>
  <c r="S100" i="13"/>
  <c r="G100" i="13" s="1"/>
  <c r="Y100" i="13" s="1"/>
  <c r="H101" i="13"/>
  <c r="S101" i="13"/>
  <c r="G105" i="13"/>
  <c r="F107" i="13"/>
  <c r="Y107" i="13" s="1"/>
  <c r="G107" i="13"/>
  <c r="M108" i="13"/>
  <c r="G108" i="13" s="1"/>
  <c r="Y108" i="13" s="1"/>
  <c r="F109" i="13"/>
  <c r="Y109" i="13" s="1"/>
  <c r="G109" i="13"/>
  <c r="X112" i="13"/>
  <c r="C145" i="13"/>
  <c r="D145" i="13"/>
  <c r="C156" i="13"/>
  <c r="D156" i="13"/>
  <c r="E162" i="13"/>
  <c r="E163" i="13"/>
  <c r="C199" i="13"/>
  <c r="C204" i="13" s="1"/>
  <c r="C220" i="13"/>
  <c r="D220" i="13"/>
  <c r="C231" i="13"/>
  <c r="C246" i="13"/>
  <c r="C264" i="13"/>
  <c r="C273" i="13" s="1"/>
  <c r="C285" i="13"/>
  <c r="F292" i="13"/>
  <c r="G292" i="13" s="1"/>
  <c r="F293" i="13"/>
  <c r="G293" i="13" s="1"/>
  <c r="C296" i="13"/>
  <c r="C299" i="13"/>
  <c r="C20" i="12"/>
  <c r="E220" i="12"/>
  <c r="N53" i="12" s="1"/>
  <c r="G51" i="13"/>
  <c r="Y51" i="13" s="1"/>
  <c r="G51" i="12"/>
  <c r="Y51" i="12" s="1"/>
  <c r="C330" i="13"/>
  <c r="W45" i="13"/>
  <c r="W101" i="13" s="1"/>
  <c r="W112" i="13" s="1"/>
  <c r="V101" i="13"/>
  <c r="C330" i="12" l="1"/>
  <c r="W45" i="12" s="1"/>
  <c r="G86" i="12"/>
  <c r="U112" i="12"/>
  <c r="Y107" i="12"/>
  <c r="F62" i="12"/>
  <c r="F60" i="12"/>
  <c r="G49" i="12"/>
  <c r="Y49" i="12" s="1"/>
  <c r="Y94" i="12"/>
  <c r="G45" i="12"/>
  <c r="Y45" i="12" s="1"/>
  <c r="E131" i="12"/>
  <c r="E133" i="12" s="1"/>
  <c r="H95" i="12" s="1"/>
  <c r="G95" i="12" s="1"/>
  <c r="Y95" i="12" s="1"/>
  <c r="E124" i="12"/>
  <c r="E126" i="12" s="1"/>
  <c r="H62" i="12" s="1"/>
  <c r="G62" i="12" s="1"/>
  <c r="O112" i="13"/>
  <c r="V112" i="13"/>
  <c r="E165" i="12"/>
  <c r="E167" i="12" s="1"/>
  <c r="R112" i="12"/>
  <c r="T112" i="13"/>
  <c r="E165" i="13"/>
  <c r="E167" i="13" s="1"/>
  <c r="R112" i="13"/>
  <c r="P112" i="13"/>
  <c r="K50" i="12"/>
  <c r="Y99" i="13"/>
  <c r="Y93" i="12"/>
  <c r="Y92" i="13"/>
  <c r="G86" i="13"/>
  <c r="Y86" i="13" s="1"/>
  <c r="E156" i="13"/>
  <c r="E158" i="13" s="1"/>
  <c r="K57" i="13" s="1"/>
  <c r="K112" i="13" s="1"/>
  <c r="E156" i="12"/>
  <c r="E158" i="12" s="1"/>
  <c r="K57" i="12" s="1"/>
  <c r="G57" i="12" s="1"/>
  <c r="G27" i="12"/>
  <c r="F98" i="12"/>
  <c r="Y98" i="12" s="1"/>
  <c r="F57" i="12"/>
  <c r="Y93" i="13"/>
  <c r="T112" i="12"/>
  <c r="K112" i="12"/>
  <c r="G50" i="12"/>
  <c r="Y50" i="12" s="1"/>
  <c r="Y94" i="13"/>
  <c r="D133" i="13"/>
  <c r="U112" i="13"/>
  <c r="G61" i="13"/>
  <c r="G69" i="12"/>
  <c r="Y69" i="12" s="1"/>
  <c r="D39" i="12"/>
  <c r="I112" i="12"/>
  <c r="G61" i="12"/>
  <c r="Y61" i="12" s="1"/>
  <c r="S112" i="12"/>
  <c r="Y55" i="12"/>
  <c r="F60" i="13"/>
  <c r="G63" i="12"/>
  <c r="Y63" i="12" s="1"/>
  <c r="Y99" i="12"/>
  <c r="D126" i="12"/>
  <c r="H60" i="12" s="1"/>
  <c r="Y55" i="13"/>
  <c r="F98" i="13"/>
  <c r="Y98" i="13" s="1"/>
  <c r="V101" i="12"/>
  <c r="V112" i="12" s="1"/>
  <c r="C39" i="12"/>
  <c r="Y96" i="12"/>
  <c r="S112" i="13"/>
  <c r="G58" i="12"/>
  <c r="Y58" i="12" s="1"/>
  <c r="Q112" i="12"/>
  <c r="G85" i="12"/>
  <c r="Y85" i="12" s="1"/>
  <c r="Y86" i="12"/>
  <c r="O112" i="12"/>
  <c r="G53" i="12"/>
  <c r="Y53" i="12" s="1"/>
  <c r="N112" i="12"/>
  <c r="Y92" i="12"/>
  <c r="M112" i="12"/>
  <c r="G52" i="12"/>
  <c r="Y52" i="12" s="1"/>
  <c r="L112" i="12"/>
  <c r="G81" i="12"/>
  <c r="J112" i="12"/>
  <c r="G47" i="12"/>
  <c r="Y47" i="12" s="1"/>
  <c r="W101" i="12"/>
  <c r="F101" i="12"/>
  <c r="Y96" i="13"/>
  <c r="G58" i="13"/>
  <c r="Y58" i="13" s="1"/>
  <c r="Q112" i="13"/>
  <c r="Y61" i="13"/>
  <c r="E220" i="13"/>
  <c r="N53" i="13" s="1"/>
  <c r="M112" i="13"/>
  <c r="G56" i="13"/>
  <c r="Y56" i="13" s="1"/>
  <c r="G81" i="13"/>
  <c r="G52" i="13"/>
  <c r="Y52" i="13" s="1"/>
  <c r="L112" i="13"/>
  <c r="E145" i="13"/>
  <c r="E147" i="13" s="1"/>
  <c r="J57" i="13" s="1"/>
  <c r="J112" i="13" s="1"/>
  <c r="I112" i="13"/>
  <c r="G47" i="13"/>
  <c r="Y47" i="13" s="1"/>
  <c r="G45" i="13"/>
  <c r="E131" i="13"/>
  <c r="E133" i="13" s="1"/>
  <c r="H95" i="13" s="1"/>
  <c r="G95" i="13" s="1"/>
  <c r="Y95" i="13" s="1"/>
  <c r="H60" i="13"/>
  <c r="G60" i="13" s="1"/>
  <c r="Y60" i="13" s="1"/>
  <c r="E124" i="13"/>
  <c r="E126" i="13" s="1"/>
  <c r="H62" i="13" s="1"/>
  <c r="G62" i="13" s="1"/>
  <c r="Y62" i="13" s="1"/>
  <c r="Y45" i="13"/>
  <c r="G101" i="13"/>
  <c r="Y101" i="13" s="1"/>
  <c r="D39" i="13"/>
  <c r="F81" i="13"/>
  <c r="Y81" i="13" s="1"/>
  <c r="G60" i="12" l="1"/>
  <c r="Y60" i="12" s="1"/>
  <c r="H112" i="12"/>
  <c r="Y62" i="12"/>
  <c r="F112" i="12"/>
  <c r="Z89" i="13"/>
  <c r="Y81" i="12"/>
  <c r="Y57" i="12"/>
  <c r="G57" i="13"/>
  <c r="Y57" i="13" s="1"/>
  <c r="G101" i="12"/>
  <c r="W112" i="12"/>
  <c r="G53" i="13"/>
  <c r="Y53" i="13" s="1"/>
  <c r="Z64" i="13" s="1"/>
  <c r="Z68" i="13" s="1"/>
  <c r="Z78" i="13" s="1"/>
  <c r="N112" i="13"/>
  <c r="Z102" i="13"/>
  <c r="H112" i="13"/>
  <c r="F112" i="13"/>
  <c r="Z89" i="12" l="1"/>
  <c r="G112" i="12"/>
  <c r="Z64" i="12"/>
  <c r="Z68" i="12" s="1"/>
  <c r="Z78" i="12" s="1"/>
  <c r="Y101" i="12"/>
  <c r="G112" i="13"/>
  <c r="Y105" i="13"/>
  <c r="Y112" i="13" s="1"/>
  <c r="Z102" i="12" l="1"/>
  <c r="Y105" i="12" l="1"/>
  <c r="Y112" i="12" s="1"/>
</calcChain>
</file>

<file path=xl/sharedStrings.xml><?xml version="1.0" encoding="utf-8"?>
<sst xmlns="http://schemas.openxmlformats.org/spreadsheetml/2006/main" count="960" uniqueCount="457">
  <si>
    <t>A.</t>
  </si>
  <si>
    <t>B.I.</t>
  </si>
  <si>
    <t>B.II.</t>
  </si>
  <si>
    <t>B.III.</t>
  </si>
  <si>
    <t>C.I.</t>
  </si>
  <si>
    <t>C.II.</t>
  </si>
  <si>
    <t>C.III.</t>
  </si>
  <si>
    <t>C.IV.</t>
  </si>
  <si>
    <t>D.I.</t>
  </si>
  <si>
    <t>A.I.</t>
  </si>
  <si>
    <t>A.II.</t>
  </si>
  <si>
    <t>A.III.</t>
  </si>
  <si>
    <t>A.IV.</t>
  </si>
  <si>
    <t>A.V.</t>
  </si>
  <si>
    <t>B.IV.</t>
  </si>
  <si>
    <t>Iné údaje</t>
  </si>
  <si>
    <t>Bežné účtovné obdobie</t>
  </si>
  <si>
    <t>Rozdiel</t>
  </si>
  <si>
    <t>Rozdiel zo súvahy</t>
  </si>
  <si>
    <t>Úroky nákladové</t>
  </si>
  <si>
    <t>Opravné položky</t>
  </si>
  <si>
    <t>Odpisy</t>
  </si>
  <si>
    <t>Pohľadávky</t>
  </si>
  <si>
    <t>Zásoby</t>
  </si>
  <si>
    <t>Platená daň z príjmov</t>
  </si>
  <si>
    <t>Prijaté dividendy</t>
  </si>
  <si>
    <t>Bezodplatné dary</t>
  </si>
  <si>
    <t>kontrola</t>
  </si>
  <si>
    <t>Neštandardné úpravy</t>
  </si>
  <si>
    <t>Nerozdelený zisk (výsledný CF musí byť = 0)</t>
  </si>
  <si>
    <t>341 k 1.1.bežného obdobia (+MD, -Dal)</t>
  </si>
  <si>
    <t>Zaplatené preddavky</t>
  </si>
  <si>
    <t>341 k 31.12 bežného obdobia (+MD, -Dal)</t>
  </si>
  <si>
    <t>Zaplatené dodatočné odvody DzP</t>
  </si>
  <si>
    <t>záväzok</t>
  </si>
  <si>
    <t>Odložená daň:</t>
  </si>
  <si>
    <t>Daň z príjmov:</t>
  </si>
  <si>
    <t>371 k 1.1.bežného obdobia (+MD, -Dal)</t>
  </si>
  <si>
    <t>371 k 31.12 bežného obdobia (+MD, -Dal)</t>
  </si>
  <si>
    <t>Vyplniť len žlté políčka</t>
  </si>
  <si>
    <t>pohľadávka</t>
  </si>
  <si>
    <t>Záväzok z neuhradených úrokov k 1.1.</t>
  </si>
  <si>
    <t>prevádzkové</t>
  </si>
  <si>
    <t>investičné</t>
  </si>
  <si>
    <t>Platené počas roka</t>
  </si>
  <si>
    <t>Záväzok z neuhradených úrokov k 31.12. (časové rozlíšenie)</t>
  </si>
  <si>
    <t>Zmena časového rozlíšenia</t>
  </si>
  <si>
    <t>celkom</t>
  </si>
  <si>
    <t>Pohľadávka z neuhradených úrokov k 1.1.</t>
  </si>
  <si>
    <t>Prijaté počas roka</t>
  </si>
  <si>
    <t>Výnos bežného roka</t>
  </si>
  <si>
    <t>Pohľadávka z neuhradených úrokov k 31.12. (časové rozlíšenie)</t>
  </si>
  <si>
    <t>účet 541</t>
  </si>
  <si>
    <t>účet 641</t>
  </si>
  <si>
    <t>Zisk /(strata)</t>
  </si>
  <si>
    <t>k 1.1.</t>
  </si>
  <si>
    <t>k 31.12.</t>
  </si>
  <si>
    <t>kontrola (musi byt 0)</t>
  </si>
  <si>
    <t>zásoby</t>
  </si>
  <si>
    <t>zmena</t>
  </si>
  <si>
    <t>Peňažný tok</t>
  </si>
  <si>
    <t>Dary</t>
  </si>
  <si>
    <t>Predaj investícií</t>
  </si>
  <si>
    <t>&lt;&lt;&lt; musí byť = 0</t>
  </si>
  <si>
    <t>účet 431 k 1.1.</t>
  </si>
  <si>
    <t>Dividendy vyplatené počas roka</t>
  </si>
  <si>
    <t>Dividendy nevyplatené počas roka</t>
  </si>
  <si>
    <t>Na nerozdelený zisk/strata a fondy zo zisku</t>
  </si>
  <si>
    <t>Podľa povahy treba zaúčtovať do vyznačeného stĺpca aj neštandardné operácie.</t>
  </si>
  <si>
    <t>Treba si uvedomiť, že sa jedná o podvojné zápisy, ktoré musia vždy ovplyvniť dve položky</t>
  </si>
  <si>
    <t>tak, aby bol kontrolný súčet rovný nule.</t>
  </si>
  <si>
    <t>Pozor, údaje zadávať len do žltých polí!!!!!</t>
  </si>
  <si>
    <t>k 1.1. (MD+, Dal-)</t>
  </si>
  <si>
    <t>MD</t>
  </si>
  <si>
    <t>Dal</t>
  </si>
  <si>
    <t>rozdiel</t>
  </si>
  <si>
    <t>kontrola (musí byť rovné nule)</t>
  </si>
  <si>
    <t>Mimoriadne náklady a výnosy</t>
  </si>
  <si>
    <t>skupina 68</t>
  </si>
  <si>
    <t>Vysporiadanie dane z minuleho roku (platba+, prijem-)</t>
  </si>
  <si>
    <t>skupina 58:</t>
  </si>
  <si>
    <t>Mim výnosy peňažné Dôvod 1 (udajte)</t>
  </si>
  <si>
    <t>Mim výnosy peňažné Dôvod 2 (udajte)</t>
  </si>
  <si>
    <t>Mim výnosy peňažné Dôvod 3 (udajte)</t>
  </si>
  <si>
    <t>Mim výnosy peňažné Dôvod 4 (udajte)</t>
  </si>
  <si>
    <t>Mim výnosy peňažné Dôvod 5 (udajte)</t>
  </si>
  <si>
    <t>Mim výnosy peňažné Dôvod 6 (udajte)</t>
  </si>
  <si>
    <t>nepeňažné súvisiace so znížením zásob</t>
  </si>
  <si>
    <t>nepeňažné súvisiace so znížením pohľadávok</t>
  </si>
  <si>
    <t>Celkom účet 543</t>
  </si>
  <si>
    <t>STRANA AKTÍV</t>
  </si>
  <si>
    <t>Bezprostredne predchádzajúce účtovné obdobie</t>
  </si>
  <si>
    <t>Pohľadávky za upísané vlastné imanie (353) r. 002</t>
  </si>
  <si>
    <t>Dlhodobý nehmotný majetok    súčet r. 005 až 012</t>
  </si>
  <si>
    <t>Dlhodobý hmotný majetok súčet r. 014 až 022</t>
  </si>
  <si>
    <t>Zásoby súčet r. 034 až 040</t>
  </si>
  <si>
    <t>Dlhodobé pohľadávky súčet  r. 042 až 047</t>
  </si>
  <si>
    <t>Krátkodobé pohľadávky r. 049 až 055</t>
  </si>
  <si>
    <t>Finančné účty súčet r. 057 až 061 (nie peňažné ekvivalenty: nad 3 mesiace)</t>
  </si>
  <si>
    <t>D.</t>
  </si>
  <si>
    <t>Časové rozlíšenie súčet r. 063 až 064</t>
  </si>
  <si>
    <t>Spolu majetok</t>
  </si>
  <si>
    <t>STRANA PASÍV</t>
  </si>
  <si>
    <t>Základné imanie súčet r. 068 až 070</t>
  </si>
  <si>
    <t>Kapitálové fondy súčet r. 072 až 077</t>
  </si>
  <si>
    <t>Fondy zo zisku súčet r. 079 až 081</t>
  </si>
  <si>
    <t>Výsledok hospodárenia minulých rokov r. 083 + 084</t>
  </si>
  <si>
    <t>Výsledok hospodárenia za účtovné obdobie/+-/r.001-(+067+071+078+082+086+116)</t>
  </si>
  <si>
    <t>Rezervy súčet r. 088 až 090</t>
  </si>
  <si>
    <t>Krátkodobé záväzky súčet r. 103 až 111</t>
  </si>
  <si>
    <t>Bankové úvery a výpomoci súčet r. 113 až 115</t>
  </si>
  <si>
    <t>Spolu vlastné imanie a záväzky</t>
  </si>
  <si>
    <t>Časové rozlíšenie súčet r. 117 až 118</t>
  </si>
  <si>
    <t>Peňažné toky z prevádzkovej činnosti</t>
  </si>
  <si>
    <t>Nepeňažné operácie ovplyvňujúce výsledok hospodárenia z bežnej činnosti pred zdanením daňou z príjmov:</t>
  </si>
  <si>
    <t>Odpisy dlhodobého nehmotného majetku a dlhodobého hmotného majetku</t>
  </si>
  <si>
    <t>Dividendy a iné podiely na zisku účtované do výnosov</t>
  </si>
  <si>
    <t>Kurzové rozdiely</t>
  </si>
  <si>
    <t>Strata/(Zisk) z predaja dlhodobého majetku</t>
  </si>
  <si>
    <t>Krátkodobý finančný majetok</t>
  </si>
  <si>
    <t>Príjmy z predaja dlhodobých cenných papierov a podielov v iných účtovných jednotkách</t>
  </si>
  <si>
    <t>Výdavky na obstaranie dlhodobých cenných papierov a podielov v iných účtovných jednotkách</t>
  </si>
  <si>
    <t>Kapitálové fondy (uveďte dôvod, napr. prijaté peňažné dary)</t>
  </si>
  <si>
    <t>Príjmy z úhrady straty spoločníkmi</t>
  </si>
  <si>
    <t>Výdavky na úhradu záväzkov z finančného lízingu</t>
  </si>
  <si>
    <t>Čisté peňažné toky z prevádzkovej činnosti</t>
  </si>
  <si>
    <t>Čisté peňažné toky z investičnej činnosti</t>
  </si>
  <si>
    <t>Čisté peňažné toky z finančnej činnosti</t>
  </si>
  <si>
    <t>Čisté zvýšenie alebo čisté zníženie peňažných prostriedkov a peňažných ekvivalentov</t>
  </si>
  <si>
    <t>Peňažné prostriedky a peňažné ekvivalenty na začiatku účtovného obdobia</t>
  </si>
  <si>
    <t>Kurzové rozdiely vyčíslené k peňažným prostriedkom a peňažným ekvivalentom ku dňu, ku ktorému sa zostavuje účtovná závierka</t>
  </si>
  <si>
    <t>Peňažné prostriedky a peňažné ekvivalenty na konci účtovného obdobia</t>
  </si>
  <si>
    <t>Štandardné úpravy spolu</t>
  </si>
  <si>
    <t>v tis. Sk</t>
  </si>
  <si>
    <t>Daň z príjmov splatná a odložená</t>
  </si>
  <si>
    <t>Rozdelenie zisku/úhrada straty</t>
  </si>
  <si>
    <t>Do sociálneho fondu</t>
  </si>
  <si>
    <t>Vyplatené podiely zamestnancov na zisku</t>
  </si>
  <si>
    <t>Zmena dane z príjmov</t>
  </si>
  <si>
    <t>Zmena odloženej dane</t>
  </si>
  <si>
    <t>Úroky nákladové - prevádzkové a investičné</t>
  </si>
  <si>
    <t>Úroky výnosové</t>
  </si>
  <si>
    <t>- z bankových účtov, termínovaných vkladov, poskytnutých pôžičiek</t>
  </si>
  <si>
    <t xml:space="preserve">Úroky výnosové - prevádzkové a investičné </t>
  </si>
  <si>
    <t>prevádzkové (z krátkod. položiek)</t>
  </si>
  <si>
    <t>investičné (z dlhod. položiek)</t>
  </si>
  <si>
    <t>Pohľadávka z neuhradených úrokov k 31.12. (analytický účet CP)</t>
  </si>
  <si>
    <t>Zmena analytického účtu dlhových cenných papierov</t>
  </si>
  <si>
    <t>- z dlhových cenných papierov (CP)</t>
  </si>
  <si>
    <t>(Zisk)/strata z predaja dlhodobého majetku</t>
  </si>
  <si>
    <t>Dlhodobý nehmotný majetok súčet r. 05 až 12</t>
  </si>
  <si>
    <t>Dlhodobý hmotný majetok súčet r. 14 až 22</t>
  </si>
  <si>
    <t>Zásoby súčet r. 34 až 40</t>
  </si>
  <si>
    <t>Dlhodobé pohľadávky súčet  r. 42 až 47</t>
  </si>
  <si>
    <t>Krátkodobé pohľadávky r. 49 až 55</t>
  </si>
  <si>
    <t>Peniaze a účty v bankách r. 57 a 58 (peniaze a peňažné ekvivalenty)</t>
  </si>
  <si>
    <t>Časové rozlíšenie súčet r. 63 až 64</t>
  </si>
  <si>
    <t>Časové rozlíšenie - súčet r. 117 až 118</t>
  </si>
  <si>
    <t>Rezervy súčet r. 88 až 90</t>
  </si>
  <si>
    <t>Nerealizované kurzové zisky a straty (563-663 v jednotlivých riadkoch)</t>
  </si>
  <si>
    <t>Celkom</t>
  </si>
  <si>
    <t>Účty v bankách s dobou viazanosti nad tri mesiace, krátkodobý finančný majetok, obstarávaný krátkodobý finančný majetok r. 59 až 61</t>
  </si>
  <si>
    <t>stav 563 - nerealizované</t>
  </si>
  <si>
    <t xml:space="preserve">stav 663 - nerealizované </t>
  </si>
  <si>
    <t>Realizované kurzové zisky a straty (563-663)</t>
  </si>
  <si>
    <t>Bankové úvery a výpomoci súčet r. 113 až 115, ktoré existovali k 1. 1. 2003 a boli počas roka 2003 splatené</t>
  </si>
  <si>
    <t>pohľadávky</t>
  </si>
  <si>
    <t>dlhodobý hmotný a nehmotný majetok</t>
  </si>
  <si>
    <t>dlhodobý finančný majetok</t>
  </si>
  <si>
    <t>krátkodobý finančný majetok</t>
  </si>
  <si>
    <t>časové rozlíšenie v aktívach</t>
  </si>
  <si>
    <t>účet 551</t>
  </si>
  <si>
    <t>Odpisy dlhodobého hmotného a nehmotného majetku</t>
  </si>
  <si>
    <t>Odpis opravnej položky k nadobudnutému majetku</t>
  </si>
  <si>
    <t>Odpis pohľadávok (účet 546)</t>
  </si>
  <si>
    <t>peniaze a peňažné ekvivalenty</t>
  </si>
  <si>
    <t>Nepeňažné celkom</t>
  </si>
  <si>
    <t>Odpis pohľadávok</t>
  </si>
  <si>
    <t>Dividendy prijaté</t>
  </si>
  <si>
    <t>Manká a škody</t>
  </si>
  <si>
    <t>Celkom účet 549, 569, 582</t>
  </si>
  <si>
    <t>Dividendy a iné podiely na zisku - výnosové</t>
  </si>
  <si>
    <t>Zisk/(strata)</t>
  </si>
  <si>
    <t>Do/z rezervného fondu</t>
  </si>
  <si>
    <t>Rozdelenie zisku (+) /úhrada straty (-)</t>
  </si>
  <si>
    <t>Úhrada straty spoločníkmi</t>
  </si>
  <si>
    <t>Kapitálové fondy</t>
  </si>
  <si>
    <t>Ďalšie kapitálové vklady do vlastného imania (aj dary) prijaté počas roka:</t>
  </si>
  <si>
    <t>Kapitálové fondy (účet 413, 417, 418)</t>
  </si>
  <si>
    <t>časového rozlíšenia, bude sa zmena linkovať do riadku zmeny stavu položiek časového rozlíšenia nákladov a výnosov.</t>
  </si>
  <si>
    <t>Finančný lízing</t>
  </si>
  <si>
    <t>účet 381 - lízing (len časť uctovaná voči 479)</t>
  </si>
  <si>
    <t>účet 381 alebo 314 - lízing (časť súvisiaca s plateným preddavkom)</t>
  </si>
  <si>
    <t>Zaplatené lízingové preddavky</t>
  </si>
  <si>
    <t>Lízingové náklady na účte 518</t>
  </si>
  <si>
    <r>
      <t>Zaplatené ostatné lízingové splátky mimo nultej splátky účtované voči záväzkom (OC+marža)[</t>
    </r>
    <r>
      <rPr>
        <u/>
        <sz val="10"/>
        <rFont val="Arial"/>
        <family val="2"/>
      </rPr>
      <t>len pre spôsob, kde sa neúčtuje s účtom 479</t>
    </r>
    <r>
      <rPr>
        <sz val="10"/>
        <rFont val="Arial"/>
        <family val="2"/>
      </rPr>
      <t>]</t>
    </r>
  </si>
  <si>
    <t>Rozdiel medzi lízing. nákladmi a platbami pri spôsobe bez 479 (pohyb v časovom rozlíšení)</t>
  </si>
  <si>
    <t>nepeňažné súvisiace so znížením dlhodobého hmotného a nehmotného majetku</t>
  </si>
  <si>
    <t>nepeňažné súvisiace so zvýšením dlhodobého hmotného a nehmotného majetku</t>
  </si>
  <si>
    <t>nepeňažné súvisiace so zvýšením zásob</t>
  </si>
  <si>
    <t xml:space="preserve">nepeňažné súvisiace so zvýšením pohľadávok </t>
  </si>
  <si>
    <t>Mim. náklady peňažné nesúvisiace s majetkom - udať dôvod</t>
  </si>
  <si>
    <t>HV z bežnej činnosti pred zdanením</t>
  </si>
  <si>
    <t>Finančné účty súčet r. 057 až 061 (peniaze a peňažné ekvivalenty&lt;3 mesiace)</t>
  </si>
  <si>
    <t>Dlhodobý finančný majetok súčet r. 024 až 031 (okrem pôžičiek na účtoch 066 a 067)</t>
  </si>
  <si>
    <t>Dlhodobý finančný majetok súčet r. 024 až 031 (pôžičky na účtoch 066 a 067)</t>
  </si>
  <si>
    <t xml:space="preserve">Príjmy a výdavky na dlhodobé pôžičky </t>
  </si>
  <si>
    <t>účet 561 z predaja dlhodobého finančného majetku okrem pôžičiek na účtoch 066 a 067</t>
  </si>
  <si>
    <t>účet 661 z predaja dlhodobého finančného majetku okrem pôžičiek na účtoch 066 a 067</t>
  </si>
  <si>
    <t>Dlhodobý finančný majetok súčet r. 24 až 31 (okrem pôžičiek na účtoch 066 a 067)</t>
  </si>
  <si>
    <t>Dlhodobý finančný majetok súčet r. 24 až 31 (pôžičky na účtoch 066 a 067)</t>
  </si>
  <si>
    <t>dlhodobý finančný majetok - pôžičky na účtoch 066 a 067</t>
  </si>
  <si>
    <t>dlhodobý finančný majetok okrem pôžičiek na účtoch 066 a 067</t>
  </si>
  <si>
    <t>nepeňažné súvisiace so znížením dlhodobého finančného majetku okrem pôžičiek na účtoch 066 a 067</t>
  </si>
  <si>
    <t>nepeňažné súvisiace so znížením dlhodobého finančného majetku - pôžičky na účtoch 066 a 067</t>
  </si>
  <si>
    <t>nepeňažné súvisiace so zvýšením dlhodobého finančného majetku okrem pôžičiek na účtoch 066 a 067</t>
  </si>
  <si>
    <t>nepeňažné súvisiace so zvýšením dlhodobého finančného majetku - pôžičky na účtoch 066 a 067</t>
  </si>
  <si>
    <t>Dlhodobé záväzky súčet r. 092, 093, 096, 097, 100 a 101 (okrem finančného lízingu na účte 479)</t>
  </si>
  <si>
    <t>Dlhodobé záväzky - finančný lízing na účte 479</t>
  </si>
  <si>
    <t>Dlhodobé záväzky súčet r. 094 a 095 (prijaté pôžičky)</t>
  </si>
  <si>
    <t>Dlhodobé záväzky r. 098 (vydané dlhopisy)</t>
  </si>
  <si>
    <t>Dlhodobé záväzky súčet r. 099 (sociálny fond)</t>
  </si>
  <si>
    <t>Neštandardné operácie</t>
  </si>
  <si>
    <t>Napríklad:</t>
  </si>
  <si>
    <t>kapitalizácia dlhov</t>
  </si>
  <si>
    <t>úhrada dlhov hmotným a nehmotným investičným majetkom</t>
  </si>
  <si>
    <t>bezodplatné obstaranie majetku na dlh</t>
  </si>
  <si>
    <t>splatenie upísaných akcií a vkladov:</t>
  </si>
  <si>
    <t xml:space="preserve">   hmotným a nehmotným investičným majetkom (zostatková hodnota)</t>
  </si>
  <si>
    <t xml:space="preserve">   zásobami</t>
  </si>
  <si>
    <t xml:space="preserve">   pohľadávkami</t>
  </si>
  <si>
    <t xml:space="preserve">   finančnými investíciami</t>
  </si>
  <si>
    <t>uviesť ďalšie prípady</t>
  </si>
  <si>
    <r>
      <t>Poznámka:</t>
    </r>
    <r>
      <rPr>
        <sz val="10"/>
        <rFont val="Arial"/>
        <family val="2"/>
      </rPr>
      <t xml:space="preserve"> V prípade, že nárok na dividendy a iné podiely na zisku nie je účtovaný na účty pohľadávok ale na účty</t>
    </r>
  </si>
  <si>
    <t>Výsledok hospodárenia z bežnej činnosti pred zdanením daňou z príjmov</t>
  </si>
  <si>
    <t>Úroky účtované do nákladov</t>
  </si>
  <si>
    <t>Úroky účtované do výnosov</t>
  </si>
  <si>
    <t>Zmena stavu rezerv</t>
  </si>
  <si>
    <t>Zmena stavu opravných položiek</t>
  </si>
  <si>
    <t>Zmena stavu položiek časového rozlíšenia nákladov a výnosov</t>
  </si>
  <si>
    <t>Ostatné položky nepeňažného charakteru</t>
  </si>
  <si>
    <t>Vplyv zmien stavu pracovného kapitálu</t>
  </si>
  <si>
    <t>Záväzky</t>
  </si>
  <si>
    <t>Platené úroky</t>
  </si>
  <si>
    <t>Prijaté úroky</t>
  </si>
  <si>
    <t>Peňažné toky pred mimoriadnymi položkami</t>
  </si>
  <si>
    <t>Peňažné toky z investičnej činnosti</t>
  </si>
  <si>
    <t>Výdavky na obstaranie dlhodobého nehmotného a dlhodobého hmotného majetku</t>
  </si>
  <si>
    <t>Príjmy z predaja dlhodobého nehmotného a dlhodobého hmotného majetku</t>
  </si>
  <si>
    <t>Peňažné toky z finančnej činnosti</t>
  </si>
  <si>
    <t>Príjmy a výdavky spojené s úvermi</t>
  </si>
  <si>
    <t xml:space="preserve">Príjmy a výdavky spojené s vydanými dlhopismi </t>
  </si>
  <si>
    <t xml:space="preserve">Príjmy a  výdavky spojené s prijatými pôžičkami </t>
  </si>
  <si>
    <t xml:space="preserve">Príjmy a výdavky spojené s ostatnými dlhodobými záväzkami </t>
  </si>
  <si>
    <t>Vyplatené dividendy</t>
  </si>
  <si>
    <t>Príjmy z upísaných akcií a obchodných podielov</t>
  </si>
  <si>
    <t>Dane z príjmov (591+593+595)</t>
  </si>
  <si>
    <t>Odložená daň (592+594) (+MD, -Dal)</t>
  </si>
  <si>
    <t>účet +557/-657</t>
  </si>
  <si>
    <t>Náklad bežného roka</t>
  </si>
  <si>
    <t>Pohľadávka k 1.1.</t>
  </si>
  <si>
    <t>Pohľadávka k 31.12.</t>
  </si>
  <si>
    <t>Výnos (nárok)</t>
  </si>
  <si>
    <t>Prijaté</t>
  </si>
  <si>
    <t>Zmena pohľadávky</t>
  </si>
  <si>
    <t>nepeňažné súvisiace so zvýšením krátkod. finanč. majetku &gt; 3 mesiace</t>
  </si>
  <si>
    <t>nepeňažné súvisiace so znížením krátkod. finanč. majetku &gt; 3 mesiace</t>
  </si>
  <si>
    <t>Skupina 58 celkom</t>
  </si>
  <si>
    <t>Skupina 68 celkom</t>
  </si>
  <si>
    <t>HV z mimoriadnej činnosti (zisk)</t>
  </si>
  <si>
    <t>Bankové úvery a výpomoci súčet r. 113 až 115, ktoré existovali k 1. 1. 2006 a boli počas roka 2006 splatené</t>
  </si>
  <si>
    <t>CASH FLOW Peňažný tok</t>
  </si>
  <si>
    <t>Prehľad peňažných tokov (v tis.EUR)</t>
  </si>
  <si>
    <t>Netto hodnota (v tis. EUR):</t>
  </si>
  <si>
    <t>Prehľad peňažných tokov (v tis. EUR)</t>
  </si>
  <si>
    <t>Netto hodnota (v  EUR):</t>
  </si>
  <si>
    <t>Prehľad peňažných tokov (v EUR)</t>
  </si>
  <si>
    <t>v EUR</t>
  </si>
  <si>
    <t>Clamason Slovakia, s.r.o.</t>
  </si>
  <si>
    <t xml:space="preserve"> </t>
  </si>
  <si>
    <t>Synth.</t>
  </si>
  <si>
    <t>Analyt.</t>
  </si>
  <si>
    <t>Description</t>
  </si>
  <si>
    <t>OB</t>
  </si>
  <si>
    <t>CB</t>
  </si>
  <si>
    <t>13 Total</t>
  </si>
  <si>
    <t>22 Total</t>
  </si>
  <si>
    <t>29 Total</t>
  </si>
  <si>
    <t>41 Total</t>
  </si>
  <si>
    <t>42 Total</t>
  </si>
  <si>
    <t>52 Total</t>
  </si>
  <si>
    <t>73 Total</t>
  </si>
  <si>
    <t>82 Total</t>
  </si>
  <si>
    <t>89 Total</t>
  </si>
  <si>
    <t>92 Total</t>
  </si>
  <si>
    <t>111 Total</t>
  </si>
  <si>
    <t>112 Total</t>
  </si>
  <si>
    <t>119 Total</t>
  </si>
  <si>
    <t>121 Total</t>
  </si>
  <si>
    <t>123 Total</t>
  </si>
  <si>
    <t>131 Total</t>
  </si>
  <si>
    <t>132 Total</t>
  </si>
  <si>
    <t>191 Total</t>
  </si>
  <si>
    <t>192 Total</t>
  </si>
  <si>
    <t>194 Total</t>
  </si>
  <si>
    <t>196 Total</t>
  </si>
  <si>
    <t>211 Total</t>
  </si>
  <si>
    <t>213 Total</t>
  </si>
  <si>
    <t>221 Total</t>
  </si>
  <si>
    <t>261 Total</t>
  </si>
  <si>
    <t>311 Total</t>
  </si>
  <si>
    <t>314 Total</t>
  </si>
  <si>
    <t>315 Total</t>
  </si>
  <si>
    <t>321 Total</t>
  </si>
  <si>
    <t>323 Total</t>
  </si>
  <si>
    <t>324 Total</t>
  </si>
  <si>
    <t>325 Total</t>
  </si>
  <si>
    <t>326 Total</t>
  </si>
  <si>
    <t>331 Total</t>
  </si>
  <si>
    <t>333 Total</t>
  </si>
  <si>
    <t>335 Total</t>
  </si>
  <si>
    <t>336 Total</t>
  </si>
  <si>
    <t>341 Total</t>
  </si>
  <si>
    <t>342 Total</t>
  </si>
  <si>
    <t>343 Total</t>
  </si>
  <si>
    <t>345 Total</t>
  </si>
  <si>
    <t>346 Total</t>
  </si>
  <si>
    <t>361 Total</t>
  </si>
  <si>
    <t>365 Total</t>
  </si>
  <si>
    <t>378 Total</t>
  </si>
  <si>
    <t>379 Total</t>
  </si>
  <si>
    <t>381 Total</t>
  </si>
  <si>
    <t>383 Total</t>
  </si>
  <si>
    <t>384 Total</t>
  </si>
  <si>
    <t>385 Total</t>
  </si>
  <si>
    <t>391 Total</t>
  </si>
  <si>
    <t>395 Total</t>
  </si>
  <si>
    <t>411 Total</t>
  </si>
  <si>
    <t>413 Total</t>
  </si>
  <si>
    <t>421 Total</t>
  </si>
  <si>
    <t>428 Total</t>
  </si>
  <si>
    <t>429 Total</t>
  </si>
  <si>
    <t>431 Total</t>
  </si>
  <si>
    <t>459 Total</t>
  </si>
  <si>
    <t>471 Total</t>
  </si>
  <si>
    <t>472 Total</t>
  </si>
  <si>
    <t>474 Total</t>
  </si>
  <si>
    <t>479 Total</t>
  </si>
  <si>
    <t>481 Total</t>
  </si>
  <si>
    <t>501 Total</t>
  </si>
  <si>
    <t>502 Total</t>
  </si>
  <si>
    <t>503 Total</t>
  </si>
  <si>
    <t>504 Total</t>
  </si>
  <si>
    <t>505 Total</t>
  </si>
  <si>
    <t>511 Total</t>
  </si>
  <si>
    <t>512 Total</t>
  </si>
  <si>
    <t>513 Total</t>
  </si>
  <si>
    <t>518 Total</t>
  </si>
  <si>
    <t>521 Total</t>
  </si>
  <si>
    <t>524 Total</t>
  </si>
  <si>
    <t>525 Total</t>
  </si>
  <si>
    <t>527 Total</t>
  </si>
  <si>
    <t>528 Total</t>
  </si>
  <si>
    <t>531 Total</t>
  </si>
  <si>
    <t>532 Total</t>
  </si>
  <si>
    <t>538 Total</t>
  </si>
  <si>
    <t>541 Total</t>
  </si>
  <si>
    <t>542 Total</t>
  </si>
  <si>
    <t>543 Total</t>
  </si>
  <si>
    <t>544 Total</t>
  </si>
  <si>
    <t>545 Total</t>
  </si>
  <si>
    <t>546 Total</t>
  </si>
  <si>
    <t>547 Total</t>
  </si>
  <si>
    <t>548 Total</t>
  </si>
  <si>
    <t>549 Total</t>
  </si>
  <si>
    <t>551 Total</t>
  </si>
  <si>
    <t>553 Total</t>
  </si>
  <si>
    <t>562 Total</t>
  </si>
  <si>
    <t>563 Total</t>
  </si>
  <si>
    <t>568 Total</t>
  </si>
  <si>
    <t>569 Total</t>
  </si>
  <si>
    <t>591 Total</t>
  </si>
  <si>
    <t>592 Total</t>
  </si>
  <si>
    <t>601 Total</t>
  </si>
  <si>
    <t>602 Total</t>
  </si>
  <si>
    <t>604 Total</t>
  </si>
  <si>
    <t>611 Total</t>
  </si>
  <si>
    <t>613 Total</t>
  </si>
  <si>
    <t>624 Total</t>
  </si>
  <si>
    <t>641 Total</t>
  </si>
  <si>
    <t>642 Total</t>
  </si>
  <si>
    <t>645 Total</t>
  </si>
  <si>
    <t>648 Total</t>
  </si>
  <si>
    <t>662 Total</t>
  </si>
  <si>
    <t>663 Total</t>
  </si>
  <si>
    <t>668 Total</t>
  </si>
  <si>
    <t xml:space="preserve">odratany leasing D </t>
  </si>
  <si>
    <t xml:space="preserve">leasing MD </t>
  </si>
  <si>
    <t>Z./S.</t>
  </si>
  <si>
    <t>Zisk/Strata (+/-)</t>
  </si>
  <si>
    <t>A.1</t>
  </si>
  <si>
    <t>NEPEŇAŽNÉ OPERÁCIE OVPLYVŇUJÚCE VH Z BČ</t>
  </si>
  <si>
    <t>A. 1. 1.</t>
  </si>
  <si>
    <t>Odpisy dlhodobého nehmotného majetku a dlhodobého hmotného majetku (+)</t>
  </si>
  <si>
    <t>A. 1. 4.</t>
  </si>
  <si>
    <t xml:space="preserve">A. 1. 5. </t>
  </si>
  <si>
    <t>Zmena stavu opravných položiek (+/-)</t>
  </si>
  <si>
    <t xml:space="preserve">A. 1. 6. </t>
  </si>
  <si>
    <t>Zmena stavu položiek časového rozlíšenia nákladov a výnosov (+/-)</t>
  </si>
  <si>
    <t xml:space="preserve">A. 1. 8. </t>
  </si>
  <si>
    <t>Úroky účtované do nákladov (+)</t>
  </si>
  <si>
    <t xml:space="preserve">A. 1.10. </t>
  </si>
  <si>
    <t>Kurzový zisk/strata vyčíslený k peňažným prostriedkom a peňažným ekvivalentom (-)</t>
  </si>
  <si>
    <t xml:space="preserve">A. 1. 12. </t>
  </si>
  <si>
    <t>Výsledok z predaja dlhodobého maj., s výnimkou peňažných ekvivalentov  (+/-)</t>
  </si>
  <si>
    <t>A.2.</t>
  </si>
  <si>
    <t>ZMENY STAVU PRACOVNÉHO KAPITÁLU</t>
  </si>
  <si>
    <t xml:space="preserve">A. 2. 1. </t>
  </si>
  <si>
    <t>Zmena stavu pohľadávok z prevádzkovej činnosti (-/+)</t>
  </si>
  <si>
    <t xml:space="preserve">A. 2. 2. </t>
  </si>
  <si>
    <t>Zmena stavu záväzkov z prevádzkovej činnosti (+/-)</t>
  </si>
  <si>
    <t xml:space="preserve">A. 2. 3. </t>
  </si>
  <si>
    <t>Zmena stavu zásob (-/+)</t>
  </si>
  <si>
    <t>A.4.</t>
  </si>
  <si>
    <t>Výdavky na zaplatené úroky, s výnimkou tých, ktoré sa začleňujú do finančných činností (-)</t>
  </si>
  <si>
    <t>Peňažné toky z prevádzkovej činnosti (+/-), (súčet A1. až A. 6.)</t>
  </si>
  <si>
    <t xml:space="preserve">A. 7. </t>
  </si>
  <si>
    <t>Výdavky na daň z príjmov s výnimkou investičných činností alebo činností (-/+)</t>
  </si>
  <si>
    <t>Čistý peňažné toky z prevádzkovej činnosti (súčet A1. až A.. 9.)</t>
  </si>
  <si>
    <t xml:space="preserve">B. 1. </t>
  </si>
  <si>
    <t>Výdavky na obstaranie dlhodobého nehmotného majetku (-)</t>
  </si>
  <si>
    <t xml:space="preserve">B. 2. </t>
  </si>
  <si>
    <t>Výdavky na obstaranie dlhodobého hmotného majetku (-)1)</t>
  </si>
  <si>
    <t xml:space="preserve">B. 5. </t>
  </si>
  <si>
    <t>Príjmy z predaja dlhodobého hmotného majetku (+)</t>
  </si>
  <si>
    <t xml:space="preserve">B. 7. </t>
  </si>
  <si>
    <t>Výdavky na dlhodobé pôžičky účtovnej jednotke, ktorá je súčasťou konsolidovaného celku (-)</t>
  </si>
  <si>
    <t xml:space="preserve">B. </t>
  </si>
  <si>
    <t>Čisté peňažné toky z investičnej činnosti (súčet B. 1. až B. 20.)</t>
  </si>
  <si>
    <t>C1.</t>
  </si>
  <si>
    <t>Príjmy a výdavky spojené s pôžičkami</t>
  </si>
  <si>
    <t xml:space="preserve">C. </t>
  </si>
  <si>
    <t>Čisté peňažné toky z finančnej činnosti (súčet C. 1. až C. 9.)</t>
  </si>
  <si>
    <t xml:space="preserve">D. </t>
  </si>
  <si>
    <t>Čisté zvýšenie alebo čisté zníženie peňažných prostriedkov (+/-)(súčet A + B + C)</t>
  </si>
  <si>
    <t xml:space="preserve">E. </t>
  </si>
  <si>
    <t>Stav peňažných prostriedkov a peňažných ekvivalentov na začiatku účtovného obdobia (+/-)</t>
  </si>
  <si>
    <t xml:space="preserve">F. </t>
  </si>
  <si>
    <t>Stav peňažných prostriedkov na konci účt. obdobia pred zohľadnením kurzových rozdielov (+/-)</t>
  </si>
  <si>
    <t xml:space="preserve">G. </t>
  </si>
  <si>
    <t>Kurzové rozdiely vyčíslené k peňažným prostriedkom (+/-)</t>
  </si>
  <si>
    <t xml:space="preserve">H. </t>
  </si>
  <si>
    <t>Zostatok peňažných prostriedkov, upravený o kurzové rozdiely (+/-)</t>
  </si>
  <si>
    <t>B.19</t>
  </si>
  <si>
    <t>Ostatné príjmy vzťahujúce sa na investičnú činnosť  (+)</t>
  </si>
  <si>
    <t>Zmena stavu rezerv (+/-)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</si>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</sst>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\ * #,##0.00_ ;_ &quot;$&quot;\ * \-#,##0.00_ ;_ &quot;$&quot;\ * &quot;-&quot;??_ ;_ @_ "/>
  </numFmts>
  <fonts count="30">
    <font>
      <sz val="10"/>
      <name val="Arial"/>
      <family val="2"/>
    </font>
    <font>
      <sz val="10"/>
      <name val="Times New Roman"/>
      <family val="1"/>
    </font>
    <font>
      <sz val="12"/>
      <name val="RomanEES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7.5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.5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</cellStyleXfs>
  <cellXfs count="175">
    <xf numFmtId="0" fontId="0" fillId="0" borderId="0" xfId="0"/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justify" vertical="top" wrapText="1"/>
    </xf>
    <xf numFmtId="3" fontId="4" fillId="2" borderId="0" xfId="0" applyNumberFormat="1" applyFont="1" applyFill="1" applyAlignment="1">
      <alignment horizontal="center"/>
    </xf>
    <xf numFmtId="3" fontId="5" fillId="2" borderId="0" xfId="0" applyNumberFormat="1" applyFont="1" applyFill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3" fontId="6" fillId="2" borderId="0" xfId="0" applyNumberFormat="1" applyFont="1" applyFill="1" applyAlignment="1">
      <alignment horizontal="left" vertical="top"/>
    </xf>
    <xf numFmtId="3" fontId="7" fillId="2" borderId="0" xfId="0" applyNumberFormat="1" applyFont="1" applyFill="1" applyAlignment="1">
      <alignment horizontal="center" vertical="top" wrapText="1"/>
    </xf>
    <xf numFmtId="3" fontId="4" fillId="2" borderId="0" xfId="0" applyNumberFormat="1" applyFont="1" applyFill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justify" vertical="top" wrapText="1"/>
    </xf>
    <xf numFmtId="3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8" fillId="0" borderId="0" xfId="0" applyNumberFormat="1" applyFont="1" applyAlignment="1">
      <alignment wrapText="1"/>
    </xf>
    <xf numFmtId="3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justify" vertical="top" wrapText="1"/>
    </xf>
    <xf numFmtId="3" fontId="7" fillId="3" borderId="1" xfId="0" applyNumberFormat="1" applyFont="1" applyFill="1" applyBorder="1" applyAlignment="1">
      <alignment horizontal="center" vertical="top" wrapText="1"/>
    </xf>
    <xf numFmtId="3" fontId="9" fillId="0" borderId="0" xfId="0" applyNumberFormat="1" applyFont="1" applyAlignment="1">
      <alignment wrapText="1"/>
    </xf>
    <xf numFmtId="3" fontId="10" fillId="0" borderId="0" xfId="0" applyNumberFormat="1" applyFont="1"/>
    <xf numFmtId="3" fontId="10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justify" vertical="top" wrapText="1"/>
    </xf>
    <xf numFmtId="3" fontId="9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justify" vertical="top" wrapText="1"/>
    </xf>
    <xf numFmtId="3" fontId="9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3" fontId="11" fillId="0" borderId="2" xfId="0" applyNumberFormat="1" applyFont="1" applyBorder="1" applyAlignment="1">
      <alignment horizontal="justify" vertical="top" wrapText="1"/>
    </xf>
    <xf numFmtId="3" fontId="11" fillId="0" borderId="2" xfId="0" applyNumberFormat="1" applyFont="1" applyBorder="1"/>
    <xf numFmtId="3" fontId="12" fillId="0" borderId="0" xfId="0" applyNumberFormat="1" applyFont="1"/>
    <xf numFmtId="3" fontId="12" fillId="0" borderId="0" xfId="0" applyNumberFormat="1" applyFont="1" applyAlignment="1">
      <alignment wrapText="1"/>
    </xf>
    <xf numFmtId="3" fontId="12" fillId="2" borderId="0" xfId="0" applyNumberFormat="1" applyFont="1" applyFill="1"/>
    <xf numFmtId="3" fontId="12" fillId="4" borderId="3" xfId="0" applyNumberFormat="1" applyFont="1" applyFill="1" applyBorder="1"/>
    <xf numFmtId="3" fontId="12" fillId="4" borderId="4" xfId="0" applyNumberFormat="1" applyFont="1" applyFill="1" applyBorder="1"/>
    <xf numFmtId="3" fontId="12" fillId="4" borderId="5" xfId="0" applyNumberFormat="1" applyFont="1" applyFill="1" applyBorder="1"/>
    <xf numFmtId="3" fontId="13" fillId="0" borderId="0" xfId="0" applyNumberFormat="1" applyFont="1" applyAlignment="1">
      <alignment wrapText="1"/>
    </xf>
    <xf numFmtId="3" fontId="14" fillId="0" borderId="0" xfId="0" applyNumberFormat="1" applyFont="1"/>
    <xf numFmtId="3" fontId="14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3" fontId="8" fillId="2" borderId="0" xfId="0" applyNumberFormat="1" applyFont="1" applyFill="1"/>
    <xf numFmtId="3" fontId="15" fillId="0" borderId="0" xfId="0" applyNumberFormat="1" applyFont="1" applyAlignment="1">
      <alignment wrapText="1"/>
    </xf>
    <xf numFmtId="3" fontId="16" fillId="0" borderId="0" xfId="0" applyNumberFormat="1" applyFont="1"/>
    <xf numFmtId="3" fontId="16" fillId="2" borderId="0" xfId="0" applyNumberFormat="1" applyFont="1" applyFill="1"/>
    <xf numFmtId="3" fontId="16" fillId="0" borderId="0" xfId="0" applyNumberFormat="1" applyFont="1" applyAlignment="1">
      <alignment wrapText="1"/>
    </xf>
    <xf numFmtId="3" fontId="18" fillId="0" borderId="0" xfId="0" applyNumberFormat="1" applyFont="1"/>
    <xf numFmtId="3" fontId="8" fillId="0" borderId="0" xfId="4" applyNumberFormat="1" applyFont="1" applyAlignment="1">
      <alignment wrapText="1"/>
    </xf>
    <xf numFmtId="3" fontId="7" fillId="0" borderId="0" xfId="4" applyNumberFormat="1" applyFont="1" applyAlignment="1">
      <alignment wrapText="1"/>
    </xf>
    <xf numFmtId="3" fontId="8" fillId="0" borderId="6" xfId="0" applyNumberFormat="1" applyFont="1" applyBorder="1"/>
    <xf numFmtId="3" fontId="8" fillId="4" borderId="3" xfId="0" applyNumberFormat="1" applyFont="1" applyFill="1" applyBorder="1" applyAlignment="1">
      <alignment wrapText="1"/>
    </xf>
    <xf numFmtId="3" fontId="8" fillId="4" borderId="4" xfId="0" applyNumberFormat="1" applyFont="1" applyFill="1" applyBorder="1"/>
    <xf numFmtId="3" fontId="8" fillId="4" borderId="5" xfId="0" applyNumberFormat="1" applyFont="1" applyFill="1" applyBorder="1"/>
    <xf numFmtId="3" fontId="7" fillId="5" borderId="0" xfId="0" applyNumberFormat="1" applyFont="1" applyFill="1" applyAlignment="1">
      <alignment horizontal="center"/>
    </xf>
    <xf numFmtId="3" fontId="19" fillId="0" borderId="0" xfId="0" applyNumberFormat="1" applyFont="1"/>
    <xf numFmtId="3" fontId="20" fillId="0" borderId="0" xfId="0" applyNumberFormat="1" applyFont="1"/>
    <xf numFmtId="3" fontId="20" fillId="0" borderId="0" xfId="0" applyNumberFormat="1" applyFont="1" applyAlignment="1">
      <alignment wrapText="1"/>
    </xf>
    <xf numFmtId="3" fontId="20" fillId="2" borderId="0" xfId="0" applyNumberFormat="1" applyFont="1" applyFill="1"/>
    <xf numFmtId="3" fontId="20" fillId="0" borderId="2" xfId="0" applyNumberFormat="1" applyFont="1" applyBorder="1"/>
    <xf numFmtId="3" fontId="20" fillId="4" borderId="3" xfId="0" applyNumberFormat="1" applyFont="1" applyFill="1" applyBorder="1"/>
    <xf numFmtId="3" fontId="20" fillId="4" borderId="5" xfId="0" applyNumberFormat="1" applyFont="1" applyFill="1" applyBorder="1"/>
    <xf numFmtId="3" fontId="8" fillId="4" borderId="7" xfId="0" applyNumberFormat="1" applyFont="1" applyFill="1" applyBorder="1"/>
    <xf numFmtId="3" fontId="8" fillId="0" borderId="7" xfId="0" applyNumberFormat="1" applyFont="1" applyBorder="1"/>
    <xf numFmtId="3" fontId="19" fillId="0" borderId="0" xfId="0" quotePrefix="1" applyNumberFormat="1" applyFont="1"/>
    <xf numFmtId="3" fontId="19" fillId="0" borderId="0" xfId="2" applyNumberFormat="1" applyFont="1"/>
    <xf numFmtId="3" fontId="20" fillId="0" borderId="0" xfId="2" applyNumberFormat="1" applyFont="1"/>
    <xf numFmtId="3" fontId="20" fillId="0" borderId="0" xfId="2" applyNumberFormat="1" applyFont="1" applyAlignment="1">
      <alignment wrapText="1"/>
    </xf>
    <xf numFmtId="3" fontId="20" fillId="2" borderId="0" xfId="2" applyNumberFormat="1" applyFont="1" applyFill="1"/>
    <xf numFmtId="3" fontId="20" fillId="0" borderId="2" xfId="2" applyNumberFormat="1" applyFont="1" applyBorder="1"/>
    <xf numFmtId="3" fontId="17" fillId="0" borderId="0" xfId="0" applyNumberFormat="1" applyFont="1"/>
    <xf numFmtId="3" fontId="21" fillId="0" borderId="0" xfId="0" applyNumberFormat="1" applyFont="1"/>
    <xf numFmtId="3" fontId="16" fillId="0" borderId="0" xfId="4" applyNumberFormat="1" applyFont="1"/>
    <xf numFmtId="3" fontId="20" fillId="0" borderId="0" xfId="2" applyNumberFormat="1" applyFont="1" applyAlignment="1">
      <alignment horizontal="justify" vertical="top" wrapText="1"/>
    </xf>
    <xf numFmtId="3" fontId="20" fillId="0" borderId="0" xfId="0" applyNumberFormat="1" applyFont="1" applyAlignment="1">
      <alignment horizontal="justify" vertical="top" wrapText="1"/>
    </xf>
    <xf numFmtId="3" fontId="22" fillId="0" borderId="0" xfId="0" applyNumberFormat="1" applyFont="1"/>
    <xf numFmtId="3" fontId="22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3" fontId="18" fillId="2" borderId="0" xfId="0" applyNumberFormat="1" applyFont="1" applyFill="1"/>
    <xf numFmtId="3" fontId="18" fillId="0" borderId="0" xfId="2" applyNumberFormat="1" applyFont="1"/>
    <xf numFmtId="3" fontId="18" fillId="0" borderId="2" xfId="2" applyNumberFormat="1" applyFont="1" applyBorder="1"/>
    <xf numFmtId="3" fontId="18" fillId="0" borderId="0" xfId="2" applyNumberFormat="1" applyFont="1" applyAlignment="1">
      <alignment wrapText="1"/>
    </xf>
    <xf numFmtId="3" fontId="19" fillId="0" borderId="0" xfId="4" applyNumberFormat="1" applyFont="1" applyAlignment="1">
      <alignment wrapText="1"/>
    </xf>
    <xf numFmtId="3" fontId="19" fillId="0" borderId="0" xfId="0" applyNumberFormat="1" applyFont="1" applyAlignment="1">
      <alignment wrapText="1"/>
    </xf>
    <xf numFmtId="3" fontId="20" fillId="4" borderId="0" xfId="0" applyNumberFormat="1" applyFont="1" applyFill="1"/>
    <xf numFmtId="3" fontId="16" fillId="0" borderId="0" xfId="4" applyNumberFormat="1" applyFont="1" applyAlignment="1">
      <alignment wrapText="1"/>
    </xf>
    <xf numFmtId="3" fontId="20" fillId="0" borderId="8" xfId="0" applyNumberFormat="1" applyFont="1" applyBorder="1"/>
    <xf numFmtId="3" fontId="20" fillId="0" borderId="0" xfId="4" applyNumberFormat="1" applyFont="1" applyAlignment="1">
      <alignment wrapText="1"/>
    </xf>
    <xf numFmtId="3" fontId="14" fillId="0" borderId="1" xfId="0" applyNumberFormat="1" applyFont="1" applyBorder="1" applyAlignment="1">
      <alignment wrapText="1"/>
    </xf>
    <xf numFmtId="3" fontId="14" fillId="0" borderId="1" xfId="0" applyNumberFormat="1" applyFont="1" applyBorder="1"/>
    <xf numFmtId="3" fontId="7" fillId="0" borderId="1" xfId="0" applyNumberFormat="1" applyFont="1" applyBorder="1" applyAlignment="1">
      <alignment wrapText="1"/>
    </xf>
    <xf numFmtId="3" fontId="8" fillId="0" borderId="1" xfId="0" applyNumberFormat="1" applyFont="1" applyBorder="1"/>
    <xf numFmtId="3" fontId="8" fillId="2" borderId="1" xfId="0" applyNumberFormat="1" applyFont="1" applyFill="1" applyBorder="1"/>
    <xf numFmtId="3" fontId="8" fillId="0" borderId="1" xfId="0" applyNumberFormat="1" applyFont="1" applyBorder="1" applyAlignment="1">
      <alignment wrapText="1"/>
    </xf>
    <xf numFmtId="3" fontId="15" fillId="0" borderId="1" xfId="0" applyNumberFormat="1" applyFont="1" applyBorder="1" applyAlignment="1">
      <alignment wrapText="1"/>
    </xf>
    <xf numFmtId="3" fontId="16" fillId="0" borderId="1" xfId="0" applyNumberFormat="1" applyFont="1" applyBorder="1"/>
    <xf numFmtId="3" fontId="16" fillId="2" borderId="1" xfId="0" applyNumberFormat="1" applyFont="1" applyFill="1" applyBorder="1"/>
    <xf numFmtId="3" fontId="16" fillId="0" borderId="1" xfId="0" applyNumberFormat="1" applyFont="1" applyBorder="1" applyAlignment="1">
      <alignment wrapText="1"/>
    </xf>
    <xf numFmtId="3" fontId="16" fillId="0" borderId="1" xfId="4" applyNumberFormat="1" applyFont="1" applyBorder="1"/>
    <xf numFmtId="3" fontId="16" fillId="0" borderId="1" xfId="4" applyNumberFormat="1" applyFont="1" applyBorder="1" applyAlignment="1">
      <alignment wrapText="1"/>
    </xf>
    <xf numFmtId="3" fontId="19" fillId="0" borderId="1" xfId="4" applyNumberFormat="1" applyFont="1" applyBorder="1" applyAlignment="1">
      <alignment wrapText="1"/>
    </xf>
    <xf numFmtId="3" fontId="20" fillId="0" borderId="1" xfId="0" applyNumberFormat="1" applyFont="1" applyBorder="1"/>
    <xf numFmtId="3" fontId="20" fillId="2" borderId="1" xfId="0" applyNumberFormat="1" applyFont="1" applyFill="1" applyBorder="1"/>
    <xf numFmtId="3" fontId="20" fillId="0" borderId="1" xfId="4" applyNumberFormat="1" applyFont="1" applyBorder="1" applyAlignment="1">
      <alignment wrapText="1"/>
    </xf>
    <xf numFmtId="3" fontId="19" fillId="0" borderId="1" xfId="0" applyNumberFormat="1" applyFont="1" applyBorder="1" applyAlignment="1">
      <alignment wrapText="1"/>
    </xf>
    <xf numFmtId="3" fontId="20" fillId="0" borderId="1" xfId="0" applyNumberFormat="1" applyFont="1" applyBorder="1" applyAlignment="1">
      <alignment wrapText="1"/>
    </xf>
    <xf numFmtId="3" fontId="8" fillId="0" borderId="1" xfId="4" applyNumberFormat="1" applyFont="1" applyBorder="1" applyAlignment="1">
      <alignment wrapText="1"/>
    </xf>
    <xf numFmtId="3" fontId="7" fillId="0" borderId="1" xfId="4" applyNumberFormat="1" applyFont="1" applyBorder="1" applyAlignment="1">
      <alignment wrapText="1"/>
    </xf>
    <xf numFmtId="3" fontId="8" fillId="4" borderId="1" xfId="0" applyNumberFormat="1" applyFont="1" applyFill="1" applyBorder="1" applyAlignment="1">
      <alignment wrapText="1"/>
    </xf>
    <xf numFmtId="3" fontId="8" fillId="4" borderId="1" xfId="0" applyNumberFormat="1" applyFont="1" applyFill="1" applyBorder="1"/>
    <xf numFmtId="3" fontId="23" fillId="0" borderId="1" xfId="0" applyNumberFormat="1" applyFont="1" applyBorder="1" applyAlignment="1">
      <alignment wrapText="1"/>
    </xf>
    <xf numFmtId="3" fontId="24" fillId="2" borderId="1" xfId="0" applyNumberFormat="1" applyFont="1" applyFill="1" applyBorder="1" applyAlignment="1">
      <alignment horizontal="center" wrapText="1"/>
    </xf>
    <xf numFmtId="4" fontId="20" fillId="0" borderId="0" xfId="0" applyNumberFormat="1" applyFont="1" applyAlignment="1">
      <alignment wrapText="1"/>
    </xf>
    <xf numFmtId="4" fontId="12" fillId="0" borderId="0" xfId="0" applyNumberFormat="1" applyFont="1"/>
    <xf numFmtId="3" fontId="0" fillId="0" borderId="0" xfId="0" applyNumberFormat="1"/>
    <xf numFmtId="3" fontId="0" fillId="2" borderId="0" xfId="0" applyNumberFormat="1" applyFill="1"/>
    <xf numFmtId="3" fontId="20" fillId="6" borderId="0" xfId="0" applyNumberFormat="1" applyFont="1" applyFill="1"/>
    <xf numFmtId="0" fontId="0" fillId="7" borderId="0" xfId="0" applyFill="1"/>
    <xf numFmtId="3" fontId="7" fillId="7" borderId="1" xfId="0" applyNumberFormat="1" applyFont="1" applyFill="1" applyBorder="1"/>
    <xf numFmtId="3" fontId="7" fillId="8" borderId="1" xfId="0" applyNumberFormat="1" applyFont="1" applyFill="1" applyBorder="1"/>
    <xf numFmtId="3" fontId="7" fillId="0" borderId="1" xfId="0" applyNumberFormat="1" applyFont="1" applyBorder="1"/>
    <xf numFmtId="3" fontId="0" fillId="0" borderId="1" xfId="0" applyNumberFormat="1" applyBorder="1"/>
    <xf numFmtId="0" fontId="24" fillId="0" borderId="9" xfId="0" applyFont="1" applyBorder="1"/>
    <xf numFmtId="0" fontId="24" fillId="0" borderId="9" xfId="0" applyFont="1" applyBorder="1" applyAlignment="1">
      <alignment horizontal="left"/>
    </xf>
    <xf numFmtId="3" fontId="24" fillId="0" borderId="9" xfId="0" applyNumberFormat="1" applyFont="1" applyBorder="1" applyAlignment="1">
      <alignment horizontal="right"/>
    </xf>
    <xf numFmtId="0" fontId="25" fillId="0" borderId="0" xfId="0" applyFont="1"/>
    <xf numFmtId="1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/>
    </xf>
    <xf numFmtId="3" fontId="25" fillId="0" borderId="0" xfId="0" applyNumberFormat="1" applyFont="1" applyAlignment="1">
      <alignment horizontal="right"/>
    </xf>
    <xf numFmtId="0" fontId="25" fillId="9" borderId="0" xfId="0" applyFont="1" applyFill="1"/>
    <xf numFmtId="1" fontId="25" fillId="9" borderId="0" xfId="0" applyNumberFormat="1" applyFont="1" applyFill="1" applyAlignment="1">
      <alignment horizontal="left"/>
    </xf>
    <xf numFmtId="0" fontId="25" fillId="9" borderId="0" xfId="0" applyFont="1" applyFill="1" applyAlignment="1">
      <alignment horizontal="left"/>
    </xf>
    <xf numFmtId="3" fontId="25" fillId="9" borderId="0" xfId="0" applyNumberFormat="1" applyFont="1" applyFill="1" applyAlignment="1">
      <alignment horizontal="right"/>
    </xf>
    <xf numFmtId="3" fontId="0" fillId="9" borderId="0" xfId="0" applyNumberFormat="1" applyFill="1"/>
    <xf numFmtId="0" fontId="25" fillId="10" borderId="0" xfId="0" applyFont="1" applyFill="1"/>
    <xf numFmtId="1" fontId="25" fillId="10" borderId="0" xfId="0" applyNumberFormat="1" applyFont="1" applyFill="1" applyAlignment="1">
      <alignment horizontal="left"/>
    </xf>
    <xf numFmtId="0" fontId="25" fillId="10" borderId="0" xfId="0" applyFont="1" applyFill="1" applyAlignment="1">
      <alignment horizontal="left"/>
    </xf>
    <xf numFmtId="3" fontId="25" fillId="10" borderId="0" xfId="0" applyNumberFormat="1" applyFont="1" applyFill="1" applyAlignment="1">
      <alignment horizontal="right"/>
    </xf>
    <xf numFmtId="3" fontId="0" fillId="10" borderId="0" xfId="0" applyNumberFormat="1" applyFill="1"/>
    <xf numFmtId="3" fontId="0" fillId="7" borderId="0" xfId="0" applyNumberFormat="1" applyFill="1"/>
    <xf numFmtId="0" fontId="0" fillId="9" borderId="0" xfId="0" applyFill="1"/>
    <xf numFmtId="0" fontId="26" fillId="0" borderId="0" xfId="0" applyFont="1" applyAlignment="1">
      <alignment horizontal="justify" vertical="center"/>
    </xf>
    <xf numFmtId="0" fontId="23" fillId="0" borderId="10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 wrapText="1"/>
    </xf>
    <xf numFmtId="3" fontId="29" fillId="11" borderId="11" xfId="0" applyNumberFormat="1" applyFont="1" applyFill="1" applyBorder="1" applyAlignment="1">
      <alignment horizontal="right" vertical="center"/>
    </xf>
    <xf numFmtId="0" fontId="29" fillId="11" borderId="11" xfId="0" applyFont="1" applyFill="1" applyBorder="1" applyAlignment="1">
      <alignment horizontal="right" vertical="center"/>
    </xf>
    <xf numFmtId="0" fontId="23" fillId="0" borderId="11" xfId="0" applyFont="1" applyBorder="1" applyAlignment="1">
      <alignment horizontal="left" vertical="center"/>
    </xf>
    <xf numFmtId="3" fontId="23" fillId="0" borderId="11" xfId="0" applyNumberFormat="1" applyFont="1" applyBorder="1" applyAlignment="1">
      <alignment horizontal="right" vertical="center"/>
    </xf>
    <xf numFmtId="0" fontId="7" fillId="9" borderId="1" xfId="0" applyFont="1" applyFill="1" applyBorder="1" applyAlignment="1">
      <alignment horizontal="center"/>
    </xf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3" fontId="3" fillId="0" borderId="1" xfId="0" applyNumberFormat="1" applyFont="1" applyBorder="1"/>
    <xf numFmtId="3" fontId="3" fillId="2" borderId="1" xfId="0" applyNumberFormat="1" applyFont="1" applyFill="1" applyBorder="1"/>
    <xf numFmtId="3" fontId="3" fillId="0" borderId="1" xfId="0" applyNumberFormat="1" applyFont="1" applyBorder="1" applyAlignment="1">
      <alignment wrapText="1"/>
    </xf>
    <xf numFmtId="3" fontId="3" fillId="7" borderId="1" xfId="0" applyNumberFormat="1" applyFont="1" applyFill="1" applyBorder="1"/>
    <xf numFmtId="3" fontId="3" fillId="0" borderId="1" xfId="4" applyNumberFormat="1" applyBorder="1"/>
    <xf numFmtId="3" fontId="3" fillId="0" borderId="1" xfId="4" applyNumberFormat="1" applyBorder="1" applyAlignment="1">
      <alignment wrapText="1"/>
    </xf>
    <xf numFmtId="3" fontId="3" fillId="4" borderId="1" xfId="0" applyNumberFormat="1" applyFont="1" applyFill="1" applyBorder="1" applyAlignment="1">
      <alignment wrapText="1"/>
    </xf>
    <xf numFmtId="3" fontId="3" fillId="4" borderId="1" xfId="0" applyNumberFormat="1" applyFont="1" applyFill="1" applyBorder="1"/>
    <xf numFmtId="0" fontId="0" fillId="0" borderId="0" xfId="0" applyFill="1"/>
    <xf numFmtId="3" fontId="3" fillId="0" borderId="0" xfId="0" applyNumberFormat="1" applyFont="1" applyFill="1"/>
    <xf numFmtId="3" fontId="24" fillId="0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/>
    <xf numFmtId="3" fontId="23" fillId="8" borderId="11" xfId="0" applyNumberFormat="1" applyFont="1" applyFill="1" applyBorder="1" applyAlignment="1">
      <alignment horizontal="right" vertical="center"/>
    </xf>
    <xf numFmtId="0" fontId="28" fillId="12" borderId="10" xfId="0" applyFont="1" applyFill="1" applyBorder="1" applyAlignment="1">
      <alignment horizontal="left" vertical="center"/>
    </xf>
    <xf numFmtId="3" fontId="28" fillId="12" borderId="11" xfId="0" applyNumberFormat="1" applyFont="1" applyFill="1" applyBorder="1" applyAlignment="1">
      <alignment horizontal="right" vertical="center"/>
    </xf>
    <xf numFmtId="0" fontId="23" fillId="12" borderId="6" xfId="0" applyFont="1" applyFill="1" applyBorder="1" applyAlignment="1">
      <alignment horizontal="left" vertical="center"/>
    </xf>
    <xf numFmtId="0" fontId="23" fillId="12" borderId="5" xfId="0" applyFont="1" applyFill="1" applyBorder="1" applyAlignment="1">
      <alignment horizontal="left" vertical="center"/>
    </xf>
    <xf numFmtId="3" fontId="27" fillId="12" borderId="11" xfId="0" applyNumberFormat="1" applyFont="1" applyFill="1" applyBorder="1" applyAlignment="1">
      <alignment horizontal="right" vertical="center"/>
    </xf>
    <xf numFmtId="0" fontId="28" fillId="12" borderId="11" xfId="0" applyFont="1" applyFill="1" applyBorder="1" applyAlignment="1">
      <alignment horizontal="left" vertical="center"/>
    </xf>
    <xf numFmtId="3" fontId="23" fillId="12" borderId="11" xfId="0" applyNumberFormat="1" applyFont="1" applyFill="1" applyBorder="1" applyAlignment="1">
      <alignment horizontal="right" vertical="center"/>
    </xf>
    <xf numFmtId="0" fontId="23" fillId="12" borderId="1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left" vertical="center"/>
    </xf>
    <xf numFmtId="0" fontId="28" fillId="0" borderId="11" xfId="0" applyFont="1" applyFill="1" applyBorder="1" applyAlignment="1">
      <alignment horizontal="left" vertical="center" wrapText="1"/>
    </xf>
    <xf numFmtId="3" fontId="28" fillId="0" borderId="11" xfId="0" applyNumberFormat="1" applyFont="1" applyFill="1" applyBorder="1" applyAlignment="1">
      <alignment horizontal="right" vertical="center"/>
    </xf>
  </cellXfs>
  <cellStyles count="5">
    <cellStyle name="měny_prilohy1,2,3,4 Heatco Deloitte" xfId="1" xr:uid="{00000000-0005-0000-0000-000000000000}"/>
    <cellStyle name="Normal" xfId="0" builtinId="0"/>
    <cellStyle name="Normal_Worksheet in 2225 Fotomat Cash Flow 2002" xfId="2" xr:uid="{00000000-0005-0000-0000-000002000000}"/>
    <cellStyle name="normální_BIL_KONS 96" xfId="3" xr:uid="{00000000-0005-0000-0000-000003000000}"/>
    <cellStyle name="normální_cashflow96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38100</xdr:colOff>
      <xdr:row>9</xdr:row>
      <xdr:rowOff>101600</xdr:rowOff>
    </xdr:from>
    <xdr:to>
      <xdr:col>37</xdr:col>
      <xdr:colOff>142875</xdr:colOff>
      <xdr:row>40</xdr:row>
      <xdr:rowOff>1905</xdr:rowOff>
    </xdr:to>
    <xdr:pic>
      <xdr:nvPicPr>
        <xdr:cNvPr id="2" name="Picture 1" descr="Table&#10;&#10;Description automatically generated">
          <a:extLst>
            <a:ext uri="{FF2B5EF4-FFF2-40B4-BE49-F238E27FC236}">
              <a16:creationId xmlns:a16="http://schemas.microsoft.com/office/drawing/2014/main" id="{8FA80F85-A0AF-4CDD-BC76-BD36AEF5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1968500"/>
          <a:ext cx="7419975" cy="52152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zarssk-my.sharepoint.com/personal/milos_kunsky_mazars_sk/Documents/Pracovn&#225;%20plocha/UZ%20Clamason/CF%20Clamason%202023%20client%20corrected.xlsx" TargetMode="External"/><Relationship Id="rId1" Type="http://schemas.openxmlformats.org/officeDocument/2006/relationships/externalLinkPath" Target="CF%20Clamason%202023%20client%20correc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RAVENY CF"/>
      <sheetName val="cash flow - cisty"/>
      <sheetName val="cash flow - priklad"/>
      <sheetName val="Sheet1"/>
      <sheetName val="GL 2023"/>
    </sheetNames>
    <sheetDataSet>
      <sheetData sheetId="0" refreshError="1"/>
      <sheetData sheetId="1">
        <row r="45">
          <cell r="Y45">
            <v>380005.74</v>
          </cell>
        </row>
        <row r="47">
          <cell r="Y47">
            <v>375462</v>
          </cell>
        </row>
        <row r="48">
          <cell r="Y48">
            <v>0</v>
          </cell>
        </row>
        <row r="49">
          <cell r="Y49">
            <v>43020.66</v>
          </cell>
        </row>
        <row r="50">
          <cell r="Y50">
            <v>0</v>
          </cell>
        </row>
        <row r="51">
          <cell r="Y51">
            <v>0</v>
          </cell>
        </row>
        <row r="52">
          <cell r="Y52">
            <v>-197.75</v>
          </cell>
        </row>
        <row r="53">
          <cell r="Y53">
            <v>193152.74</v>
          </cell>
        </row>
        <row r="54">
          <cell r="Y54">
            <v>0</v>
          </cell>
        </row>
        <row r="55">
          <cell r="Y55">
            <v>60295.049999999988</v>
          </cell>
        </row>
        <row r="56">
          <cell r="Y56">
            <v>-1218.8899999999999</v>
          </cell>
        </row>
        <row r="60">
          <cell r="Y60">
            <v>204477.1699999999</v>
          </cell>
        </row>
        <row r="63">
          <cell r="Y63">
            <v>0</v>
          </cell>
        </row>
        <row r="65">
          <cell r="Y65">
            <v>0</v>
          </cell>
        </row>
        <row r="66">
          <cell r="Y66">
            <v>0</v>
          </cell>
        </row>
        <row r="67">
          <cell r="Y67">
            <v>-34900</v>
          </cell>
        </row>
        <row r="83">
          <cell r="Y83">
            <v>0</v>
          </cell>
        </row>
        <row r="84">
          <cell r="Y84">
            <v>0</v>
          </cell>
        </row>
        <row r="85">
          <cell r="Y85">
            <v>0.1</v>
          </cell>
        </row>
        <row r="86">
          <cell r="Y86">
            <v>0</v>
          </cell>
        </row>
        <row r="87">
          <cell r="Y87">
            <v>0</v>
          </cell>
        </row>
        <row r="88">
          <cell r="Y88">
            <v>0</v>
          </cell>
        </row>
        <row r="92">
          <cell r="Y92">
            <v>-175812.24</v>
          </cell>
        </row>
        <row r="93">
          <cell r="Y93">
            <v>0</v>
          </cell>
        </row>
        <row r="94">
          <cell r="Y94">
            <v>-1895.9</v>
          </cell>
        </row>
        <row r="95">
          <cell r="Y95">
            <v>1896.3299999999872</v>
          </cell>
        </row>
        <row r="97">
          <cell r="Y97">
            <v>0</v>
          </cell>
        </row>
        <row r="98">
          <cell r="Y98">
            <v>-0.22000000000025466</v>
          </cell>
        </row>
        <row r="99">
          <cell r="Y99">
            <v>-0.2099999999627471</v>
          </cell>
        </row>
        <row r="100">
          <cell r="Y100">
            <v>0</v>
          </cell>
        </row>
        <row r="101">
          <cell r="Y101">
            <v>-0.4599999999627471</v>
          </cell>
        </row>
        <row r="107">
          <cell r="Y107">
            <v>500</v>
          </cell>
        </row>
        <row r="109">
          <cell r="Y109">
            <v>628.94000000000005</v>
          </cell>
        </row>
        <row r="293">
          <cell r="D293">
            <v>129339.21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8CD4-2A9C-47F3-81BF-647827A92C23}">
  <sheetPr>
    <pageSetUpPr fitToPage="1"/>
  </sheetPr>
  <dimension ref="A1:Y68"/>
  <sheetViews>
    <sheetView topLeftCell="A7" zoomScaleNormal="100" workbookViewId="0">
      <selection activeCell="V30" sqref="V30"/>
    </sheetView>
  </sheetViews>
  <sheetFormatPr defaultRowHeight="12.75"/>
  <cols>
    <col min="1" max="1" width="81.140625" customWidth="1"/>
    <col min="2" max="2" width="13.7109375" hidden="1" customWidth="1"/>
    <col min="3" max="3" width="15" hidden="1" customWidth="1"/>
    <col min="4" max="4" width="13.85546875" hidden="1" customWidth="1"/>
    <col min="5" max="5" width="11.42578125" hidden="1" customWidth="1"/>
    <col min="6" max="7" width="9.140625" hidden="1" customWidth="1"/>
    <col min="8" max="8" width="17.140625" hidden="1" customWidth="1"/>
    <col min="9" max="20" width="9.140625" hidden="1" customWidth="1"/>
    <col min="21" max="21" width="15.28515625" style="159" customWidth="1"/>
    <col min="22" max="22" width="15.42578125" customWidth="1"/>
  </cols>
  <sheetData>
    <row r="1" spans="1:22">
      <c r="A1" s="117" t="s">
        <v>278</v>
      </c>
    </row>
    <row r="7" spans="1:22" ht="13.5" customHeight="1">
      <c r="A7" s="38" t="s">
        <v>274</v>
      </c>
      <c r="B7" s="149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49"/>
      <c r="U7" s="160"/>
      <c r="V7" s="149"/>
    </row>
    <row r="8" spans="1:22" ht="13.5" customHeight="1">
      <c r="A8" s="150"/>
      <c r="B8" s="149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49"/>
      <c r="U8" s="160"/>
      <c r="V8" s="149"/>
    </row>
    <row r="9" spans="1:22" ht="43.5" customHeight="1">
      <c r="A9" s="110"/>
      <c r="B9" s="110" t="s">
        <v>18</v>
      </c>
      <c r="C9" s="110" t="s">
        <v>132</v>
      </c>
      <c r="D9" s="110" t="s">
        <v>134</v>
      </c>
      <c r="E9" s="110" t="s">
        <v>21</v>
      </c>
      <c r="F9" s="110" t="s">
        <v>19</v>
      </c>
      <c r="G9" s="110" t="s">
        <v>141</v>
      </c>
      <c r="H9" s="110" t="s">
        <v>149</v>
      </c>
      <c r="I9" s="110" t="s">
        <v>117</v>
      </c>
      <c r="J9" s="110" t="s">
        <v>20</v>
      </c>
      <c r="K9" s="110" t="s">
        <v>61</v>
      </c>
      <c r="L9" s="110" t="s">
        <v>177</v>
      </c>
      <c r="M9" s="110" t="s">
        <v>179</v>
      </c>
      <c r="N9" s="110" t="s">
        <v>178</v>
      </c>
      <c r="O9" s="110" t="s">
        <v>135</v>
      </c>
      <c r="P9" s="110" t="s">
        <v>186</v>
      </c>
      <c r="Q9" s="110" t="s">
        <v>190</v>
      </c>
      <c r="R9" s="110" t="s">
        <v>77</v>
      </c>
      <c r="S9" s="110" t="s">
        <v>202</v>
      </c>
      <c r="T9" s="110" t="s">
        <v>28</v>
      </c>
      <c r="U9" s="161" t="s">
        <v>271</v>
      </c>
      <c r="V9" s="111" t="s">
        <v>271</v>
      </c>
    </row>
    <row r="10" spans="1:22" ht="13.5" customHeight="1">
      <c r="A10" s="90" t="s">
        <v>113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2"/>
      <c r="U10" s="162"/>
      <c r="V10" s="151"/>
    </row>
    <row r="11" spans="1:22" ht="13.5" customHeight="1">
      <c r="A11" s="153" t="s">
        <v>234</v>
      </c>
      <c r="B11" s="151"/>
      <c r="C11" s="151">
        <v>32131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>
        <v>32131</v>
      </c>
      <c r="T11" s="152"/>
      <c r="U11" s="154">
        <f>'[1]cash flow - cisty'!Y45</f>
        <v>380005.74</v>
      </c>
      <c r="V11" s="151"/>
    </row>
    <row r="12" spans="1:22" ht="13.5" customHeight="1">
      <c r="A12" s="94" t="s">
        <v>114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2"/>
      <c r="U12" s="162"/>
      <c r="V12" s="151"/>
    </row>
    <row r="13" spans="1:22" ht="13.5" customHeight="1">
      <c r="A13" s="153" t="s">
        <v>115</v>
      </c>
      <c r="B13" s="151"/>
      <c r="C13" s="151">
        <v>2888</v>
      </c>
      <c r="D13" s="151"/>
      <c r="E13" s="151">
        <v>2888</v>
      </c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2"/>
      <c r="U13" s="154">
        <f>'[1]cash flow - cisty'!Y47</f>
        <v>375462</v>
      </c>
      <c r="V13" s="151"/>
    </row>
    <row r="14" spans="1:22" ht="13.5" customHeight="1">
      <c r="A14" s="153" t="s">
        <v>173</v>
      </c>
      <c r="B14" s="151"/>
      <c r="C14" s="151">
        <v>0</v>
      </c>
      <c r="D14" s="151"/>
      <c r="E14" s="151">
        <v>0</v>
      </c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2"/>
      <c r="U14" s="162">
        <f>'[1]cash flow - cisty'!Y48</f>
        <v>0</v>
      </c>
      <c r="V14" s="151"/>
    </row>
    <row r="15" spans="1:22" ht="13.5" customHeight="1">
      <c r="A15" s="153" t="s">
        <v>235</v>
      </c>
      <c r="B15" s="151"/>
      <c r="C15" s="151">
        <v>0</v>
      </c>
      <c r="D15" s="151"/>
      <c r="E15" s="151"/>
      <c r="F15" s="151">
        <v>0</v>
      </c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2"/>
      <c r="U15" s="154">
        <f>'[1]cash flow - cisty'!Y49</f>
        <v>43020.66</v>
      </c>
      <c r="V15" s="151"/>
    </row>
    <row r="16" spans="1:22" ht="13.5" customHeight="1">
      <c r="A16" s="153" t="s">
        <v>236</v>
      </c>
      <c r="B16" s="151"/>
      <c r="C16" s="151">
        <v>0</v>
      </c>
      <c r="D16" s="151"/>
      <c r="E16" s="151"/>
      <c r="F16" s="151"/>
      <c r="G16" s="151">
        <v>0</v>
      </c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2"/>
      <c r="U16" s="162">
        <f>'[1]cash flow - cisty'!Y50</f>
        <v>0</v>
      </c>
      <c r="V16" s="151"/>
    </row>
    <row r="17" spans="1:22" ht="13.5" customHeight="1">
      <c r="A17" s="153" t="s">
        <v>116</v>
      </c>
      <c r="B17" s="151"/>
      <c r="C17" s="151">
        <v>0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>
        <v>0</v>
      </c>
      <c r="O17" s="151"/>
      <c r="P17" s="151"/>
      <c r="Q17" s="151"/>
      <c r="R17" s="151"/>
      <c r="S17" s="151"/>
      <c r="T17" s="152"/>
      <c r="U17" s="162">
        <f>'[1]cash flow - cisty'!Y51</f>
        <v>0</v>
      </c>
      <c r="V17" s="151"/>
    </row>
    <row r="18" spans="1:22" ht="13.5" customHeight="1">
      <c r="A18" s="153" t="s">
        <v>118</v>
      </c>
      <c r="B18" s="151"/>
      <c r="C18" s="151">
        <v>0</v>
      </c>
      <c r="D18" s="151"/>
      <c r="E18" s="151"/>
      <c r="F18" s="151"/>
      <c r="G18" s="151"/>
      <c r="H18" s="151">
        <v>0</v>
      </c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2"/>
      <c r="U18" s="154">
        <f>'[1]cash flow - cisty'!Y52</f>
        <v>-197.75</v>
      </c>
      <c r="V18" s="151"/>
    </row>
    <row r="19" spans="1:22" ht="13.5" customHeight="1">
      <c r="A19" s="153" t="s">
        <v>238</v>
      </c>
      <c r="B19" s="151"/>
      <c r="C19" s="151">
        <v>-14</v>
      </c>
      <c r="D19" s="151"/>
      <c r="E19" s="151"/>
      <c r="F19" s="151"/>
      <c r="G19" s="151"/>
      <c r="H19" s="151"/>
      <c r="I19" s="151"/>
      <c r="J19" s="151">
        <v>-14</v>
      </c>
      <c r="K19" s="151"/>
      <c r="L19" s="151"/>
      <c r="M19" s="151"/>
      <c r="N19" s="151"/>
      <c r="O19" s="151"/>
      <c r="P19" s="151"/>
      <c r="Q19" s="151"/>
      <c r="R19" s="151"/>
      <c r="S19" s="151"/>
      <c r="T19" s="152"/>
      <c r="U19" s="154">
        <f>'[1]cash flow - cisty'!Y53</f>
        <v>193152.74</v>
      </c>
      <c r="V19" s="151"/>
    </row>
    <row r="20" spans="1:22" ht="13.5" customHeight="1">
      <c r="A20" s="153" t="s">
        <v>26</v>
      </c>
      <c r="B20" s="151"/>
      <c r="C20" s="151">
        <v>0</v>
      </c>
      <c r="D20" s="151"/>
      <c r="E20" s="151"/>
      <c r="F20" s="151"/>
      <c r="G20" s="151"/>
      <c r="H20" s="151"/>
      <c r="I20" s="151"/>
      <c r="J20" s="151"/>
      <c r="K20" s="151">
        <v>0</v>
      </c>
      <c r="L20" s="151"/>
      <c r="M20" s="151"/>
      <c r="N20" s="151"/>
      <c r="O20" s="151"/>
      <c r="P20" s="151"/>
      <c r="Q20" s="151"/>
      <c r="R20" s="151"/>
      <c r="S20" s="151"/>
      <c r="T20" s="152"/>
      <c r="U20" s="162">
        <f>'[1]cash flow - cisty'!Y54</f>
        <v>0</v>
      </c>
      <c r="V20" s="151"/>
    </row>
    <row r="21" spans="1:22" ht="13.5" customHeight="1">
      <c r="A21" s="153" t="s">
        <v>237</v>
      </c>
      <c r="B21" s="151">
        <v>865</v>
      </c>
      <c r="C21" s="151">
        <v>0</v>
      </c>
      <c r="D21" s="151"/>
      <c r="E21" s="151"/>
      <c r="F21" s="151"/>
      <c r="G21" s="151"/>
      <c r="H21" s="151"/>
      <c r="I21" s="151">
        <v>0</v>
      </c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2"/>
      <c r="U21" s="154">
        <f>'[1]cash flow - cisty'!Y55</f>
        <v>60295.049999999988</v>
      </c>
      <c r="V21" s="151"/>
    </row>
    <row r="22" spans="1:22" ht="13.5" customHeight="1">
      <c r="A22" s="153" t="s">
        <v>117</v>
      </c>
      <c r="B22" s="151"/>
      <c r="C22" s="151">
        <v>-1253</v>
      </c>
      <c r="D22" s="151"/>
      <c r="E22" s="151"/>
      <c r="F22" s="151"/>
      <c r="G22" s="151"/>
      <c r="H22" s="151"/>
      <c r="I22" s="151">
        <v>-1253</v>
      </c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  <c r="U22" s="162">
        <f>'[1]cash flow - cisty'!Y56</f>
        <v>-1218.8899999999999</v>
      </c>
      <c r="V22" s="151"/>
    </row>
    <row r="23" spans="1:22" ht="13.5" customHeight="1">
      <c r="A23" s="155" t="s">
        <v>239</v>
      </c>
      <c r="B23" s="151">
        <v>-53</v>
      </c>
      <c r="C23" s="151">
        <v>0</v>
      </c>
      <c r="D23" s="151"/>
      <c r="E23" s="151"/>
      <c r="F23" s="151">
        <v>0</v>
      </c>
      <c r="G23" s="151">
        <v>0</v>
      </c>
      <c r="H23" s="151"/>
      <c r="I23" s="151">
        <v>0</v>
      </c>
      <c r="J23" s="151">
        <v>0</v>
      </c>
      <c r="K23" s="151"/>
      <c r="L23" s="151"/>
      <c r="M23" s="151"/>
      <c r="N23" s="151"/>
      <c r="O23" s="151"/>
      <c r="P23" s="151"/>
      <c r="Q23" s="151">
        <v>0</v>
      </c>
      <c r="R23" s="151"/>
      <c r="S23" s="151"/>
      <c r="T23" s="152"/>
      <c r="U23" s="154">
        <v>-2405</v>
      </c>
      <c r="V23" s="151"/>
    </row>
    <row r="24" spans="1:22" ht="13.5" customHeight="1">
      <c r="A24" s="153" t="s">
        <v>240</v>
      </c>
      <c r="B24" s="151"/>
      <c r="C24" s="151">
        <v>3671</v>
      </c>
      <c r="D24" s="151"/>
      <c r="E24" s="151"/>
      <c r="F24" s="151"/>
      <c r="G24" s="151"/>
      <c r="H24" s="151"/>
      <c r="I24" s="151"/>
      <c r="J24" s="151"/>
      <c r="K24" s="151"/>
      <c r="L24" s="151">
        <v>0</v>
      </c>
      <c r="M24" s="151">
        <v>3671</v>
      </c>
      <c r="N24" s="151"/>
      <c r="O24" s="151"/>
      <c r="P24" s="151"/>
      <c r="Q24" s="151"/>
      <c r="R24" s="151"/>
      <c r="S24" s="151"/>
      <c r="T24" s="152"/>
      <c r="U24" s="162">
        <v>0</v>
      </c>
      <c r="V24" s="151"/>
    </row>
    <row r="25" spans="1:22" ht="13.5" customHeight="1">
      <c r="A25" s="94" t="s">
        <v>241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2"/>
      <c r="U25" s="162"/>
      <c r="V25" s="151"/>
    </row>
    <row r="26" spans="1:22" ht="13.5" customHeight="1">
      <c r="A26" s="156" t="s">
        <v>22</v>
      </c>
      <c r="B26" s="151">
        <v>4685.8</v>
      </c>
      <c r="C26" s="151">
        <v>734.6</v>
      </c>
      <c r="D26" s="151">
        <v>436.9</v>
      </c>
      <c r="E26" s="151"/>
      <c r="F26" s="151"/>
      <c r="G26" s="151"/>
      <c r="H26" s="151"/>
      <c r="I26" s="151">
        <v>260.7</v>
      </c>
      <c r="J26" s="151">
        <v>37</v>
      </c>
      <c r="K26" s="151">
        <v>0</v>
      </c>
      <c r="L26" s="151">
        <v>0</v>
      </c>
      <c r="M26" s="151">
        <v>0</v>
      </c>
      <c r="N26" s="151">
        <v>0</v>
      </c>
      <c r="O26" s="151"/>
      <c r="P26" s="151">
        <v>0</v>
      </c>
      <c r="Q26" s="151"/>
      <c r="R26" s="151">
        <v>0</v>
      </c>
      <c r="S26" s="151"/>
      <c r="T26" s="152"/>
      <c r="U26" s="154">
        <f>'[1]cash flow - cisty'!Y60</f>
        <v>204477.1699999999</v>
      </c>
      <c r="V26" s="151"/>
    </row>
    <row r="27" spans="1:22" ht="13.5" customHeight="1">
      <c r="A27" s="156" t="s">
        <v>23</v>
      </c>
      <c r="B27" s="151">
        <v>-5997.4</v>
      </c>
      <c r="C27" s="151">
        <v>-3694</v>
      </c>
      <c r="D27" s="151"/>
      <c r="E27" s="151"/>
      <c r="F27" s="151"/>
      <c r="G27" s="151"/>
      <c r="H27" s="151"/>
      <c r="I27" s="151">
        <v>0</v>
      </c>
      <c r="J27" s="151">
        <v>-23</v>
      </c>
      <c r="K27" s="151">
        <v>0</v>
      </c>
      <c r="L27" s="151"/>
      <c r="M27" s="151">
        <v>-3671</v>
      </c>
      <c r="N27" s="151"/>
      <c r="O27" s="151"/>
      <c r="P27" s="151">
        <v>0</v>
      </c>
      <c r="Q27" s="151"/>
      <c r="R27" s="151">
        <v>0</v>
      </c>
      <c r="S27" s="151"/>
      <c r="T27" s="152"/>
      <c r="U27" s="154">
        <v>138841</v>
      </c>
      <c r="V27" s="151"/>
    </row>
    <row r="28" spans="1:22" ht="13.5" customHeight="1">
      <c r="A28" s="156" t="s">
        <v>242</v>
      </c>
      <c r="B28" s="151">
        <v>-18078</v>
      </c>
      <c r="C28" s="151">
        <v>-5901.08</v>
      </c>
      <c r="D28" s="151">
        <v>-6253.78</v>
      </c>
      <c r="E28" s="151"/>
      <c r="F28" s="151"/>
      <c r="G28" s="151"/>
      <c r="H28" s="151"/>
      <c r="I28" s="151">
        <v>352.7</v>
      </c>
      <c r="J28" s="151"/>
      <c r="K28" s="151"/>
      <c r="L28" s="151"/>
      <c r="M28" s="151"/>
      <c r="N28" s="151"/>
      <c r="O28" s="151">
        <v>0</v>
      </c>
      <c r="P28" s="151"/>
      <c r="Q28" s="151"/>
      <c r="R28" s="151"/>
      <c r="S28" s="151"/>
      <c r="T28" s="152"/>
      <c r="U28" s="154">
        <f>-500696+7820</f>
        <v>-492876</v>
      </c>
      <c r="V28" s="151"/>
    </row>
    <row r="29" spans="1:22" ht="13.5" customHeight="1">
      <c r="A29" s="156" t="s">
        <v>119</v>
      </c>
      <c r="B29" s="151">
        <v>0</v>
      </c>
      <c r="C29" s="151">
        <v>0</v>
      </c>
      <c r="D29" s="151"/>
      <c r="E29" s="151"/>
      <c r="F29" s="151"/>
      <c r="G29" s="151">
        <v>0</v>
      </c>
      <c r="H29" s="151"/>
      <c r="I29" s="151">
        <v>0</v>
      </c>
      <c r="J29" s="151">
        <v>0</v>
      </c>
      <c r="K29" s="151">
        <v>0</v>
      </c>
      <c r="L29" s="151"/>
      <c r="M29" s="151">
        <v>0</v>
      </c>
      <c r="N29" s="151"/>
      <c r="O29" s="151"/>
      <c r="P29" s="151">
        <v>0</v>
      </c>
      <c r="Q29" s="151"/>
      <c r="R29" s="151">
        <v>0</v>
      </c>
      <c r="S29" s="151"/>
      <c r="T29" s="152"/>
      <c r="U29" s="162">
        <f>'[1]cash flow - cisty'!Y63</f>
        <v>0</v>
      </c>
      <c r="V29" s="151"/>
    </row>
    <row r="30" spans="1:22" ht="13.5" customHeight="1">
      <c r="A30" s="100" t="s">
        <v>113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2"/>
      <c r="U30" s="162"/>
      <c r="V30" s="154">
        <f>SUM(U11:U28)</f>
        <v>898556.72</v>
      </c>
    </row>
    <row r="31" spans="1:22" ht="13.5" customHeight="1">
      <c r="A31" s="156" t="s">
        <v>243</v>
      </c>
      <c r="B31" s="151"/>
      <c r="C31" s="151">
        <v>0</v>
      </c>
      <c r="D31" s="151"/>
      <c r="E31" s="151"/>
      <c r="F31" s="151">
        <v>0</v>
      </c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2"/>
      <c r="U31" s="162">
        <f>'[1]cash flow - cisty'!Y65</f>
        <v>0</v>
      </c>
      <c r="V31" s="151"/>
    </row>
    <row r="32" spans="1:22" ht="13.5" customHeight="1">
      <c r="A32" s="156" t="s">
        <v>244</v>
      </c>
      <c r="B32" s="151"/>
      <c r="C32" s="151">
        <v>0</v>
      </c>
      <c r="D32" s="151"/>
      <c r="E32" s="151"/>
      <c r="F32" s="151"/>
      <c r="G32" s="151">
        <v>0</v>
      </c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2"/>
      <c r="U32" s="162">
        <f>'[1]cash flow - cisty'!Y66</f>
        <v>0</v>
      </c>
      <c r="V32" s="151"/>
    </row>
    <row r="33" spans="1:25" ht="13.5" customHeight="1">
      <c r="A33" s="156" t="s">
        <v>24</v>
      </c>
      <c r="B33" s="151"/>
      <c r="C33" s="151">
        <v>-6.12</v>
      </c>
      <c r="D33" s="151">
        <v>-6.12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2"/>
      <c r="U33" s="154">
        <f>'[1]cash flow - cisty'!Y67</f>
        <v>-34900</v>
      </c>
      <c r="V33" s="151"/>
    </row>
    <row r="34" spans="1:25" ht="13.5" customHeight="1">
      <c r="A34" s="104" t="s">
        <v>125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2"/>
      <c r="U34" s="162"/>
      <c r="V34" s="118">
        <f>V30+U33</f>
        <v>863656.72</v>
      </c>
    </row>
    <row r="35" spans="1:25" ht="13.5" customHeight="1">
      <c r="A35" s="90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2"/>
      <c r="U35" s="162"/>
      <c r="V35" s="151"/>
    </row>
    <row r="36" spans="1:25" ht="13.5" customHeight="1">
      <c r="A36" s="90" t="s">
        <v>246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2"/>
      <c r="U36" s="162"/>
      <c r="V36" s="151"/>
    </row>
    <row r="37" spans="1:25" ht="13.5" customHeight="1">
      <c r="A37" s="156" t="s">
        <v>247</v>
      </c>
      <c r="B37" s="151">
        <v>-1192.0999999999999</v>
      </c>
      <c r="C37" s="151">
        <v>-2888</v>
      </c>
      <c r="D37" s="151"/>
      <c r="E37" s="151">
        <v>-2888</v>
      </c>
      <c r="F37" s="151">
        <v>0</v>
      </c>
      <c r="G37" s="151"/>
      <c r="H37" s="151">
        <v>0</v>
      </c>
      <c r="I37" s="151">
        <v>0</v>
      </c>
      <c r="J37" s="151">
        <v>0</v>
      </c>
      <c r="K37" s="151">
        <v>0</v>
      </c>
      <c r="L37" s="151"/>
      <c r="M37" s="151">
        <v>0</v>
      </c>
      <c r="N37" s="151"/>
      <c r="O37" s="151"/>
      <c r="P37" s="151">
        <v>0</v>
      </c>
      <c r="Q37" s="151"/>
      <c r="R37" s="151">
        <v>0</v>
      </c>
      <c r="S37" s="151"/>
      <c r="T37" s="152"/>
      <c r="U37" s="154">
        <f>-(1395+4070+1358834)+805937</f>
        <v>-558362</v>
      </c>
      <c r="V37" s="151"/>
      <c r="W37" s="140" t="s">
        <v>396</v>
      </c>
      <c r="X37" s="140"/>
      <c r="Y37" s="140"/>
    </row>
    <row r="38" spans="1:25" ht="13.5" customHeight="1">
      <c r="A38" s="156" t="s">
        <v>248</v>
      </c>
      <c r="B38" s="151"/>
      <c r="C38" s="151">
        <v>0</v>
      </c>
      <c r="D38" s="151"/>
      <c r="E38" s="151"/>
      <c r="F38" s="151"/>
      <c r="G38" s="151"/>
      <c r="H38" s="151">
        <v>0</v>
      </c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2"/>
      <c r="U38" s="162"/>
      <c r="V38" s="151"/>
    </row>
    <row r="39" spans="1:25" ht="13.5" customHeight="1">
      <c r="A39" s="156" t="s">
        <v>243</v>
      </c>
      <c r="B39" s="151"/>
      <c r="C39" s="151">
        <v>0</v>
      </c>
      <c r="D39" s="151"/>
      <c r="E39" s="151"/>
      <c r="F39" s="151">
        <v>0</v>
      </c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2"/>
      <c r="U39" s="162">
        <f>'[1]cash flow - cisty'!Y83</f>
        <v>0</v>
      </c>
      <c r="V39" s="151"/>
    </row>
    <row r="40" spans="1:25" ht="13.5" customHeight="1">
      <c r="A40" s="156" t="s">
        <v>120</v>
      </c>
      <c r="B40" s="151"/>
      <c r="C40" s="151">
        <v>0</v>
      </c>
      <c r="D40" s="151"/>
      <c r="E40" s="151"/>
      <c r="F40" s="151"/>
      <c r="G40" s="151"/>
      <c r="H40" s="151">
        <v>0</v>
      </c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2"/>
      <c r="U40" s="162">
        <f>'[1]cash flow - cisty'!Y84</f>
        <v>0</v>
      </c>
      <c r="V40" s="151"/>
    </row>
    <row r="41" spans="1:25" ht="13.5" customHeight="1">
      <c r="A41" s="156" t="s">
        <v>121</v>
      </c>
      <c r="B41" s="151">
        <v>0</v>
      </c>
      <c r="C41" s="151">
        <v>0</v>
      </c>
      <c r="D41" s="151"/>
      <c r="E41" s="151"/>
      <c r="F41" s="151"/>
      <c r="G41" s="151">
        <v>0</v>
      </c>
      <c r="H41" s="151">
        <v>0</v>
      </c>
      <c r="I41" s="151">
        <v>0</v>
      </c>
      <c r="J41" s="151">
        <v>0</v>
      </c>
      <c r="K41" s="151">
        <v>0</v>
      </c>
      <c r="L41" s="151"/>
      <c r="M41" s="151">
        <v>0</v>
      </c>
      <c r="N41" s="151"/>
      <c r="O41" s="151"/>
      <c r="P41" s="151">
        <v>0</v>
      </c>
      <c r="Q41" s="151"/>
      <c r="R41" s="151">
        <v>0</v>
      </c>
      <c r="S41" s="151"/>
      <c r="T41" s="152"/>
      <c r="U41" s="162">
        <f>'[1]cash flow - cisty'!Y85</f>
        <v>0.1</v>
      </c>
      <c r="V41" s="151"/>
    </row>
    <row r="42" spans="1:25" ht="13.5" customHeight="1">
      <c r="A42" s="156" t="s">
        <v>206</v>
      </c>
      <c r="B42" s="151">
        <v>0</v>
      </c>
      <c r="C42" s="151">
        <v>0</v>
      </c>
      <c r="D42" s="151"/>
      <c r="E42" s="151"/>
      <c r="F42" s="151"/>
      <c r="G42" s="151"/>
      <c r="H42" s="151"/>
      <c r="I42" s="151">
        <v>0</v>
      </c>
      <c r="J42" s="151">
        <v>0</v>
      </c>
      <c r="K42" s="151">
        <v>0</v>
      </c>
      <c r="L42" s="151"/>
      <c r="M42" s="151"/>
      <c r="N42" s="151"/>
      <c r="O42" s="151"/>
      <c r="P42" s="151">
        <v>0</v>
      </c>
      <c r="Q42" s="151"/>
      <c r="R42" s="151">
        <v>0</v>
      </c>
      <c r="S42" s="151"/>
      <c r="T42" s="152"/>
      <c r="U42" s="162">
        <f>'[1]cash flow - cisty'!Y86</f>
        <v>0</v>
      </c>
      <c r="V42" s="151"/>
    </row>
    <row r="43" spans="1:25" ht="13.5" customHeight="1">
      <c r="A43" s="156" t="s">
        <v>244</v>
      </c>
      <c r="B43" s="151"/>
      <c r="C43" s="151">
        <v>0</v>
      </c>
      <c r="D43" s="151"/>
      <c r="E43" s="151"/>
      <c r="F43" s="151"/>
      <c r="G43" s="151">
        <v>0</v>
      </c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2"/>
      <c r="U43" s="162">
        <f>'[1]cash flow - cisty'!Y87</f>
        <v>0</v>
      </c>
      <c r="V43" s="151"/>
    </row>
    <row r="44" spans="1:25" ht="13.5" customHeight="1">
      <c r="A44" s="156" t="s">
        <v>25</v>
      </c>
      <c r="B44" s="151"/>
      <c r="C44" s="151">
        <v>0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>
        <v>0</v>
      </c>
      <c r="O44" s="151"/>
      <c r="P44" s="151"/>
      <c r="Q44" s="151"/>
      <c r="R44" s="151"/>
      <c r="S44" s="151"/>
      <c r="T44" s="152"/>
      <c r="U44" s="162">
        <f>'[1]cash flow - cisty'!Y88</f>
        <v>0</v>
      </c>
      <c r="V44" s="121" t="s">
        <v>279</v>
      </c>
    </row>
    <row r="45" spans="1:25" ht="13.5" customHeight="1">
      <c r="A45" s="104" t="s">
        <v>126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2"/>
      <c r="U45" s="162"/>
      <c r="V45" s="118">
        <f>SUM(U37:U44)</f>
        <v>-558361.9</v>
      </c>
    </row>
    <row r="46" spans="1:25" ht="13.5" customHeight="1">
      <c r="A46" s="153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2"/>
      <c r="U46" s="162"/>
      <c r="V46" s="151"/>
    </row>
    <row r="47" spans="1:25" ht="13.5" customHeight="1">
      <c r="A47" s="90" t="s">
        <v>249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2"/>
      <c r="U47" s="162"/>
      <c r="V47" s="151"/>
    </row>
    <row r="48" spans="1:25" ht="13.5" customHeight="1">
      <c r="A48" s="156" t="s">
        <v>250</v>
      </c>
      <c r="B48" s="151">
        <v>0</v>
      </c>
      <c r="C48" s="151">
        <v>0</v>
      </c>
      <c r="D48" s="151"/>
      <c r="E48" s="151"/>
      <c r="F48" s="151"/>
      <c r="G48" s="151"/>
      <c r="H48" s="151"/>
      <c r="I48" s="151">
        <v>0</v>
      </c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2"/>
      <c r="U48" s="154">
        <f>'[1]cash flow - cisty'!Y92</f>
        <v>-175812.24</v>
      </c>
      <c r="V48" s="151"/>
    </row>
    <row r="49" spans="1:25" ht="13.5" customHeight="1">
      <c r="A49" s="156" t="s">
        <v>251</v>
      </c>
      <c r="B49" s="151">
        <v>0</v>
      </c>
      <c r="C49" s="151">
        <v>0</v>
      </c>
      <c r="D49" s="151"/>
      <c r="E49" s="151"/>
      <c r="F49" s="151"/>
      <c r="G49" s="151"/>
      <c r="H49" s="151"/>
      <c r="I49" s="151">
        <v>0</v>
      </c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2"/>
      <c r="U49" s="162">
        <f>'[1]cash flow - cisty'!Y93</f>
        <v>0</v>
      </c>
      <c r="V49" s="151"/>
    </row>
    <row r="50" spans="1:25" ht="13.5" customHeight="1">
      <c r="A50" s="156" t="s">
        <v>252</v>
      </c>
      <c r="B50" s="151">
        <v>0</v>
      </c>
      <c r="C50" s="151">
        <v>0</v>
      </c>
      <c r="D50" s="151"/>
      <c r="E50" s="151"/>
      <c r="F50" s="151"/>
      <c r="G50" s="151"/>
      <c r="H50" s="151"/>
      <c r="I50" s="151">
        <v>0</v>
      </c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2"/>
      <c r="U50" s="162">
        <f>'[1]cash flow - cisty'!Y94</f>
        <v>-1895.9</v>
      </c>
      <c r="V50" s="151"/>
    </row>
    <row r="51" spans="1:25" ht="13.5" customHeight="1">
      <c r="A51" s="156" t="s">
        <v>253</v>
      </c>
      <c r="B51" s="151">
        <v>-5215</v>
      </c>
      <c r="C51" s="151">
        <v>697</v>
      </c>
      <c r="D51" s="151">
        <v>0</v>
      </c>
      <c r="E51" s="151"/>
      <c r="F51" s="151"/>
      <c r="G51" s="151"/>
      <c r="H51" s="151"/>
      <c r="I51" s="151">
        <v>697</v>
      </c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2"/>
      <c r="U51" s="162">
        <f>'[1]cash flow - cisty'!Y95</f>
        <v>1896.3299999999872</v>
      </c>
      <c r="V51" s="151"/>
    </row>
    <row r="52" spans="1:25" ht="13.5" customHeight="1">
      <c r="A52" s="156" t="s">
        <v>124</v>
      </c>
      <c r="B52" s="151">
        <v>0</v>
      </c>
      <c r="C52" s="151">
        <v>0</v>
      </c>
      <c r="D52" s="151"/>
      <c r="E52" s="151"/>
      <c r="F52" s="151"/>
      <c r="G52" s="151"/>
      <c r="H52" s="151"/>
      <c r="I52" s="151">
        <v>0</v>
      </c>
      <c r="J52" s="151"/>
      <c r="K52" s="151"/>
      <c r="L52" s="151"/>
      <c r="M52" s="151"/>
      <c r="N52" s="151"/>
      <c r="O52" s="151"/>
      <c r="P52" s="151"/>
      <c r="Q52" s="151">
        <v>0</v>
      </c>
      <c r="R52" s="151"/>
      <c r="S52" s="151"/>
      <c r="T52" s="152"/>
      <c r="U52" s="162">
        <f>-'[1]cash flow - cisty'!D293</f>
        <v>-129339.21</v>
      </c>
      <c r="V52" s="151"/>
      <c r="W52" s="140" t="s">
        <v>397</v>
      </c>
      <c r="X52" s="140"/>
      <c r="Y52" s="140"/>
    </row>
    <row r="53" spans="1:25" ht="13.5" customHeight="1">
      <c r="A53" s="156" t="s">
        <v>254</v>
      </c>
      <c r="B53" s="151"/>
      <c r="C53" s="151">
        <v>0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>
        <v>0</v>
      </c>
      <c r="P53" s="151"/>
      <c r="Q53" s="151"/>
      <c r="R53" s="151"/>
      <c r="S53" s="151"/>
      <c r="T53" s="152"/>
      <c r="U53" s="162">
        <f>'[1]cash flow - cisty'!Y97</f>
        <v>0</v>
      </c>
      <c r="V53" s="151"/>
    </row>
    <row r="54" spans="1:25" ht="13.5" customHeight="1">
      <c r="A54" s="156" t="s">
        <v>255</v>
      </c>
      <c r="B54" s="151">
        <v>0</v>
      </c>
      <c r="C54" s="151">
        <v>0</v>
      </c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2"/>
      <c r="U54" s="162">
        <f>'[1]cash flow - cisty'!Y98</f>
        <v>-0.22000000000025466</v>
      </c>
      <c r="V54" s="151"/>
    </row>
    <row r="55" spans="1:25" ht="13.5" customHeight="1">
      <c r="A55" s="156" t="s">
        <v>122</v>
      </c>
      <c r="B55" s="151">
        <v>0</v>
      </c>
      <c r="C55" s="151">
        <v>0</v>
      </c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>
        <v>0</v>
      </c>
      <c r="Q55" s="151"/>
      <c r="R55" s="151"/>
      <c r="S55" s="151"/>
      <c r="T55" s="152"/>
      <c r="U55" s="162">
        <f>'[1]cash flow - cisty'!Y99</f>
        <v>-0.2099999999627471</v>
      </c>
      <c r="V55" s="151"/>
    </row>
    <row r="56" spans="1:25" ht="13.5" customHeight="1">
      <c r="A56" s="156" t="s">
        <v>123</v>
      </c>
      <c r="B56" s="151"/>
      <c r="C56" s="151">
        <v>0</v>
      </c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>
        <v>0</v>
      </c>
      <c r="P56" s="151"/>
      <c r="Q56" s="151"/>
      <c r="R56" s="151"/>
      <c r="S56" s="151"/>
      <c r="T56" s="152"/>
      <c r="U56" s="162">
        <f>'[1]cash flow - cisty'!Y100</f>
        <v>0</v>
      </c>
      <c r="V56" s="151"/>
    </row>
    <row r="57" spans="1:25" ht="13.5" customHeight="1">
      <c r="A57" s="156" t="s">
        <v>29</v>
      </c>
      <c r="B57" s="151">
        <v>26308</v>
      </c>
      <c r="C57" s="151">
        <v>-26308</v>
      </c>
      <c r="D57" s="151">
        <v>5823</v>
      </c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>
        <v>0</v>
      </c>
      <c r="P57" s="151"/>
      <c r="Q57" s="151"/>
      <c r="R57" s="151">
        <v>0</v>
      </c>
      <c r="S57" s="151">
        <v>-32131</v>
      </c>
      <c r="T57" s="152"/>
      <c r="U57" s="162">
        <f>'[1]cash flow - cisty'!Y101</f>
        <v>-0.4599999999627471</v>
      </c>
      <c r="V57" s="151"/>
    </row>
    <row r="58" spans="1:25" ht="13.5" customHeight="1">
      <c r="A58" s="104" t="s">
        <v>127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2"/>
      <c r="U58" s="162"/>
      <c r="V58" s="119">
        <f>SUM(U48:U57)</f>
        <v>-305151.90999999992</v>
      </c>
    </row>
    <row r="59" spans="1:25" ht="13.5" customHeight="1">
      <c r="A59" s="153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62"/>
      <c r="V59" s="151"/>
    </row>
    <row r="60" spans="1:25" ht="13.5" customHeight="1">
      <c r="A60" s="153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62"/>
      <c r="V60" s="151"/>
    </row>
    <row r="61" spans="1:25" ht="30.75" customHeight="1">
      <c r="A61" s="107" t="s">
        <v>128</v>
      </c>
      <c r="B61" s="151"/>
      <c r="C61" s="151">
        <v>0</v>
      </c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62"/>
      <c r="V61" s="120">
        <f>SUM(V34,V45,V58)</f>
        <v>142.9100000000326</v>
      </c>
    </row>
    <row r="62" spans="1:25" ht="13.5" customHeight="1">
      <c r="A62" s="107"/>
      <c r="B62" s="156"/>
      <c r="C62" s="151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1"/>
      <c r="U62" s="162"/>
      <c r="V62" s="151"/>
    </row>
    <row r="63" spans="1:25" ht="13.5" customHeight="1">
      <c r="A63" s="107" t="s">
        <v>129</v>
      </c>
      <c r="B63" s="156">
        <v>6598</v>
      </c>
      <c r="C63" s="151">
        <v>0</v>
      </c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1"/>
      <c r="U63" s="162">
        <f>'[1]cash flow - cisty'!Y107</f>
        <v>500</v>
      </c>
      <c r="V63" s="151"/>
      <c r="W63" s="114"/>
    </row>
    <row r="64" spans="1:25" ht="27" customHeight="1">
      <c r="A64" s="107" t="s">
        <v>130</v>
      </c>
      <c r="B64" s="156"/>
      <c r="C64" s="151">
        <v>-57</v>
      </c>
      <c r="D64" s="156"/>
      <c r="E64" s="156"/>
      <c r="F64" s="156"/>
      <c r="G64" s="156"/>
      <c r="H64" s="156"/>
      <c r="I64" s="156">
        <v>-57</v>
      </c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1"/>
      <c r="U64" s="162">
        <v>-13.95</v>
      </c>
      <c r="V64" s="151"/>
      <c r="W64" s="114"/>
    </row>
    <row r="65" spans="1:22" ht="13.5" customHeight="1">
      <c r="A65" s="107" t="s">
        <v>131</v>
      </c>
      <c r="B65" s="156">
        <v>7921.3</v>
      </c>
      <c r="C65" s="151">
        <v>0</v>
      </c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1"/>
      <c r="U65" s="162">
        <f>'[1]cash flow - cisty'!Y109</f>
        <v>628.94000000000005</v>
      </c>
      <c r="V65" s="151"/>
    </row>
    <row r="66" spans="1:22" ht="13.5" customHeight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1"/>
      <c r="U66" s="162"/>
      <c r="V66" s="151"/>
    </row>
    <row r="67" spans="1:22" ht="13.5" customHeight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1"/>
      <c r="U67" s="162"/>
      <c r="V67" s="151"/>
    </row>
    <row r="68" spans="1:22" ht="13.5" customHeight="1">
      <c r="A68" s="157" t="s">
        <v>27</v>
      </c>
      <c r="B68" s="158">
        <v>0</v>
      </c>
      <c r="C68" s="158">
        <v>0.39999999999781721</v>
      </c>
      <c r="D68" s="158">
        <v>0</v>
      </c>
      <c r="E68" s="158">
        <v>0</v>
      </c>
      <c r="F68" s="158">
        <v>0</v>
      </c>
      <c r="G68" s="158">
        <v>0</v>
      </c>
      <c r="H68" s="158">
        <v>0</v>
      </c>
      <c r="I68" s="158">
        <v>0.40000000000009095</v>
      </c>
      <c r="J68" s="158">
        <v>0</v>
      </c>
      <c r="K68" s="158">
        <v>0</v>
      </c>
      <c r="L68" s="158">
        <v>0</v>
      </c>
      <c r="M68" s="158">
        <v>0</v>
      </c>
      <c r="N68" s="158">
        <v>0</v>
      </c>
      <c r="O68" s="158">
        <v>0</v>
      </c>
      <c r="P68" s="158">
        <v>0</v>
      </c>
      <c r="Q68" s="158">
        <v>0</v>
      </c>
      <c r="R68" s="158">
        <v>0</v>
      </c>
      <c r="S68" s="158">
        <v>0</v>
      </c>
      <c r="T68" s="158">
        <v>0</v>
      </c>
      <c r="U68" s="162">
        <f>V61+U63+U64-U65</f>
        <v>2.0000000032496246E-2</v>
      </c>
      <c r="V68" s="151"/>
    </row>
  </sheetData>
  <pageMargins left="0.75" right="0.75" top="1" bottom="1" header="0.4921259845" footer="0.4921259845"/>
  <pageSetup paperSize="9" scale="73" orientation="portrait" r:id="rId1"/>
  <headerFooter alignWithMargins="0"/>
  <customProperties>
    <customPr name="OrphanNamesChecke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DC98-8407-4127-9C5D-E29696494C25}">
  <dimension ref="A1:F33"/>
  <sheetViews>
    <sheetView tabSelected="1" zoomScale="115" zoomScaleNormal="115" workbookViewId="0">
      <selection activeCell="H13" sqref="H13:I13"/>
    </sheetView>
  </sheetViews>
  <sheetFormatPr defaultRowHeight="12.75"/>
  <cols>
    <col min="1" max="1" width="7.42578125" customWidth="1"/>
    <col min="2" max="2" width="66.42578125" customWidth="1"/>
    <col min="3" max="3" width="11.42578125" customWidth="1"/>
    <col min="4" max="4" width="11.140625" customWidth="1"/>
  </cols>
  <sheetData>
    <row r="1" spans="1:6" ht="13.5" thickBot="1">
      <c r="A1" s="141"/>
      <c r="C1" s="148">
        <v>2023</v>
      </c>
      <c r="D1" s="148">
        <v>2022</v>
      </c>
    </row>
    <row r="2" spans="1:6" ht="13.5" customHeight="1" thickBot="1">
      <c r="A2" s="166" t="s">
        <v>398</v>
      </c>
      <c r="B2" s="167" t="s">
        <v>399</v>
      </c>
      <c r="C2" s="168">
        <v>380006</v>
      </c>
      <c r="D2" s="168">
        <v>365479</v>
      </c>
      <c r="F2" s="114"/>
    </row>
    <row r="3" spans="1:6" ht="26.25" customHeight="1" thickBot="1">
      <c r="A3" s="172" t="s">
        <v>400</v>
      </c>
      <c r="B3" s="173" t="s">
        <v>401</v>
      </c>
      <c r="C3" s="174">
        <f>SUM(C4:C10)</f>
        <v>668109</v>
      </c>
      <c r="D3" s="174">
        <v>308502</v>
      </c>
      <c r="E3" t="s">
        <v>279</v>
      </c>
    </row>
    <row r="4" spans="1:6" ht="25.5" customHeight="1" thickBot="1">
      <c r="A4" s="142" t="s">
        <v>402</v>
      </c>
      <c r="B4" s="143" t="s">
        <v>403</v>
      </c>
      <c r="C4" s="144">
        <v>375462</v>
      </c>
      <c r="D4" s="144">
        <v>371641</v>
      </c>
    </row>
    <row r="5" spans="1:6" ht="13.5" customHeight="1" thickBot="1">
      <c r="A5" s="142" t="s">
        <v>404</v>
      </c>
      <c r="B5" s="143" t="s">
        <v>455</v>
      </c>
      <c r="C5" s="144">
        <v>60295</v>
      </c>
      <c r="D5" s="144">
        <v>-33986</v>
      </c>
    </row>
    <row r="6" spans="1:6" ht="13.5" customHeight="1" thickBot="1">
      <c r="A6" s="142" t="s">
        <v>405</v>
      </c>
      <c r="B6" s="143" t="s">
        <v>406</v>
      </c>
      <c r="C6" s="144">
        <v>193153</v>
      </c>
      <c r="D6" s="144">
        <v>-45663</v>
      </c>
    </row>
    <row r="7" spans="1:6" ht="27" customHeight="1" thickBot="1">
      <c r="A7" s="142" t="s">
        <v>407</v>
      </c>
      <c r="B7" s="143" t="s">
        <v>408</v>
      </c>
      <c r="C7" s="144">
        <v>-2405</v>
      </c>
      <c r="D7" s="144">
        <v>-4424</v>
      </c>
    </row>
    <row r="8" spans="1:6" ht="13.5" customHeight="1" thickBot="1">
      <c r="A8" s="142" t="s">
        <v>409</v>
      </c>
      <c r="B8" s="143" t="s">
        <v>410</v>
      </c>
      <c r="C8" s="144">
        <v>43021</v>
      </c>
      <c r="D8" s="144">
        <v>26093</v>
      </c>
    </row>
    <row r="9" spans="1:6" ht="13.5" customHeight="1" thickBot="1">
      <c r="A9" s="142" t="s">
        <v>411</v>
      </c>
      <c r="B9" s="143" t="s">
        <v>412</v>
      </c>
      <c r="C9" s="144">
        <v>-1219</v>
      </c>
      <c r="D9" s="144">
        <v>-2381</v>
      </c>
    </row>
    <row r="10" spans="1:6" ht="13.5" customHeight="1" thickBot="1">
      <c r="A10" s="142" t="s">
        <v>413</v>
      </c>
      <c r="B10" s="143" t="s">
        <v>414</v>
      </c>
      <c r="C10" s="144">
        <v>-198</v>
      </c>
      <c r="D10" s="144">
        <v>-2778</v>
      </c>
    </row>
    <row r="11" spans="1:6" ht="24" customHeight="1" thickBot="1">
      <c r="A11" s="172" t="s">
        <v>415</v>
      </c>
      <c r="B11" s="173" t="s">
        <v>416</v>
      </c>
      <c r="C11" s="174">
        <f>SUM(C12:C15)</f>
        <v>-149558</v>
      </c>
      <c r="D11" s="174">
        <v>-285527</v>
      </c>
    </row>
    <row r="12" spans="1:6" ht="13.5" customHeight="1" thickBot="1">
      <c r="A12" s="142" t="s">
        <v>417</v>
      </c>
      <c r="B12" s="146" t="s">
        <v>418</v>
      </c>
      <c r="C12" s="144">
        <v>204477</v>
      </c>
      <c r="D12" s="144">
        <v>-202692</v>
      </c>
    </row>
    <row r="13" spans="1:6" ht="13.5" customHeight="1" thickBot="1">
      <c r="A13" s="142" t="s">
        <v>419</v>
      </c>
      <c r="B13" s="146" t="s">
        <v>420</v>
      </c>
      <c r="C13" s="144">
        <f>'final cf vstup'!U28</f>
        <v>-492876</v>
      </c>
      <c r="D13" s="144">
        <v>366609</v>
      </c>
    </row>
    <row r="14" spans="1:6" ht="13.5" customHeight="1" thickBot="1">
      <c r="A14" s="142" t="s">
        <v>421</v>
      </c>
      <c r="B14" s="146" t="s">
        <v>422</v>
      </c>
      <c r="C14" s="144">
        <v>138841</v>
      </c>
      <c r="D14" s="144">
        <v>-449444</v>
      </c>
    </row>
    <row r="15" spans="1:6" ht="13.5" customHeight="1" thickBot="1">
      <c r="A15" s="142" t="s">
        <v>423</v>
      </c>
      <c r="B15" s="146" t="s">
        <v>424</v>
      </c>
      <c r="C15" s="144"/>
      <c r="D15" s="144"/>
    </row>
    <row r="16" spans="1:6" ht="13.5" customHeight="1" thickBot="1">
      <c r="A16" s="142"/>
      <c r="B16" s="146" t="s">
        <v>425</v>
      </c>
      <c r="C16" s="147">
        <f>C3-C11</f>
        <v>817667</v>
      </c>
      <c r="D16" s="147">
        <v>22975</v>
      </c>
    </row>
    <row r="17" spans="1:4" ht="13.5" customHeight="1" thickBot="1">
      <c r="A17" s="142" t="s">
        <v>426</v>
      </c>
      <c r="B17" s="146" t="s">
        <v>427</v>
      </c>
      <c r="C17" s="144">
        <v>-34900</v>
      </c>
      <c r="D17" s="144">
        <v>45050</v>
      </c>
    </row>
    <row r="18" spans="1:4" ht="13.5" customHeight="1" thickBot="1">
      <c r="A18" s="171" t="s">
        <v>0</v>
      </c>
      <c r="B18" s="169" t="s">
        <v>428</v>
      </c>
      <c r="C18" s="165">
        <f>C3+C11+C17</f>
        <v>483651</v>
      </c>
      <c r="D18" s="165">
        <v>68025</v>
      </c>
    </row>
    <row r="19" spans="1:4" ht="13.5" customHeight="1" thickBot="1">
      <c r="A19" s="142" t="s">
        <v>429</v>
      </c>
      <c r="B19" s="146" t="s">
        <v>430</v>
      </c>
      <c r="C19" s="144"/>
      <c r="D19" s="144"/>
    </row>
    <row r="20" spans="1:4" ht="13.5" customHeight="1" thickBot="1">
      <c r="A20" s="142" t="s">
        <v>431</v>
      </c>
      <c r="B20" s="146" t="s">
        <v>432</v>
      </c>
      <c r="C20" s="144">
        <v>-558362</v>
      </c>
      <c r="D20" s="144">
        <v>-165959</v>
      </c>
    </row>
    <row r="21" spans="1:4" ht="13.5" customHeight="1" thickBot="1">
      <c r="A21" s="142" t="s">
        <v>433</v>
      </c>
      <c r="B21" s="146" t="s">
        <v>434</v>
      </c>
      <c r="C21" s="144"/>
      <c r="D21" s="144">
        <v>2778</v>
      </c>
    </row>
    <row r="22" spans="1:4" ht="13.5" customHeight="1" thickBot="1">
      <c r="A22" s="142" t="s">
        <v>435</v>
      </c>
      <c r="B22" s="146" t="s">
        <v>436</v>
      </c>
      <c r="C22" s="145"/>
      <c r="D22" s="145"/>
    </row>
    <row r="23" spans="1:4" ht="13.5" customHeight="1" thickBot="1">
      <c r="A23" s="142" t="s">
        <v>453</v>
      </c>
      <c r="B23" s="146" t="s">
        <v>454</v>
      </c>
      <c r="C23" s="144"/>
      <c r="D23" s="144">
        <v>-126680</v>
      </c>
    </row>
    <row r="24" spans="1:4" ht="13.5" customHeight="1" thickBot="1">
      <c r="A24" s="164" t="s">
        <v>437</v>
      </c>
      <c r="B24" s="169" t="s">
        <v>438</v>
      </c>
      <c r="C24" s="165">
        <f>C20</f>
        <v>-558362</v>
      </c>
      <c r="D24" s="165">
        <v>-289961</v>
      </c>
    </row>
    <row r="25" spans="1:4" ht="13.5" customHeight="1" thickBot="1">
      <c r="A25" s="142" t="s">
        <v>439</v>
      </c>
      <c r="B25" s="146" t="s">
        <v>440</v>
      </c>
      <c r="C25" s="147">
        <v>-175812</v>
      </c>
      <c r="D25" s="147">
        <v>-144892</v>
      </c>
    </row>
    <row r="26" spans="1:4" ht="13.5" customHeight="1" thickBot="1">
      <c r="A26" s="142" t="s">
        <v>456</v>
      </c>
      <c r="B26" s="146" t="s">
        <v>124</v>
      </c>
      <c r="C26" s="144">
        <f>'final cf vstup'!U52</f>
        <v>-129339.21</v>
      </c>
      <c r="D26" s="145"/>
    </row>
    <row r="27" spans="1:4" ht="13.5" customHeight="1" thickBot="1">
      <c r="A27" s="164" t="s">
        <v>441</v>
      </c>
      <c r="B27" s="169" t="s">
        <v>442</v>
      </c>
      <c r="C27" s="170">
        <f>SUM(C25:C26)</f>
        <v>-305151.21000000002</v>
      </c>
      <c r="D27" s="170">
        <v>-144892</v>
      </c>
    </row>
    <row r="28" spans="1:4" ht="13.5" customHeight="1" thickBot="1">
      <c r="A28" s="142" t="s">
        <v>443</v>
      </c>
      <c r="B28" s="146" t="s">
        <v>444</v>
      </c>
      <c r="C28" s="163">
        <v>143</v>
      </c>
      <c r="D28" s="163">
        <v>-1250</v>
      </c>
    </row>
    <row r="29" spans="1:4" ht="13.5" customHeight="1" thickBot="1">
      <c r="A29" s="142" t="s">
        <v>445</v>
      </c>
      <c r="B29" s="146" t="s">
        <v>446</v>
      </c>
      <c r="C29" s="144">
        <v>500</v>
      </c>
      <c r="D29" s="144">
        <v>1750</v>
      </c>
    </row>
    <row r="30" spans="1:4" ht="13.5" customHeight="1" thickBot="1">
      <c r="A30" s="142" t="s">
        <v>447</v>
      </c>
      <c r="B30" s="146" t="s">
        <v>448</v>
      </c>
      <c r="C30" s="144">
        <v>643</v>
      </c>
      <c r="D30" s="144">
        <v>500</v>
      </c>
    </row>
    <row r="31" spans="1:4" ht="13.5" customHeight="1" thickBot="1">
      <c r="A31" s="142" t="s">
        <v>449</v>
      </c>
      <c r="B31" s="146" t="s">
        <v>450</v>
      </c>
      <c r="C31" s="145">
        <v>-14</v>
      </c>
      <c r="D31" s="145">
        <v>237</v>
      </c>
    </row>
    <row r="32" spans="1:4" ht="13.5" customHeight="1" thickBot="1">
      <c r="A32" s="142" t="s">
        <v>451</v>
      </c>
      <c r="B32" s="146" t="s">
        <v>452</v>
      </c>
      <c r="C32" s="147">
        <v>629</v>
      </c>
      <c r="D32" s="147">
        <v>737</v>
      </c>
    </row>
    <row r="33" spans="1:1">
      <c r="A33" s="141"/>
    </row>
  </sheetData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347"/>
  <sheetViews>
    <sheetView topLeftCell="A186" zoomScaleNormal="100" workbookViewId="0">
      <selection activeCell="B297" sqref="B297"/>
    </sheetView>
  </sheetViews>
  <sheetFormatPr defaultColWidth="9.140625" defaultRowHeight="12.75" outlineLevelCol="1"/>
  <cols>
    <col min="1" max="1" width="9.140625" style="56"/>
    <col min="2" max="2" width="53.140625" style="56" customWidth="1"/>
    <col min="3" max="3" width="17.42578125" style="56" customWidth="1" outlineLevel="1"/>
    <col min="4" max="4" width="12.7109375" style="56" customWidth="1" outlineLevel="1"/>
    <col min="5" max="5" width="16.7109375" style="56" customWidth="1" outlineLevel="1"/>
    <col min="6" max="6" width="13.140625" style="56" customWidth="1"/>
    <col min="7" max="7" width="13.28515625" style="57" customWidth="1"/>
    <col min="8" max="23" width="13.28515625" style="57" hidden="1" customWidth="1" outlineLevel="1"/>
    <col min="24" max="24" width="11.42578125" style="56" customWidth="1" collapsed="1"/>
    <col min="25" max="25" width="13.5703125" style="56" customWidth="1"/>
    <col min="26" max="26" width="13.28515625" style="56" customWidth="1"/>
    <col min="27" max="16384" width="9.140625" style="56"/>
  </cols>
  <sheetData>
    <row r="1" spans="1:23" s="5" customFormat="1">
      <c r="A1" s="1"/>
      <c r="B1" s="2"/>
      <c r="C1" s="3"/>
      <c r="D1" s="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5" customFormat="1" ht="21" customHeight="1">
      <c r="A2" s="7" t="s">
        <v>71</v>
      </c>
      <c r="B2" s="8"/>
      <c r="C2" s="3"/>
      <c r="D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5" customFormat="1">
      <c r="A3" s="9"/>
      <c r="B3" s="8"/>
      <c r="C3" s="3"/>
      <c r="D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3" customFormat="1" ht="12.75" customHeight="1">
      <c r="A4" s="10"/>
      <c r="B4" s="11"/>
      <c r="C4" s="12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s="13" customFormat="1">
      <c r="A5" s="15"/>
      <c r="B5" s="16"/>
      <c r="C5" s="12" t="s">
        <v>275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s="19" customFormat="1" ht="48.75" customHeight="1">
      <c r="A6" s="15"/>
      <c r="B6" s="17" t="s">
        <v>90</v>
      </c>
      <c r="C6" s="18" t="s">
        <v>16</v>
      </c>
      <c r="D6" s="18" t="s">
        <v>91</v>
      </c>
      <c r="E6" s="19" t="s">
        <v>17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s="5" customFormat="1">
      <c r="A7" s="21"/>
      <c r="B7" s="22"/>
      <c r="C7" s="23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9" customFormat="1">
      <c r="A8" s="24"/>
      <c r="B8" s="25"/>
      <c r="C8" s="26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s="19" customFormat="1">
      <c r="A9" s="24" t="s">
        <v>0</v>
      </c>
      <c r="B9" s="27" t="s">
        <v>92</v>
      </c>
      <c r="C9" s="28"/>
      <c r="D9" s="28"/>
      <c r="E9" s="19">
        <f t="shared" ref="E9:E19" si="0">C9-D9</f>
        <v>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s="19" customFormat="1">
      <c r="A10" s="24" t="s">
        <v>1</v>
      </c>
      <c r="B10" s="27" t="s">
        <v>93</v>
      </c>
      <c r="C10" s="28">
        <v>2354.37</v>
      </c>
      <c r="D10" s="28">
        <v>3911</v>
      </c>
      <c r="E10" s="19">
        <f t="shared" si="0"/>
        <v>-1556.63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s="19" customFormat="1">
      <c r="A11" s="24" t="s">
        <v>2</v>
      </c>
      <c r="B11" s="27" t="s">
        <v>94</v>
      </c>
      <c r="C11" s="28">
        <v>2076416.09</v>
      </c>
      <c r="D11" s="28">
        <v>1097708</v>
      </c>
      <c r="E11" s="19">
        <f t="shared" si="0"/>
        <v>978708.09000000008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s="19" customFormat="1" ht="25.5">
      <c r="A12" s="24" t="s">
        <v>3</v>
      </c>
      <c r="B12" s="27" t="s">
        <v>204</v>
      </c>
      <c r="C12" s="28">
        <v>0</v>
      </c>
      <c r="D12" s="28">
        <v>0.1</v>
      </c>
      <c r="E12" s="19">
        <f t="shared" si="0"/>
        <v>-0.1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s="19" customFormat="1" ht="25.5">
      <c r="A13" s="24" t="s">
        <v>3</v>
      </c>
      <c r="B13" s="27" t="s">
        <v>205</v>
      </c>
      <c r="C13" s="28">
        <v>0</v>
      </c>
      <c r="D13" s="28">
        <v>0</v>
      </c>
      <c r="E13" s="19">
        <f t="shared" si="0"/>
        <v>0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s="19" customFormat="1">
      <c r="A14" s="24" t="s">
        <v>4</v>
      </c>
      <c r="B14" s="27" t="s">
        <v>95</v>
      </c>
      <c r="C14" s="28">
        <v>1574068.57</v>
      </c>
      <c r="D14" s="28">
        <v>1905702</v>
      </c>
      <c r="E14" s="19">
        <f t="shared" si="0"/>
        <v>-331633.42999999993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s="19" customFormat="1">
      <c r="A15" s="24" t="s">
        <v>5</v>
      </c>
      <c r="B15" s="27" t="s">
        <v>96</v>
      </c>
      <c r="C15" s="28">
        <v>97117.38</v>
      </c>
      <c r="D15" s="28">
        <v>55041</v>
      </c>
      <c r="E15" s="19">
        <f t="shared" si="0"/>
        <v>42076.380000000005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s="19" customFormat="1">
      <c r="A16" s="24" t="s">
        <v>6</v>
      </c>
      <c r="B16" s="27" t="s">
        <v>97</v>
      </c>
      <c r="C16" s="28">
        <v>3245181.85</v>
      </c>
      <c r="D16" s="28">
        <v>3446531</v>
      </c>
      <c r="E16" s="19">
        <f t="shared" si="0"/>
        <v>-201349.14999999991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s="19" customFormat="1" ht="25.5">
      <c r="A17" s="24" t="s">
        <v>7</v>
      </c>
      <c r="B17" s="27" t="s">
        <v>203</v>
      </c>
      <c r="C17" s="28">
        <v>628.94000000000005</v>
      </c>
      <c r="D17" s="28">
        <v>500</v>
      </c>
      <c r="E17" s="19">
        <f t="shared" si="0"/>
        <v>128.94000000000005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s="19" customFormat="1" ht="25.5">
      <c r="A18" s="24" t="s">
        <v>7</v>
      </c>
      <c r="B18" s="27" t="s">
        <v>98</v>
      </c>
      <c r="C18" s="28">
        <v>0</v>
      </c>
      <c r="D18" s="28">
        <v>0</v>
      </c>
      <c r="E18" s="19">
        <f t="shared" si="0"/>
        <v>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s="19" customFormat="1">
      <c r="A19" s="24" t="s">
        <v>99</v>
      </c>
      <c r="B19" s="27" t="s">
        <v>100</v>
      </c>
      <c r="C19" s="28">
        <v>20616.669999999998</v>
      </c>
      <c r="D19" s="28">
        <v>18368.5</v>
      </c>
      <c r="E19" s="19">
        <f t="shared" si="0"/>
        <v>2248.1699999999983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s="32" customFormat="1" ht="13.5" thickBot="1">
      <c r="A20" s="24"/>
      <c r="B20" s="30" t="s">
        <v>101</v>
      </c>
      <c r="C20" s="31">
        <f>SUM(C9:C19)</f>
        <v>7016383.8700000001</v>
      </c>
      <c r="D20" s="31">
        <f>SUM(D9:D19)</f>
        <v>6527761.5999999996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</row>
    <row r="21" spans="1:23" s="19" customFormat="1" ht="13.5" thickTop="1">
      <c r="A21" s="24"/>
      <c r="B21" s="27"/>
      <c r="C21" s="26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s="19" customFormat="1">
      <c r="A22" s="24"/>
      <c r="B22" s="17" t="s">
        <v>102</v>
      </c>
      <c r="C22" s="26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32" customFormat="1">
      <c r="A23" s="24" t="s">
        <v>9</v>
      </c>
      <c r="B23" s="27" t="s">
        <v>103</v>
      </c>
      <c r="C23" s="34">
        <v>6638.78</v>
      </c>
      <c r="D23" s="34">
        <v>6639</v>
      </c>
      <c r="E23" s="32">
        <f t="shared" ref="E23:E36" si="1">C23-D23</f>
        <v>-0.22000000000025466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s="32" customFormat="1">
      <c r="A24" s="24" t="s">
        <v>10</v>
      </c>
      <c r="B24" s="27" t="s">
        <v>104</v>
      </c>
      <c r="C24" s="34">
        <v>959577.79</v>
      </c>
      <c r="D24" s="34">
        <v>959578</v>
      </c>
      <c r="E24" s="32">
        <f t="shared" si="1"/>
        <v>-0.2099999999627471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s="32" customFormat="1">
      <c r="A25" s="24" t="s">
        <v>11</v>
      </c>
      <c r="B25" s="27" t="s">
        <v>105</v>
      </c>
      <c r="C25" s="34">
        <v>663.89</v>
      </c>
      <c r="D25" s="34">
        <v>664</v>
      </c>
      <c r="E25" s="32">
        <f t="shared" si="1"/>
        <v>-0.11000000000001364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s="32" customFormat="1">
      <c r="A26" s="24" t="s">
        <v>12</v>
      </c>
      <c r="B26" s="27" t="s">
        <v>106</v>
      </c>
      <c r="C26" s="34">
        <v>59553.26</v>
      </c>
      <c r="D26" s="34">
        <v>-214249.39</v>
      </c>
      <c r="E26" s="113">
        <f t="shared" si="1"/>
        <v>273802.65000000002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s="32" customFormat="1" ht="25.5">
      <c r="A27" s="24" t="s">
        <v>13</v>
      </c>
      <c r="B27" s="27" t="s">
        <v>107</v>
      </c>
      <c r="C27" s="115">
        <v>258541.15</v>
      </c>
      <c r="D27" s="115">
        <v>273803</v>
      </c>
      <c r="E27" s="32">
        <f t="shared" si="1"/>
        <v>-15261.850000000006</v>
      </c>
      <c r="G27" s="33">
        <f>E26+E27</f>
        <v>258540.80000000002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23" s="32" customFormat="1">
      <c r="A28" s="24" t="s">
        <v>1</v>
      </c>
      <c r="B28" s="27" t="s">
        <v>108</v>
      </c>
      <c r="C28" s="34">
        <v>301080.05</v>
      </c>
      <c r="D28" s="34">
        <f>134487+84975+21323</f>
        <v>240785</v>
      </c>
      <c r="E28" s="32">
        <f t="shared" si="1"/>
        <v>60295.049999999988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23" s="32" customFormat="1" ht="28.5" customHeight="1">
      <c r="A29" s="24" t="s">
        <v>2</v>
      </c>
      <c r="B29" s="27" t="s">
        <v>217</v>
      </c>
      <c r="C29" s="34">
        <v>226985.33</v>
      </c>
      <c r="D29" s="34">
        <v>225089</v>
      </c>
      <c r="E29" s="32">
        <f t="shared" si="1"/>
        <v>1896.3299999999872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23" s="32" customFormat="1">
      <c r="A30" s="24" t="s">
        <v>2</v>
      </c>
      <c r="B30" s="27" t="s">
        <v>218</v>
      </c>
      <c r="C30" s="34">
        <v>757226.73</v>
      </c>
      <c r="D30" s="34">
        <v>228027</v>
      </c>
      <c r="E30" s="32">
        <f t="shared" si="1"/>
        <v>529199.73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23" s="32" customFormat="1" ht="14.25" customHeight="1">
      <c r="A31" s="24" t="s">
        <v>2</v>
      </c>
      <c r="B31" s="27" t="s">
        <v>219</v>
      </c>
      <c r="C31" s="34"/>
      <c r="D31" s="34"/>
      <c r="E31" s="32">
        <f t="shared" si="1"/>
        <v>0</v>
      </c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2" spans="1:23" s="32" customFormat="1" ht="14.25" customHeight="1">
      <c r="A32" s="24" t="s">
        <v>2</v>
      </c>
      <c r="B32" s="27" t="s">
        <v>220</v>
      </c>
      <c r="C32" s="34">
        <v>0</v>
      </c>
      <c r="D32" s="34">
        <v>0</v>
      </c>
      <c r="E32" s="32">
        <f t="shared" si="1"/>
        <v>0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6" s="32" customFormat="1" ht="14.25" customHeight="1">
      <c r="A33" s="24" t="s">
        <v>2</v>
      </c>
      <c r="B33" s="27" t="s">
        <v>221</v>
      </c>
      <c r="C33" s="34">
        <v>1804.86</v>
      </c>
      <c r="D33" s="34">
        <v>1484.5</v>
      </c>
      <c r="E33" s="32">
        <f t="shared" si="1"/>
        <v>320.3599999999999</v>
      </c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1:26" s="32" customFormat="1">
      <c r="A34" s="24" t="s">
        <v>3</v>
      </c>
      <c r="B34" s="27" t="s">
        <v>109</v>
      </c>
      <c r="C34" s="34">
        <v>4234649.0199999996</v>
      </c>
      <c r="D34" s="34">
        <v>4420309</v>
      </c>
      <c r="E34" s="32">
        <f t="shared" si="1"/>
        <v>-185659.98000000045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6" s="32" customFormat="1">
      <c r="A35" s="24" t="s">
        <v>14</v>
      </c>
      <c r="B35" s="27" t="s">
        <v>110</v>
      </c>
      <c r="C35" s="34">
        <v>209189.76000000001</v>
      </c>
      <c r="D35" s="34">
        <v>385002</v>
      </c>
      <c r="E35" s="32">
        <f t="shared" si="1"/>
        <v>-175812.24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6" s="32" customFormat="1">
      <c r="A36" s="24" t="s">
        <v>4</v>
      </c>
      <c r="B36" s="27" t="s">
        <v>112</v>
      </c>
      <c r="C36" s="34">
        <v>473.25</v>
      </c>
      <c r="D36" s="34">
        <v>630.5</v>
      </c>
      <c r="E36" s="32">
        <f t="shared" si="1"/>
        <v>-157.25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  <row r="37" spans="1:26" s="32" customFormat="1" ht="13.5" thickBot="1">
      <c r="B37" s="31" t="s">
        <v>111</v>
      </c>
      <c r="C37" s="31">
        <f>SUM(C23:C36)</f>
        <v>7016383.8699999992</v>
      </c>
      <c r="D37" s="31">
        <f>SUM(D23:D36)</f>
        <v>6527761.6099999994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6" s="32" customFormat="1" ht="14.25" thickTop="1" thickBot="1"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6" s="32" customFormat="1" ht="13.5" thickBot="1">
      <c r="B39" s="35" t="s">
        <v>27</v>
      </c>
      <c r="C39" s="36">
        <f>C20-C37</f>
        <v>0</v>
      </c>
      <c r="D39" s="37">
        <f>D20-D37</f>
        <v>-9.9999997764825821E-3</v>
      </c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6" s="32" customFormat="1"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6" s="39" customFormat="1" ht="15.75">
      <c r="A41" s="32"/>
      <c r="B41" s="38" t="s">
        <v>276</v>
      </c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6" s="39" customFormat="1">
      <c r="B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6" s="39" customFormat="1" ht="51">
      <c r="B43" s="88"/>
      <c r="C43" s="89"/>
      <c r="D43" s="89"/>
      <c r="E43" s="89"/>
      <c r="F43" s="88" t="s">
        <v>18</v>
      </c>
      <c r="G43" s="88" t="s">
        <v>132</v>
      </c>
      <c r="H43" s="88" t="s">
        <v>134</v>
      </c>
      <c r="I43" s="88" t="s">
        <v>21</v>
      </c>
      <c r="J43" s="88" t="s">
        <v>19</v>
      </c>
      <c r="K43" s="88" t="s">
        <v>141</v>
      </c>
      <c r="L43" s="88" t="s">
        <v>149</v>
      </c>
      <c r="M43" s="88" t="s">
        <v>117</v>
      </c>
      <c r="N43" s="88" t="s">
        <v>20</v>
      </c>
      <c r="O43" s="88" t="s">
        <v>61</v>
      </c>
      <c r="P43" s="88" t="s">
        <v>177</v>
      </c>
      <c r="Q43" s="88" t="s">
        <v>179</v>
      </c>
      <c r="R43" s="88" t="s">
        <v>178</v>
      </c>
      <c r="S43" s="88" t="s">
        <v>135</v>
      </c>
      <c r="T43" s="88" t="s">
        <v>186</v>
      </c>
      <c r="U43" s="88" t="s">
        <v>190</v>
      </c>
      <c r="V43" s="88" t="s">
        <v>77</v>
      </c>
      <c r="W43" s="88" t="s">
        <v>202</v>
      </c>
      <c r="X43" s="88" t="s">
        <v>28</v>
      </c>
      <c r="Y43" s="88" t="s">
        <v>60</v>
      </c>
      <c r="Z43" s="89"/>
    </row>
    <row r="44" spans="1:26" s="13" customFormat="1">
      <c r="A44" s="39"/>
      <c r="B44" s="90" t="s">
        <v>113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2"/>
      <c r="Y44" s="91"/>
      <c r="Z44" s="91"/>
    </row>
    <row r="45" spans="1:26" s="13" customFormat="1" ht="25.5">
      <c r="B45" s="93" t="s">
        <v>234</v>
      </c>
      <c r="C45" s="91"/>
      <c r="D45" s="91"/>
      <c r="E45" s="91"/>
      <c r="F45" s="91"/>
      <c r="G45" s="91">
        <f>SUM(H45:W45)</f>
        <v>380005.74</v>
      </c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>
        <f>C27+C120+C130-C330</f>
        <v>380005.74</v>
      </c>
      <c r="X45" s="92"/>
      <c r="Y45" s="91">
        <f>F45+G45+X45</f>
        <v>380005.74</v>
      </c>
      <c r="Z45" s="91"/>
    </row>
    <row r="46" spans="1:26" s="44" customFormat="1" ht="37.5" customHeight="1">
      <c r="A46" s="13"/>
      <c r="B46" s="94" t="s">
        <v>114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6"/>
      <c r="Y46" s="95"/>
      <c r="Z46" s="95"/>
    </row>
    <row r="47" spans="1:26" s="44" customFormat="1" ht="25.5">
      <c r="B47" s="97" t="s">
        <v>115</v>
      </c>
      <c r="C47" s="95"/>
      <c r="D47" s="95"/>
      <c r="E47" s="95"/>
      <c r="F47" s="95"/>
      <c r="G47" s="95">
        <f t="shared" ref="G47:G58" si="2">SUM(H47:W47)</f>
        <v>375462</v>
      </c>
      <c r="H47" s="95"/>
      <c r="I47" s="95">
        <f>C136</f>
        <v>375462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6"/>
      <c r="Y47" s="95">
        <f t="shared" ref="Y47:Y58" si="3">F47+G47+X47</f>
        <v>375462</v>
      </c>
      <c r="Z47" s="95"/>
    </row>
    <row r="48" spans="1:26" s="44" customFormat="1">
      <c r="B48" s="97" t="s">
        <v>173</v>
      </c>
      <c r="C48" s="95"/>
      <c r="D48" s="95"/>
      <c r="E48" s="95"/>
      <c r="F48" s="95"/>
      <c r="G48" s="95">
        <f t="shared" si="2"/>
        <v>0</v>
      </c>
      <c r="H48" s="95"/>
      <c r="I48" s="95">
        <f>C137</f>
        <v>0</v>
      </c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6"/>
      <c r="Y48" s="95">
        <f t="shared" si="3"/>
        <v>0</v>
      </c>
      <c r="Z48" s="95"/>
    </row>
    <row r="49" spans="1:26" s="44" customFormat="1">
      <c r="B49" s="97" t="s">
        <v>235</v>
      </c>
      <c r="C49" s="95"/>
      <c r="D49" s="95"/>
      <c r="E49" s="95"/>
      <c r="F49" s="95"/>
      <c r="G49" s="95">
        <f>SUM(H49:W49)</f>
        <v>43020.66</v>
      </c>
      <c r="H49" s="95"/>
      <c r="I49" s="95"/>
      <c r="J49" s="95">
        <f>C144</f>
        <v>43020.66</v>
      </c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6"/>
      <c r="Y49" s="95">
        <f t="shared" si="3"/>
        <v>43020.66</v>
      </c>
      <c r="Z49" s="95"/>
    </row>
    <row r="50" spans="1:26" s="44" customFormat="1">
      <c r="B50" s="97" t="s">
        <v>236</v>
      </c>
      <c r="C50" s="95"/>
      <c r="D50" s="95"/>
      <c r="E50" s="95"/>
      <c r="F50" s="95"/>
      <c r="G50" s="95">
        <f t="shared" si="2"/>
        <v>0</v>
      </c>
      <c r="H50" s="95"/>
      <c r="I50" s="95"/>
      <c r="J50" s="95"/>
      <c r="K50" s="95">
        <f>-E155-E164</f>
        <v>0</v>
      </c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6"/>
      <c r="Y50" s="95">
        <f t="shared" si="3"/>
        <v>0</v>
      </c>
      <c r="Z50" s="95"/>
    </row>
    <row r="51" spans="1:26" s="44" customFormat="1">
      <c r="B51" s="97" t="s">
        <v>116</v>
      </c>
      <c r="C51" s="95"/>
      <c r="D51" s="95"/>
      <c r="E51" s="95"/>
      <c r="F51" s="95"/>
      <c r="G51" s="95">
        <f t="shared" si="2"/>
        <v>0</v>
      </c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>
        <f>-C254</f>
        <v>0</v>
      </c>
      <c r="S51" s="95"/>
      <c r="T51" s="95"/>
      <c r="U51" s="95"/>
      <c r="V51" s="95"/>
      <c r="W51" s="95"/>
      <c r="X51" s="96"/>
      <c r="Y51" s="95">
        <f t="shared" si="3"/>
        <v>0</v>
      </c>
      <c r="Z51" s="95"/>
    </row>
    <row r="52" spans="1:26" s="44" customFormat="1">
      <c r="B52" s="97" t="s">
        <v>118</v>
      </c>
      <c r="C52" s="95"/>
      <c r="D52" s="95"/>
      <c r="E52" s="95"/>
      <c r="F52" s="95"/>
      <c r="G52" s="95">
        <f t="shared" si="2"/>
        <v>-197.75</v>
      </c>
      <c r="H52" s="95"/>
      <c r="I52" s="95"/>
      <c r="J52" s="95"/>
      <c r="K52" s="95"/>
      <c r="L52" s="95">
        <f>-C176</f>
        <v>-197.75</v>
      </c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6"/>
      <c r="Y52" s="95">
        <f t="shared" si="3"/>
        <v>-197.75</v>
      </c>
      <c r="Z52" s="95"/>
    </row>
    <row r="53" spans="1:26" s="44" customFormat="1">
      <c r="B53" s="97" t="s">
        <v>238</v>
      </c>
      <c r="C53" s="95"/>
      <c r="D53" s="95"/>
      <c r="E53" s="95"/>
      <c r="F53" s="95"/>
      <c r="G53" s="95">
        <f t="shared" si="2"/>
        <v>193152.74</v>
      </c>
      <c r="H53" s="95"/>
      <c r="I53" s="95"/>
      <c r="J53" s="95"/>
      <c r="K53" s="95"/>
      <c r="L53" s="95"/>
      <c r="M53" s="95"/>
      <c r="N53" s="95">
        <f>E220</f>
        <v>193152.74</v>
      </c>
      <c r="O53" s="95"/>
      <c r="P53" s="95"/>
      <c r="Q53" s="95"/>
      <c r="R53" s="95"/>
      <c r="S53" s="95"/>
      <c r="T53" s="95"/>
      <c r="U53" s="95"/>
      <c r="V53" s="95"/>
      <c r="W53" s="95"/>
      <c r="X53" s="96"/>
      <c r="Y53" s="95">
        <f t="shared" si="3"/>
        <v>193152.74</v>
      </c>
      <c r="Z53" s="95"/>
    </row>
    <row r="54" spans="1:26" s="44" customFormat="1">
      <c r="B54" s="97" t="s">
        <v>26</v>
      </c>
      <c r="C54" s="95"/>
      <c r="D54" s="95"/>
      <c r="E54" s="95"/>
      <c r="F54" s="95"/>
      <c r="G54" s="95">
        <f t="shared" si="2"/>
        <v>0</v>
      </c>
      <c r="H54" s="95"/>
      <c r="I54" s="95"/>
      <c r="J54" s="95"/>
      <c r="K54" s="95"/>
      <c r="L54" s="95"/>
      <c r="M54" s="95"/>
      <c r="N54" s="95"/>
      <c r="O54" s="95">
        <f>C233</f>
        <v>0</v>
      </c>
      <c r="P54" s="95"/>
      <c r="Q54" s="95"/>
      <c r="R54" s="95"/>
      <c r="S54" s="95"/>
      <c r="T54" s="95"/>
      <c r="U54" s="95"/>
      <c r="V54" s="95"/>
      <c r="W54" s="95"/>
      <c r="X54" s="96"/>
      <c r="Y54" s="95">
        <f t="shared" si="3"/>
        <v>0</v>
      </c>
      <c r="Z54" s="95"/>
    </row>
    <row r="55" spans="1:26" s="44" customFormat="1">
      <c r="B55" s="97" t="s">
        <v>237</v>
      </c>
      <c r="C55" s="95"/>
      <c r="D55" s="95"/>
      <c r="E55" s="95"/>
      <c r="F55" s="95">
        <f>E28</f>
        <v>60295.049999999988</v>
      </c>
      <c r="G55" s="95">
        <f t="shared" si="2"/>
        <v>0</v>
      </c>
      <c r="H55" s="95"/>
      <c r="I55" s="95"/>
      <c r="J55" s="95"/>
      <c r="K55" s="95"/>
      <c r="L55" s="95"/>
      <c r="M55" s="95">
        <f>-C191</f>
        <v>0</v>
      </c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6"/>
      <c r="Y55" s="95">
        <f t="shared" si="3"/>
        <v>60295.049999999988</v>
      </c>
      <c r="Z55" s="95"/>
    </row>
    <row r="56" spans="1:26" s="44" customFormat="1">
      <c r="B56" s="97" t="s">
        <v>117</v>
      </c>
      <c r="C56" s="95"/>
      <c r="D56" s="95"/>
      <c r="E56" s="95"/>
      <c r="F56" s="95"/>
      <c r="G56" s="95">
        <f t="shared" si="2"/>
        <v>-1218.8899999999999</v>
      </c>
      <c r="H56" s="95"/>
      <c r="I56" s="95"/>
      <c r="J56" s="95"/>
      <c r="K56" s="95"/>
      <c r="L56" s="95"/>
      <c r="M56" s="95">
        <f>C201-C202+C209</f>
        <v>-1218.8899999999999</v>
      </c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6"/>
      <c r="Y56" s="95">
        <f t="shared" si="3"/>
        <v>-1218.8899999999999</v>
      </c>
      <c r="Z56" s="95"/>
    </row>
    <row r="57" spans="1:26" s="44" customFormat="1">
      <c r="B57" s="98" t="s">
        <v>239</v>
      </c>
      <c r="C57" s="95"/>
      <c r="D57" s="95"/>
      <c r="E57" s="95"/>
      <c r="F57" s="95">
        <f>-E19+E36</f>
        <v>-2405.4199999999983</v>
      </c>
      <c r="G57" s="95">
        <f t="shared" si="2"/>
        <v>86318.55</v>
      </c>
      <c r="H57" s="95"/>
      <c r="I57" s="95"/>
      <c r="J57" s="95">
        <f>-E147</f>
        <v>-43020.66</v>
      </c>
      <c r="K57" s="95">
        <f>E158</f>
        <v>0</v>
      </c>
      <c r="L57" s="95"/>
      <c r="M57" s="95">
        <f>-C190-C198</f>
        <v>0</v>
      </c>
      <c r="N57" s="95">
        <f>-E219</f>
        <v>0</v>
      </c>
      <c r="O57" s="95"/>
      <c r="P57" s="95"/>
      <c r="Q57" s="95"/>
      <c r="R57" s="95"/>
      <c r="S57" s="95"/>
      <c r="T57" s="95"/>
      <c r="U57" s="95">
        <f>D292+D293+C297</f>
        <v>129339.21</v>
      </c>
      <c r="V57" s="95"/>
      <c r="W57" s="95"/>
      <c r="X57" s="96"/>
      <c r="Y57" s="95">
        <f t="shared" si="3"/>
        <v>83913.13</v>
      </c>
      <c r="Z57" s="95"/>
    </row>
    <row r="58" spans="1:26" s="44" customFormat="1">
      <c r="B58" s="97" t="s">
        <v>240</v>
      </c>
      <c r="C58" s="95"/>
      <c r="D58" s="95"/>
      <c r="E58" s="95"/>
      <c r="F58" s="95"/>
      <c r="G58" s="95">
        <f t="shared" si="2"/>
        <v>85195.94</v>
      </c>
      <c r="H58" s="95"/>
      <c r="I58" s="95"/>
      <c r="J58" s="95"/>
      <c r="K58" s="95"/>
      <c r="L58" s="95"/>
      <c r="M58" s="95"/>
      <c r="N58" s="95"/>
      <c r="O58" s="95"/>
      <c r="P58" s="95">
        <f>C236</f>
        <v>0</v>
      </c>
      <c r="Q58" s="95">
        <f>C248</f>
        <v>85195.94</v>
      </c>
      <c r="R58" s="95"/>
      <c r="S58" s="95"/>
      <c r="T58" s="95"/>
      <c r="U58" s="95"/>
      <c r="V58" s="95"/>
      <c r="W58" s="95"/>
      <c r="X58" s="96"/>
      <c r="Y58" s="95">
        <f t="shared" si="3"/>
        <v>85195.94</v>
      </c>
      <c r="Z58" s="95"/>
    </row>
    <row r="59" spans="1:26" s="44" customFormat="1">
      <c r="B59" s="94" t="s">
        <v>241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6"/>
      <c r="Y59" s="95"/>
      <c r="Z59" s="95"/>
    </row>
    <row r="60" spans="1:26" s="44" customFormat="1">
      <c r="B60" s="99" t="s">
        <v>22</v>
      </c>
      <c r="C60" s="95"/>
      <c r="D60" s="95"/>
      <c r="E60" s="95"/>
      <c r="F60" s="95">
        <f>-E15-E16</f>
        <v>159272.7699999999</v>
      </c>
      <c r="G60" s="95">
        <f>SUM(H60:W60)</f>
        <v>45204.4</v>
      </c>
      <c r="H60" s="95">
        <f>D126+D133</f>
        <v>42075.66</v>
      </c>
      <c r="I60" s="95"/>
      <c r="J60" s="95"/>
      <c r="K60" s="95"/>
      <c r="L60" s="95"/>
      <c r="M60" s="95">
        <f>-C186-C187</f>
        <v>3128.74</v>
      </c>
      <c r="N60" s="95">
        <f>-E217</f>
        <v>0</v>
      </c>
      <c r="O60" s="95">
        <f>-C230</f>
        <v>0</v>
      </c>
      <c r="P60" s="95">
        <f>-C236</f>
        <v>0</v>
      </c>
      <c r="Q60" s="95">
        <f>-C245</f>
        <v>0</v>
      </c>
      <c r="R60" s="95">
        <f>C258</f>
        <v>0</v>
      </c>
      <c r="S60" s="95"/>
      <c r="T60" s="95">
        <f>C284</f>
        <v>0</v>
      </c>
      <c r="U60" s="95"/>
      <c r="V60" s="95">
        <f>-C308+C320</f>
        <v>0</v>
      </c>
      <c r="W60" s="95"/>
      <c r="X60" s="96"/>
      <c r="Y60" s="95">
        <f>F60+G60+X60</f>
        <v>204477.1699999999</v>
      </c>
      <c r="Z60" s="95"/>
    </row>
    <row r="61" spans="1:26" s="44" customFormat="1">
      <c r="B61" s="99" t="s">
        <v>23</v>
      </c>
      <c r="C61" s="95"/>
      <c r="D61" s="95"/>
      <c r="E61" s="95"/>
      <c r="F61" s="95">
        <f>-E14</f>
        <v>331633.42999999993</v>
      </c>
      <c r="G61" s="95">
        <f>SUM(H61:W61)</f>
        <v>-278348.68</v>
      </c>
      <c r="H61" s="95"/>
      <c r="I61" s="95"/>
      <c r="J61" s="95"/>
      <c r="K61" s="95"/>
      <c r="L61" s="95"/>
      <c r="M61" s="95">
        <f>-C185</f>
        <v>0</v>
      </c>
      <c r="N61" s="95">
        <f>-E218</f>
        <v>-193152.74</v>
      </c>
      <c r="O61" s="95">
        <f>-C229</f>
        <v>0</v>
      </c>
      <c r="P61" s="95"/>
      <c r="Q61" s="95">
        <f>-C244</f>
        <v>-85195.94</v>
      </c>
      <c r="R61" s="95"/>
      <c r="S61" s="95"/>
      <c r="T61" s="95">
        <f>C283</f>
        <v>0</v>
      </c>
      <c r="U61" s="95"/>
      <c r="V61" s="95">
        <f>-C307+C319</f>
        <v>0</v>
      </c>
      <c r="W61" s="95"/>
      <c r="X61" s="96"/>
      <c r="Y61" s="95">
        <f>F61+G61+X61</f>
        <v>53284.749999999942</v>
      </c>
      <c r="Z61" s="95"/>
    </row>
    <row r="62" spans="1:26" s="44" customFormat="1">
      <c r="B62" s="99" t="s">
        <v>242</v>
      </c>
      <c r="C62" s="95"/>
      <c r="D62" s="95"/>
      <c r="E62" s="95"/>
      <c r="F62" s="95">
        <f>E34+E33</f>
        <v>-185339.62000000046</v>
      </c>
      <c r="G62" s="95">
        <f>SUM(H62:W62)</f>
        <v>-128640.25</v>
      </c>
      <c r="H62" s="95">
        <f>E126</f>
        <v>-128640.25</v>
      </c>
      <c r="I62" s="95"/>
      <c r="J62" s="95"/>
      <c r="K62" s="95"/>
      <c r="L62" s="95"/>
      <c r="M62" s="95">
        <f>-C196</f>
        <v>0</v>
      </c>
      <c r="N62" s="95"/>
      <c r="O62" s="95"/>
      <c r="P62" s="95"/>
      <c r="Q62" s="95"/>
      <c r="R62" s="95"/>
      <c r="S62" s="95">
        <f>-C266-C270-C271</f>
        <v>0</v>
      </c>
      <c r="T62" s="95"/>
      <c r="U62" s="95"/>
      <c r="V62" s="95"/>
      <c r="W62" s="95"/>
      <c r="X62" s="96"/>
      <c r="Y62" s="95">
        <f>F62+G62+X62</f>
        <v>-313979.87000000046</v>
      </c>
      <c r="Z62" s="95"/>
    </row>
    <row r="63" spans="1:26" s="44" customFormat="1">
      <c r="B63" s="99" t="s">
        <v>119</v>
      </c>
      <c r="C63" s="95"/>
      <c r="D63" s="95"/>
      <c r="E63" s="95"/>
      <c r="F63" s="95">
        <f>-E18</f>
        <v>0</v>
      </c>
      <c r="G63" s="95">
        <f>SUM(H63:W63)</f>
        <v>0</v>
      </c>
      <c r="H63" s="95"/>
      <c r="I63" s="95"/>
      <c r="J63" s="95"/>
      <c r="K63" s="95">
        <f>C167</f>
        <v>0</v>
      </c>
      <c r="L63" s="95"/>
      <c r="M63" s="95">
        <f>-C189</f>
        <v>0</v>
      </c>
      <c r="N63" s="95">
        <f>-E216</f>
        <v>0</v>
      </c>
      <c r="O63" s="95">
        <f>-C228</f>
        <v>0</v>
      </c>
      <c r="P63" s="95"/>
      <c r="Q63" s="95">
        <f>-C243</f>
        <v>0</v>
      </c>
      <c r="R63" s="95"/>
      <c r="S63" s="95"/>
      <c r="T63" s="95">
        <f>C282</f>
        <v>0</v>
      </c>
      <c r="U63" s="95"/>
      <c r="V63" s="95">
        <f>-C309+C321</f>
        <v>0</v>
      </c>
      <c r="W63" s="95"/>
      <c r="X63" s="96"/>
      <c r="Y63" s="95">
        <f>F63+G63+X63</f>
        <v>0</v>
      </c>
      <c r="Z63" s="95"/>
    </row>
    <row r="64" spans="1:26">
      <c r="A64" s="44"/>
      <c r="B64" s="100" t="s">
        <v>113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2"/>
      <c r="Y64" s="101"/>
      <c r="Z64" s="101">
        <f>SUM(Y45:Y63)</f>
        <v>1163410.6699999995</v>
      </c>
    </row>
    <row r="65" spans="1:26">
      <c r="B65" s="103" t="s">
        <v>243</v>
      </c>
      <c r="C65" s="101"/>
      <c r="D65" s="101"/>
      <c r="E65" s="101"/>
      <c r="F65" s="101"/>
      <c r="G65" s="101">
        <f>SUM(H65:W65)</f>
        <v>0</v>
      </c>
      <c r="H65" s="101"/>
      <c r="I65" s="101"/>
      <c r="J65" s="101">
        <f>-C143</f>
        <v>0</v>
      </c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2"/>
      <c r="Y65" s="101">
        <f>F65+G65+X65</f>
        <v>0</v>
      </c>
      <c r="Z65" s="101"/>
    </row>
    <row r="66" spans="1:26">
      <c r="B66" s="103" t="s">
        <v>244</v>
      </c>
      <c r="C66" s="101"/>
      <c r="D66" s="101"/>
      <c r="E66" s="101"/>
      <c r="F66" s="101"/>
      <c r="G66" s="101">
        <f>SUM(H66:W66)</f>
        <v>0</v>
      </c>
      <c r="H66" s="101"/>
      <c r="I66" s="101"/>
      <c r="J66" s="101"/>
      <c r="K66" s="101">
        <f>C154+C163</f>
        <v>0</v>
      </c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2"/>
      <c r="Y66" s="101">
        <f>F66+G66+X66</f>
        <v>0</v>
      </c>
      <c r="Z66" s="101"/>
    </row>
    <row r="67" spans="1:26">
      <c r="B67" s="103" t="s">
        <v>24</v>
      </c>
      <c r="C67" s="101"/>
      <c r="D67" s="101"/>
      <c r="E67" s="101"/>
      <c r="F67" s="101"/>
      <c r="G67" s="101">
        <f>SUM(H67:W67)</f>
        <v>-34900</v>
      </c>
      <c r="H67" s="101">
        <f>-SUM(C121:C123)</f>
        <v>-34900</v>
      </c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2"/>
      <c r="Y67" s="101">
        <f>F67+G67+X67</f>
        <v>-34900</v>
      </c>
      <c r="Z67" s="101"/>
    </row>
    <row r="68" spans="1:26">
      <c r="B68" s="104" t="s">
        <v>245</v>
      </c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2"/>
      <c r="Y68" s="101"/>
      <c r="Z68" s="101">
        <f>SUM(Y64:Z67)</f>
        <v>1128510.6699999995</v>
      </c>
    </row>
    <row r="69" spans="1:26">
      <c r="B69" s="105" t="str">
        <f>B310</f>
        <v>Mim. náklady peňažné nesúvisiace s majetkom - udať dôvod</v>
      </c>
      <c r="C69" s="101"/>
      <c r="D69" s="101"/>
      <c r="E69" s="101"/>
      <c r="F69" s="101"/>
      <c r="G69" s="101">
        <f t="shared" ref="G69:G77" si="4">SUM(H69:W69)</f>
        <v>0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>
        <f>-C310</f>
        <v>0</v>
      </c>
      <c r="W69" s="101"/>
      <c r="X69" s="102"/>
      <c r="Y69" s="101">
        <f t="shared" ref="Y69:Y77" si="5">F69+G69+X69</f>
        <v>0</v>
      </c>
      <c r="Z69" s="101"/>
    </row>
    <row r="70" spans="1:26">
      <c r="B70" s="105" t="str">
        <f>B311</f>
        <v>Mim. náklady peňažné nesúvisiace s majetkom - udať dôvod</v>
      </c>
      <c r="C70" s="101"/>
      <c r="D70" s="101"/>
      <c r="E70" s="101"/>
      <c r="F70" s="101"/>
      <c r="G70" s="101">
        <f t="shared" si="4"/>
        <v>0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>
        <f>-C311</f>
        <v>0</v>
      </c>
      <c r="W70" s="101"/>
      <c r="X70" s="102"/>
      <c r="Y70" s="101">
        <f t="shared" si="5"/>
        <v>0</v>
      </c>
      <c r="Z70" s="101"/>
    </row>
    <row r="71" spans="1:26">
      <c r="B71" s="105" t="str">
        <f>B312</f>
        <v>Mim. náklady peňažné nesúvisiace s majetkom - udať dôvod</v>
      </c>
      <c r="C71" s="101"/>
      <c r="D71" s="101"/>
      <c r="E71" s="101"/>
      <c r="F71" s="101"/>
      <c r="G71" s="101">
        <f t="shared" si="4"/>
        <v>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>
        <f>-C312</f>
        <v>0</v>
      </c>
      <c r="W71" s="101"/>
      <c r="X71" s="102"/>
      <c r="Y71" s="101">
        <f t="shared" si="5"/>
        <v>0</v>
      </c>
      <c r="Z71" s="101"/>
    </row>
    <row r="72" spans="1:26">
      <c r="B72" s="105" t="str">
        <f t="shared" ref="B72:B77" si="6">B322</f>
        <v>Mim výnosy peňažné Dôvod 1 (udajte)</v>
      </c>
      <c r="C72" s="101"/>
      <c r="D72" s="101"/>
      <c r="E72" s="101"/>
      <c r="F72" s="101"/>
      <c r="G72" s="101">
        <f t="shared" si="4"/>
        <v>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>
        <f t="shared" ref="V72:V77" si="7">C322</f>
        <v>0</v>
      </c>
      <c r="W72" s="101"/>
      <c r="X72" s="102"/>
      <c r="Y72" s="101">
        <f t="shared" si="5"/>
        <v>0</v>
      </c>
      <c r="Z72" s="101"/>
    </row>
    <row r="73" spans="1:26">
      <c r="B73" s="105" t="str">
        <f t="shared" si="6"/>
        <v>Mim výnosy peňažné Dôvod 2 (udajte)</v>
      </c>
      <c r="C73" s="101"/>
      <c r="D73" s="101"/>
      <c r="E73" s="101"/>
      <c r="F73" s="101"/>
      <c r="G73" s="101">
        <f t="shared" si="4"/>
        <v>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>
        <f t="shared" si="7"/>
        <v>0</v>
      </c>
      <c r="W73" s="101"/>
      <c r="X73" s="102"/>
      <c r="Y73" s="101">
        <f t="shared" si="5"/>
        <v>0</v>
      </c>
      <c r="Z73" s="101"/>
    </row>
    <row r="74" spans="1:26">
      <c r="B74" s="105" t="str">
        <f t="shared" si="6"/>
        <v>Mim výnosy peňažné Dôvod 3 (udajte)</v>
      </c>
      <c r="C74" s="101"/>
      <c r="D74" s="101"/>
      <c r="E74" s="101"/>
      <c r="F74" s="101"/>
      <c r="G74" s="101">
        <f t="shared" si="4"/>
        <v>0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>
        <f t="shared" si="7"/>
        <v>0</v>
      </c>
      <c r="W74" s="101"/>
      <c r="X74" s="102"/>
      <c r="Y74" s="101">
        <f t="shared" si="5"/>
        <v>0</v>
      </c>
      <c r="Z74" s="101"/>
    </row>
    <row r="75" spans="1:26">
      <c r="B75" s="105" t="str">
        <f t="shared" si="6"/>
        <v>Mim výnosy peňažné Dôvod 4 (udajte)</v>
      </c>
      <c r="C75" s="101"/>
      <c r="D75" s="101"/>
      <c r="E75" s="101"/>
      <c r="F75" s="101"/>
      <c r="G75" s="101">
        <f t="shared" si="4"/>
        <v>0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>
        <f t="shared" si="7"/>
        <v>0</v>
      </c>
      <c r="W75" s="101"/>
      <c r="X75" s="102"/>
      <c r="Y75" s="101">
        <f t="shared" si="5"/>
        <v>0</v>
      </c>
      <c r="Z75" s="101"/>
    </row>
    <row r="76" spans="1:26">
      <c r="B76" s="105" t="str">
        <f t="shared" si="6"/>
        <v>Mim výnosy peňažné Dôvod 5 (udajte)</v>
      </c>
      <c r="C76" s="101"/>
      <c r="D76" s="101"/>
      <c r="E76" s="101"/>
      <c r="F76" s="101"/>
      <c r="G76" s="101">
        <f t="shared" si="4"/>
        <v>0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>
        <f t="shared" si="7"/>
        <v>0</v>
      </c>
      <c r="W76" s="101"/>
      <c r="X76" s="102"/>
      <c r="Y76" s="101">
        <f t="shared" si="5"/>
        <v>0</v>
      </c>
      <c r="Z76" s="101"/>
    </row>
    <row r="77" spans="1:26">
      <c r="B77" s="105" t="str">
        <f t="shared" si="6"/>
        <v>Mim výnosy peňažné Dôvod 6 (udajte)</v>
      </c>
      <c r="C77" s="101"/>
      <c r="D77" s="101"/>
      <c r="E77" s="101"/>
      <c r="F77" s="101"/>
      <c r="G77" s="101">
        <f t="shared" si="4"/>
        <v>0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>
        <f t="shared" si="7"/>
        <v>0</v>
      </c>
      <c r="W77" s="101"/>
      <c r="X77" s="102"/>
      <c r="Y77" s="101">
        <f t="shared" si="5"/>
        <v>0</v>
      </c>
      <c r="Z77" s="101"/>
    </row>
    <row r="78" spans="1:26">
      <c r="B78" s="104" t="s">
        <v>125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2"/>
      <c r="Y78" s="101"/>
      <c r="Z78" s="101">
        <f>SUM(Y68:Z77)</f>
        <v>1128510.6699999995</v>
      </c>
    </row>
    <row r="79" spans="1:26" s="13" customFormat="1">
      <c r="A79" s="56"/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2"/>
      <c r="Y79" s="91"/>
      <c r="Z79" s="91"/>
    </row>
    <row r="80" spans="1:26" s="13" customFormat="1">
      <c r="B80" s="90" t="s">
        <v>246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2"/>
      <c r="Y80" s="91"/>
      <c r="Z80" s="91"/>
    </row>
    <row r="81" spans="1:26" s="13" customFormat="1" ht="25.5">
      <c r="B81" s="106" t="s">
        <v>247</v>
      </c>
      <c r="C81" s="91"/>
      <c r="D81" s="91"/>
      <c r="E81" s="91"/>
      <c r="F81" s="91">
        <f>-E10-E11</f>
        <v>-977151.46000000008</v>
      </c>
      <c r="G81" s="91">
        <f t="shared" ref="G81:G88" si="8">SUM(H81:W81)</f>
        <v>-964420.88</v>
      </c>
      <c r="H81" s="91"/>
      <c r="I81" s="91">
        <f>-C136-C137</f>
        <v>-375462</v>
      </c>
      <c r="J81" s="91">
        <f>D144</f>
        <v>0</v>
      </c>
      <c r="K81" s="91"/>
      <c r="L81" s="91">
        <f>-C173</f>
        <v>-588958.88</v>
      </c>
      <c r="M81" s="91">
        <f>-C181-C182</f>
        <v>0</v>
      </c>
      <c r="N81" s="91">
        <f>-E213</f>
        <v>0</v>
      </c>
      <c r="O81" s="91">
        <f>-C225</f>
        <v>0</v>
      </c>
      <c r="P81" s="91"/>
      <c r="Q81" s="91">
        <f>-C241</f>
        <v>0</v>
      </c>
      <c r="R81" s="91"/>
      <c r="S81" s="91"/>
      <c r="T81" s="91">
        <f>C279</f>
        <v>0</v>
      </c>
      <c r="U81" s="91"/>
      <c r="V81" s="91">
        <f>-C304+C316</f>
        <v>0</v>
      </c>
      <c r="W81" s="91"/>
      <c r="X81" s="92"/>
      <c r="Y81" s="91">
        <f t="shared" ref="Y81:Y88" si="9">F81+G81+X81</f>
        <v>-1941572.34</v>
      </c>
      <c r="Z81" s="91"/>
    </row>
    <row r="82" spans="1:26" s="13" customFormat="1" ht="25.5">
      <c r="B82" s="106" t="s">
        <v>248</v>
      </c>
      <c r="C82" s="91"/>
      <c r="D82" s="91"/>
      <c r="E82" s="91"/>
      <c r="F82" s="91"/>
      <c r="G82" s="91">
        <f t="shared" si="8"/>
        <v>589156.63</v>
      </c>
      <c r="H82" s="91"/>
      <c r="I82" s="91"/>
      <c r="J82" s="91"/>
      <c r="K82" s="91"/>
      <c r="L82" s="91">
        <f>C172</f>
        <v>589156.63</v>
      </c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2"/>
      <c r="Y82" s="91">
        <f t="shared" si="9"/>
        <v>589156.63</v>
      </c>
      <c r="Z82" s="91"/>
    </row>
    <row r="83" spans="1:26" s="13" customFormat="1">
      <c r="B83" s="106" t="s">
        <v>243</v>
      </c>
      <c r="C83" s="91"/>
      <c r="D83" s="91"/>
      <c r="E83" s="91"/>
      <c r="F83" s="91"/>
      <c r="G83" s="91">
        <f t="shared" si="8"/>
        <v>0</v>
      </c>
      <c r="H83" s="91"/>
      <c r="I83" s="91"/>
      <c r="J83" s="91">
        <f>-D143</f>
        <v>0</v>
      </c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2"/>
      <c r="Y83" s="91">
        <f t="shared" si="9"/>
        <v>0</v>
      </c>
      <c r="Z83" s="91"/>
    </row>
    <row r="84" spans="1:26" s="13" customFormat="1" ht="25.5">
      <c r="B84" s="106" t="s">
        <v>120</v>
      </c>
      <c r="C84" s="91"/>
      <c r="D84" s="91"/>
      <c r="E84" s="91"/>
      <c r="F84" s="91"/>
      <c r="G84" s="91">
        <f t="shared" si="8"/>
        <v>0</v>
      </c>
      <c r="H84" s="91"/>
      <c r="I84" s="91"/>
      <c r="J84" s="91"/>
      <c r="K84" s="91"/>
      <c r="L84" s="91">
        <f>C174</f>
        <v>0</v>
      </c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2"/>
      <c r="Y84" s="91">
        <f t="shared" si="9"/>
        <v>0</v>
      </c>
      <c r="Z84" s="91"/>
    </row>
    <row r="85" spans="1:26" s="13" customFormat="1" ht="25.5">
      <c r="B85" s="106" t="s">
        <v>121</v>
      </c>
      <c r="C85" s="91"/>
      <c r="D85" s="91"/>
      <c r="E85" s="91"/>
      <c r="F85" s="91">
        <f>-E12</f>
        <v>0.1</v>
      </c>
      <c r="G85" s="91">
        <f t="shared" si="8"/>
        <v>0</v>
      </c>
      <c r="H85" s="91"/>
      <c r="I85" s="91"/>
      <c r="J85" s="91"/>
      <c r="K85" s="91">
        <f>D167</f>
        <v>0</v>
      </c>
      <c r="L85" s="91">
        <f>-C175</f>
        <v>0</v>
      </c>
      <c r="M85" s="91">
        <f>-C183</f>
        <v>0</v>
      </c>
      <c r="N85" s="91">
        <f>-E214</f>
        <v>0</v>
      </c>
      <c r="O85" s="91">
        <f>-C226</f>
        <v>0</v>
      </c>
      <c r="P85" s="91"/>
      <c r="Q85" s="91">
        <f>-C242</f>
        <v>0</v>
      </c>
      <c r="R85" s="91"/>
      <c r="S85" s="91"/>
      <c r="T85" s="91">
        <f>C280</f>
        <v>0</v>
      </c>
      <c r="U85" s="91"/>
      <c r="V85" s="91">
        <f>-C305+C317</f>
        <v>0</v>
      </c>
      <c r="W85" s="91"/>
      <c r="X85" s="92"/>
      <c r="Y85" s="91">
        <f t="shared" si="9"/>
        <v>0.1</v>
      </c>
      <c r="Z85" s="91"/>
    </row>
    <row r="86" spans="1:26" s="13" customFormat="1">
      <c r="B86" s="106" t="s">
        <v>206</v>
      </c>
      <c r="C86" s="91"/>
      <c r="D86" s="91"/>
      <c r="E86" s="91"/>
      <c r="F86" s="91">
        <f>-E13</f>
        <v>0</v>
      </c>
      <c r="G86" s="91">
        <f t="shared" si="8"/>
        <v>0</v>
      </c>
      <c r="H86" s="91"/>
      <c r="I86" s="91"/>
      <c r="J86" s="91"/>
      <c r="K86" s="91"/>
      <c r="L86" s="91"/>
      <c r="M86" s="91">
        <f>-C184</f>
        <v>0</v>
      </c>
      <c r="N86" s="91">
        <f>-E215</f>
        <v>0</v>
      </c>
      <c r="O86" s="91">
        <f>-C227</f>
        <v>0</v>
      </c>
      <c r="P86" s="91"/>
      <c r="Q86" s="91"/>
      <c r="R86" s="91"/>
      <c r="S86" s="91"/>
      <c r="T86" s="91">
        <f>C281</f>
        <v>0</v>
      </c>
      <c r="U86" s="91"/>
      <c r="V86" s="91">
        <f>-C306+C318</f>
        <v>0</v>
      </c>
      <c r="W86" s="91"/>
      <c r="X86" s="92"/>
      <c r="Y86" s="91">
        <f t="shared" si="9"/>
        <v>0</v>
      </c>
      <c r="Z86" s="91"/>
    </row>
    <row r="87" spans="1:26" s="13" customFormat="1">
      <c r="B87" s="106" t="s">
        <v>244</v>
      </c>
      <c r="C87" s="91"/>
      <c r="D87" s="91"/>
      <c r="E87" s="91"/>
      <c r="F87" s="91"/>
      <c r="G87" s="91">
        <f t="shared" si="8"/>
        <v>0</v>
      </c>
      <c r="H87" s="91"/>
      <c r="I87" s="91"/>
      <c r="J87" s="91"/>
      <c r="K87" s="91">
        <f>D154+D163</f>
        <v>0</v>
      </c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2"/>
      <c r="Y87" s="91">
        <f t="shared" si="9"/>
        <v>0</v>
      </c>
      <c r="Z87" s="91"/>
    </row>
    <row r="88" spans="1:26" s="13" customFormat="1">
      <c r="B88" s="106" t="s">
        <v>25</v>
      </c>
      <c r="C88" s="91"/>
      <c r="D88" s="91"/>
      <c r="E88" s="91"/>
      <c r="F88" s="91"/>
      <c r="G88" s="91">
        <f t="shared" si="8"/>
        <v>0</v>
      </c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>
        <f>C255</f>
        <v>0</v>
      </c>
      <c r="S88" s="91"/>
      <c r="T88" s="91"/>
      <c r="U88" s="91"/>
      <c r="V88" s="91"/>
      <c r="W88" s="91"/>
      <c r="X88" s="92"/>
      <c r="Y88" s="91">
        <f t="shared" si="9"/>
        <v>0</v>
      </c>
      <c r="Z88" s="91"/>
    </row>
    <row r="89" spans="1:26">
      <c r="A89" s="13"/>
      <c r="B89" s="104" t="s">
        <v>126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2"/>
      <c r="Y89" s="101"/>
      <c r="Z89" s="101">
        <f>SUM(Y81:Y88)</f>
        <v>-1352415.6099999999</v>
      </c>
    </row>
    <row r="90" spans="1:26">
      <c r="B90" s="105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2"/>
      <c r="Y90" s="101"/>
      <c r="Z90" s="101"/>
    </row>
    <row r="91" spans="1:26" s="13" customFormat="1">
      <c r="A91" s="56"/>
      <c r="B91" s="90" t="s">
        <v>249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2"/>
      <c r="Y91" s="91"/>
      <c r="Z91" s="91"/>
    </row>
    <row r="92" spans="1:26" s="13" customFormat="1">
      <c r="B92" s="106" t="s">
        <v>250</v>
      </c>
      <c r="C92" s="91"/>
      <c r="D92" s="91"/>
      <c r="E92" s="91"/>
      <c r="F92" s="91">
        <f>E35</f>
        <v>-175812.24</v>
      </c>
      <c r="G92" s="91">
        <f t="shared" ref="G92:G101" si="10">SUM(H92:W92)</f>
        <v>0</v>
      </c>
      <c r="H92" s="91"/>
      <c r="I92" s="91"/>
      <c r="J92" s="91"/>
      <c r="K92" s="91"/>
      <c r="L92" s="91"/>
      <c r="M92" s="91">
        <f>-C197-C209</f>
        <v>0</v>
      </c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2"/>
      <c r="Y92" s="91">
        <f t="shared" ref="Y92:Y100" si="11">F92+G92+X92</f>
        <v>-175812.24</v>
      </c>
      <c r="Z92" s="91"/>
    </row>
    <row r="93" spans="1:26" s="13" customFormat="1">
      <c r="B93" s="106" t="s">
        <v>251</v>
      </c>
      <c r="C93" s="91"/>
      <c r="D93" s="91"/>
      <c r="E93" s="91"/>
      <c r="F93" s="91">
        <f>E32</f>
        <v>0</v>
      </c>
      <c r="G93" s="91">
        <f t="shared" si="10"/>
        <v>0</v>
      </c>
      <c r="H93" s="91"/>
      <c r="I93" s="91"/>
      <c r="J93" s="91"/>
      <c r="K93" s="91"/>
      <c r="L93" s="91"/>
      <c r="M93" s="91">
        <f>-C195</f>
        <v>0</v>
      </c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2"/>
      <c r="Y93" s="91">
        <f t="shared" si="11"/>
        <v>0</v>
      </c>
      <c r="Z93" s="91"/>
    </row>
    <row r="94" spans="1:26" s="13" customFormat="1">
      <c r="B94" s="106" t="s">
        <v>252</v>
      </c>
      <c r="C94" s="91"/>
      <c r="D94" s="91"/>
      <c r="E94" s="91"/>
      <c r="F94" s="91">
        <f>E31</f>
        <v>0</v>
      </c>
      <c r="G94" s="91">
        <f t="shared" si="10"/>
        <v>-1895.9</v>
      </c>
      <c r="H94" s="91"/>
      <c r="I94" s="91"/>
      <c r="J94" s="91"/>
      <c r="K94" s="91"/>
      <c r="L94" s="91"/>
      <c r="M94" s="91">
        <f>-C194</f>
        <v>-1895.9</v>
      </c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2"/>
      <c r="Y94" s="91">
        <f t="shared" si="11"/>
        <v>-1895.9</v>
      </c>
      <c r="Z94" s="91"/>
    </row>
    <row r="95" spans="1:26" s="13" customFormat="1" ht="24.75" customHeight="1">
      <c r="B95" s="106" t="s">
        <v>253</v>
      </c>
      <c r="C95" s="91"/>
      <c r="D95" s="91"/>
      <c r="E95" s="91"/>
      <c r="F95" s="91">
        <f>E29</f>
        <v>1896.3299999999872</v>
      </c>
      <c r="G95" s="91">
        <f t="shared" si="10"/>
        <v>0</v>
      </c>
      <c r="H95" s="91">
        <f>E133</f>
        <v>0</v>
      </c>
      <c r="I95" s="91"/>
      <c r="J95" s="91"/>
      <c r="K95" s="91"/>
      <c r="L95" s="91"/>
      <c r="M95" s="91">
        <f>-C192</f>
        <v>0</v>
      </c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2"/>
      <c r="Y95" s="91">
        <f t="shared" si="11"/>
        <v>1896.3299999999872</v>
      </c>
      <c r="Z95" s="91"/>
    </row>
    <row r="96" spans="1:26" s="13" customFormat="1">
      <c r="B96" s="106" t="s">
        <v>124</v>
      </c>
      <c r="C96" s="91"/>
      <c r="D96" s="91"/>
      <c r="E96" s="91"/>
      <c r="F96" s="91">
        <f>E30</f>
        <v>529199.73</v>
      </c>
      <c r="G96" s="91">
        <f t="shared" si="10"/>
        <v>-129339.21</v>
      </c>
      <c r="H96" s="91"/>
      <c r="I96" s="91"/>
      <c r="J96" s="91"/>
      <c r="K96" s="91"/>
      <c r="L96" s="91"/>
      <c r="M96" s="91">
        <f>-C193</f>
        <v>0</v>
      </c>
      <c r="N96" s="91"/>
      <c r="O96" s="91"/>
      <c r="P96" s="91"/>
      <c r="Q96" s="91"/>
      <c r="R96" s="91"/>
      <c r="S96" s="91"/>
      <c r="T96" s="91"/>
      <c r="U96" s="91">
        <f>-D292-D293-C297</f>
        <v>-129339.21</v>
      </c>
      <c r="V96" s="91"/>
      <c r="W96" s="91"/>
      <c r="X96" s="92"/>
      <c r="Y96" s="91">
        <f t="shared" si="11"/>
        <v>399860.51999999996</v>
      </c>
      <c r="Z96" s="91"/>
    </row>
    <row r="97" spans="1:26" s="13" customFormat="1">
      <c r="B97" s="106" t="s">
        <v>254</v>
      </c>
      <c r="C97" s="91"/>
      <c r="D97" s="91"/>
      <c r="E97" s="91"/>
      <c r="F97" s="91"/>
      <c r="G97" s="91">
        <f t="shared" si="10"/>
        <v>0</v>
      </c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>
        <f>-C265</f>
        <v>0</v>
      </c>
      <c r="T97" s="91"/>
      <c r="U97" s="91"/>
      <c r="V97" s="91"/>
      <c r="W97" s="91"/>
      <c r="X97" s="92"/>
      <c r="Y97" s="91">
        <f t="shared" si="11"/>
        <v>0</v>
      </c>
      <c r="Z97" s="91"/>
    </row>
    <row r="98" spans="1:26" s="13" customFormat="1">
      <c r="B98" s="106" t="s">
        <v>255</v>
      </c>
      <c r="C98" s="91"/>
      <c r="D98" s="91"/>
      <c r="E98" s="91"/>
      <c r="F98" s="91">
        <f>-E9+E23</f>
        <v>-0.22000000000025466</v>
      </c>
      <c r="G98" s="91">
        <f t="shared" si="10"/>
        <v>0</v>
      </c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2"/>
      <c r="Y98" s="91">
        <f t="shared" si="11"/>
        <v>-0.22000000000025466</v>
      </c>
      <c r="Z98" s="91"/>
    </row>
    <row r="99" spans="1:26" s="13" customFormat="1">
      <c r="B99" s="106" t="s">
        <v>122</v>
      </c>
      <c r="C99" s="91"/>
      <c r="D99" s="91"/>
      <c r="E99" s="91"/>
      <c r="F99" s="91">
        <f>E24</f>
        <v>-0.2099999999627471</v>
      </c>
      <c r="G99" s="91">
        <f t="shared" si="10"/>
        <v>0</v>
      </c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>
        <f>-C287</f>
        <v>0</v>
      </c>
      <c r="U99" s="91"/>
      <c r="V99" s="91"/>
      <c r="W99" s="91"/>
      <c r="X99" s="92"/>
      <c r="Y99" s="91">
        <f t="shared" si="11"/>
        <v>-0.2099999999627471</v>
      </c>
      <c r="Z99" s="91"/>
    </row>
    <row r="100" spans="1:26" s="13" customFormat="1">
      <c r="B100" s="106" t="s">
        <v>123</v>
      </c>
      <c r="C100" s="91"/>
      <c r="D100" s="91"/>
      <c r="E100" s="91"/>
      <c r="F100" s="91"/>
      <c r="G100" s="91">
        <f t="shared" si="10"/>
        <v>0</v>
      </c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>
        <f>-C269</f>
        <v>0</v>
      </c>
      <c r="T100" s="91"/>
      <c r="U100" s="91"/>
      <c r="V100" s="91"/>
      <c r="W100" s="91"/>
      <c r="X100" s="92"/>
      <c r="Y100" s="91">
        <f t="shared" si="11"/>
        <v>0</v>
      </c>
      <c r="Z100" s="91"/>
    </row>
    <row r="101" spans="1:26" s="13" customFormat="1">
      <c r="B101" s="106" t="s">
        <v>29</v>
      </c>
      <c r="C101" s="91"/>
      <c r="D101" s="91"/>
      <c r="E101" s="91"/>
      <c r="F101" s="91">
        <f>E25+E26+E27</f>
        <v>258540.69000000003</v>
      </c>
      <c r="G101" s="91">
        <f t="shared" si="10"/>
        <v>-258541.15</v>
      </c>
      <c r="H101" s="91">
        <f>C120+C130</f>
        <v>121464.59</v>
      </c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>
        <f>C265+C266+C269+C270+C271</f>
        <v>0</v>
      </c>
      <c r="T101" s="91"/>
      <c r="U101" s="91"/>
      <c r="V101" s="91">
        <f>C313-C328</f>
        <v>0</v>
      </c>
      <c r="W101" s="91">
        <f>-W45</f>
        <v>-380005.74</v>
      </c>
      <c r="X101" s="92"/>
      <c r="Y101" s="91">
        <f>F101+G101+X101</f>
        <v>-0.4599999999627471</v>
      </c>
      <c r="Z101" s="91" t="s">
        <v>63</v>
      </c>
    </row>
    <row r="102" spans="1:26">
      <c r="A102" s="13"/>
      <c r="B102" s="104" t="s">
        <v>127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2"/>
      <c r="Y102" s="101"/>
      <c r="Z102" s="101">
        <f>SUM(Y92:Y101)</f>
        <v>224047.82000000004</v>
      </c>
    </row>
    <row r="103" spans="1:26">
      <c r="B103" s="105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</row>
    <row r="104" spans="1:26">
      <c r="B104" s="105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</row>
    <row r="105" spans="1:26" s="13" customFormat="1" ht="25.5">
      <c r="A105" s="56"/>
      <c r="B105" s="107" t="s">
        <v>128</v>
      </c>
      <c r="C105" s="91"/>
      <c r="D105" s="91"/>
      <c r="E105" s="91"/>
      <c r="F105" s="91"/>
      <c r="G105" s="91">
        <f>SUM(H105:W105)</f>
        <v>0</v>
      </c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>
        <f>Z78+Z89+Z102</f>
        <v>142.87999999962631</v>
      </c>
      <c r="Z105" s="91"/>
    </row>
    <row r="106" spans="1:26" s="13" customFormat="1">
      <c r="B106" s="107"/>
      <c r="C106" s="91"/>
      <c r="D106" s="91"/>
      <c r="E106" s="91"/>
      <c r="F106" s="106"/>
      <c r="G106" s="91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91"/>
      <c r="Y106" s="91"/>
      <c r="Z106" s="91"/>
    </row>
    <row r="107" spans="1:26" s="13" customFormat="1" ht="25.5">
      <c r="B107" s="107" t="s">
        <v>129</v>
      </c>
      <c r="C107" s="91"/>
      <c r="D107" s="91"/>
      <c r="E107" s="91"/>
      <c r="F107" s="106">
        <f>D17</f>
        <v>500</v>
      </c>
      <c r="G107" s="91">
        <f>SUM(H107:W107)</f>
        <v>0</v>
      </c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91"/>
      <c r="Y107" s="91">
        <f>F107</f>
        <v>500</v>
      </c>
      <c r="Z107" s="91"/>
    </row>
    <row r="108" spans="1:26" s="13" customFormat="1" ht="38.25" customHeight="1">
      <c r="B108" s="107" t="s">
        <v>130</v>
      </c>
      <c r="C108" s="91"/>
      <c r="D108" s="91"/>
      <c r="E108" s="91"/>
      <c r="F108" s="106"/>
      <c r="G108" s="91">
        <f>SUM(H108:W108)</f>
        <v>-13.95</v>
      </c>
      <c r="H108" s="106"/>
      <c r="I108" s="106"/>
      <c r="J108" s="106"/>
      <c r="K108" s="106"/>
      <c r="L108" s="106"/>
      <c r="M108" s="106">
        <f>-C188</f>
        <v>-13.95</v>
      </c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91"/>
      <c r="Y108" s="91">
        <f>G108+X108</f>
        <v>-13.95</v>
      </c>
      <c r="Z108" s="91"/>
    </row>
    <row r="109" spans="1:26" s="13" customFormat="1" ht="25.5">
      <c r="B109" s="107" t="s">
        <v>131</v>
      </c>
      <c r="C109" s="91"/>
      <c r="D109" s="91"/>
      <c r="E109" s="91"/>
      <c r="F109" s="106">
        <f>C17</f>
        <v>628.94000000000005</v>
      </c>
      <c r="G109" s="91">
        <f>SUM(H109:W109)</f>
        <v>0</v>
      </c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91"/>
      <c r="Y109" s="91">
        <f>F109</f>
        <v>628.94000000000005</v>
      </c>
      <c r="Z109" s="91"/>
    </row>
    <row r="110" spans="1:26" s="13" customFormat="1">
      <c r="B110" s="106"/>
      <c r="C110" s="91"/>
      <c r="D110" s="91"/>
      <c r="E110" s="91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91"/>
      <c r="Y110" s="91"/>
      <c r="Z110" s="91"/>
    </row>
    <row r="111" spans="1:26" s="13" customFormat="1">
      <c r="B111" s="106"/>
      <c r="C111" s="91"/>
      <c r="D111" s="91"/>
      <c r="E111" s="91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91"/>
      <c r="Y111" s="91"/>
      <c r="Z111" s="91"/>
    </row>
    <row r="112" spans="1:26" s="13" customFormat="1">
      <c r="B112" s="108" t="s">
        <v>27</v>
      </c>
      <c r="C112" s="109"/>
      <c r="D112" s="109"/>
      <c r="E112" s="109"/>
      <c r="F112" s="109">
        <f>SUM(F45:F103)+F107-F109</f>
        <v>-1.000000070553142E-2</v>
      </c>
      <c r="G112" s="109">
        <f t="shared" ref="G112:X112" si="12">SUM(G45:G109)</f>
        <v>-7.5669248644771869E-11</v>
      </c>
      <c r="H112" s="109">
        <f>SUM(H45:H109)</f>
        <v>0</v>
      </c>
      <c r="I112" s="109">
        <f t="shared" si="12"/>
        <v>0</v>
      </c>
      <c r="J112" s="109">
        <f t="shared" si="12"/>
        <v>0</v>
      </c>
      <c r="K112" s="109">
        <f t="shared" si="12"/>
        <v>0</v>
      </c>
      <c r="L112" s="109">
        <f t="shared" si="12"/>
        <v>0</v>
      </c>
      <c r="M112" s="109">
        <f t="shared" si="12"/>
        <v>-1.8118839761882555E-13</v>
      </c>
      <c r="N112" s="109">
        <f t="shared" si="12"/>
        <v>0</v>
      </c>
      <c r="O112" s="109">
        <f t="shared" si="12"/>
        <v>0</v>
      </c>
      <c r="P112" s="109">
        <f t="shared" si="12"/>
        <v>0</v>
      </c>
      <c r="Q112" s="109">
        <f t="shared" si="12"/>
        <v>0</v>
      </c>
      <c r="R112" s="109">
        <f t="shared" si="12"/>
        <v>0</v>
      </c>
      <c r="S112" s="109">
        <f t="shared" si="12"/>
        <v>0</v>
      </c>
      <c r="T112" s="109">
        <f t="shared" si="12"/>
        <v>0</v>
      </c>
      <c r="U112" s="109">
        <f t="shared" si="12"/>
        <v>0</v>
      </c>
      <c r="V112" s="109">
        <f t="shared" si="12"/>
        <v>0</v>
      </c>
      <c r="W112" s="109">
        <f t="shared" si="12"/>
        <v>0</v>
      </c>
      <c r="X112" s="109">
        <f t="shared" si="12"/>
        <v>0</v>
      </c>
      <c r="Y112" s="109">
        <f>Y105+Y107+Y108-Y109</f>
        <v>-1.0000000373793227E-2</v>
      </c>
      <c r="Z112" s="91"/>
    </row>
    <row r="113" spans="1:24" s="13" customFormat="1">
      <c r="B113" s="14"/>
      <c r="X113" s="14"/>
    </row>
    <row r="114" spans="1:24" s="13" customFormat="1">
      <c r="B114" s="14"/>
      <c r="X114" s="14"/>
    </row>
    <row r="115" spans="1:24" s="13" customFormat="1">
      <c r="B115" s="54" t="s">
        <v>15</v>
      </c>
      <c r="C115" s="114" t="s">
        <v>277</v>
      </c>
      <c r="X115" s="14"/>
    </row>
    <row r="116" spans="1:24" s="13" customFormat="1">
      <c r="B116" s="42" t="s">
        <v>39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4" s="13" customFormat="1"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4">
      <c r="A118" s="13">
        <v>1</v>
      </c>
      <c r="B118" s="55" t="s">
        <v>36</v>
      </c>
      <c r="D118" s="56" t="s">
        <v>40</v>
      </c>
      <c r="E118" s="56" t="s">
        <v>34</v>
      </c>
    </row>
    <row r="119" spans="1:24">
      <c r="B119" s="56" t="s">
        <v>30</v>
      </c>
      <c r="C119" s="58">
        <v>-34900</v>
      </c>
      <c r="D119" s="56">
        <f>IF(C119&gt;0,C119,0)</f>
        <v>0</v>
      </c>
      <c r="E119" s="56">
        <f>IF(C119&lt;0,C119,0)</f>
        <v>-34900</v>
      </c>
    </row>
    <row r="120" spans="1:24">
      <c r="B120" s="56" t="s">
        <v>256</v>
      </c>
      <c r="C120" s="116">
        <v>163540.25</v>
      </c>
      <c r="F120" s="57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</row>
    <row r="121" spans="1:24">
      <c r="B121" s="56" t="s">
        <v>31</v>
      </c>
      <c r="C121" s="58">
        <v>0</v>
      </c>
    </row>
    <row r="122" spans="1:24">
      <c r="B122" s="56" t="s">
        <v>79</v>
      </c>
      <c r="C122" s="58">
        <v>34900</v>
      </c>
    </row>
    <row r="123" spans="1:24">
      <c r="B123" s="56" t="s">
        <v>33</v>
      </c>
      <c r="C123" s="58">
        <v>0</v>
      </c>
    </row>
    <row r="124" spans="1:24" ht="13.5" thickBot="1">
      <c r="B124" s="56" t="s">
        <v>32</v>
      </c>
      <c r="C124" s="59">
        <f>C119-C120+C121+C122+C123</f>
        <v>-163540.25</v>
      </c>
      <c r="D124" s="56">
        <f>IF(C124&gt;0,C124,0)</f>
        <v>0</v>
      </c>
      <c r="E124" s="56">
        <f>IF(C124&lt;0,C124,0)</f>
        <v>-163540.25</v>
      </c>
      <c r="G124" s="112"/>
    </row>
    <row r="125" spans="1:24" ht="13.5" thickTop="1"/>
    <row r="126" spans="1:24">
      <c r="B126" s="56" t="s">
        <v>138</v>
      </c>
      <c r="D126" s="56">
        <f>D124-D119</f>
        <v>0</v>
      </c>
      <c r="E126" s="56">
        <f>E124-E119</f>
        <v>-128640.25</v>
      </c>
    </row>
    <row r="128" spans="1:24">
      <c r="A128" s="56">
        <v>2</v>
      </c>
      <c r="B128" s="55" t="s">
        <v>35</v>
      </c>
    </row>
    <row r="129" spans="1:6">
      <c r="B129" s="56" t="s">
        <v>37</v>
      </c>
      <c r="C129" s="58">
        <v>55041.72</v>
      </c>
      <c r="D129" s="56">
        <f>C129</f>
        <v>55041.72</v>
      </c>
      <c r="E129" s="56">
        <f>IF(C129&lt;0,C129,0)</f>
        <v>0</v>
      </c>
    </row>
    <row r="130" spans="1:6">
      <c r="B130" s="56" t="s">
        <v>257</v>
      </c>
      <c r="C130" s="116">
        <v>-42075.66</v>
      </c>
    </row>
    <row r="131" spans="1:6" ht="13.5" thickBot="1">
      <c r="B131" s="56" t="s">
        <v>38</v>
      </c>
      <c r="C131" s="59">
        <f>C129-C130</f>
        <v>97117.38</v>
      </c>
      <c r="D131" s="56">
        <f>IF(C131&gt;0,C131,0)</f>
        <v>97117.38</v>
      </c>
      <c r="E131" s="56">
        <f>IF(C131&lt;0,C131,0)</f>
        <v>0</v>
      </c>
    </row>
    <row r="132" spans="1:6" ht="13.5" thickTop="1"/>
    <row r="133" spans="1:6">
      <c r="B133" s="56" t="s">
        <v>139</v>
      </c>
      <c r="D133" s="56">
        <f>D131-D129</f>
        <v>42075.66</v>
      </c>
      <c r="E133" s="56">
        <f>E131-E129</f>
        <v>0</v>
      </c>
    </row>
    <row r="135" spans="1:6">
      <c r="A135" s="56">
        <v>3</v>
      </c>
      <c r="B135" s="55" t="s">
        <v>172</v>
      </c>
    </row>
    <row r="136" spans="1:6">
      <c r="B136" s="56" t="s">
        <v>171</v>
      </c>
      <c r="C136" s="58">
        <v>375462</v>
      </c>
    </row>
    <row r="137" spans="1:6">
      <c r="B137" s="56" t="s">
        <v>258</v>
      </c>
      <c r="C137" s="58">
        <v>0</v>
      </c>
    </row>
    <row r="140" spans="1:6">
      <c r="A140" s="56">
        <v>4</v>
      </c>
      <c r="B140" s="55" t="s">
        <v>140</v>
      </c>
    </row>
    <row r="141" spans="1:6">
      <c r="C141" s="56" t="s">
        <v>42</v>
      </c>
      <c r="D141" s="56" t="s">
        <v>43</v>
      </c>
      <c r="E141" s="56" t="s">
        <v>47</v>
      </c>
    </row>
    <row r="142" spans="1:6">
      <c r="B142" s="56" t="s">
        <v>41</v>
      </c>
      <c r="C142" s="58">
        <v>0</v>
      </c>
      <c r="D142" s="58">
        <v>0</v>
      </c>
      <c r="E142" s="56">
        <f>SUM(C142:D142)</f>
        <v>0</v>
      </c>
    </row>
    <row r="143" spans="1:6">
      <c r="B143" s="56" t="s">
        <v>44</v>
      </c>
      <c r="C143" s="58"/>
      <c r="D143" s="58">
        <v>0</v>
      </c>
      <c r="E143" s="56">
        <f>SUM(C143:D143)</f>
        <v>0</v>
      </c>
      <c r="F143" s="114"/>
    </row>
    <row r="144" spans="1:6">
      <c r="B144" s="56" t="s">
        <v>259</v>
      </c>
      <c r="C144" s="58">
        <v>43020.66</v>
      </c>
      <c r="D144" s="58"/>
      <c r="E144" s="56">
        <f>SUM(C144:D144)</f>
        <v>43020.66</v>
      </c>
    </row>
    <row r="145" spans="1:5" ht="13.5" thickBot="1">
      <c r="B145" s="56" t="s">
        <v>45</v>
      </c>
      <c r="C145" s="59">
        <f>C142-C143+C144</f>
        <v>43020.66</v>
      </c>
      <c r="D145" s="59">
        <f>D142-D143+D144</f>
        <v>0</v>
      </c>
      <c r="E145" s="59">
        <f>E142-E143+E144</f>
        <v>43020.66</v>
      </c>
    </row>
    <row r="146" spans="1:5" ht="13.5" thickTop="1"/>
    <row r="147" spans="1:5">
      <c r="B147" s="56" t="s">
        <v>46</v>
      </c>
      <c r="E147" s="56">
        <f>E145-E142</f>
        <v>43020.66</v>
      </c>
    </row>
    <row r="150" spans="1:5">
      <c r="A150" s="56">
        <v>5</v>
      </c>
      <c r="B150" s="55" t="s">
        <v>143</v>
      </c>
    </row>
    <row r="151" spans="1:5">
      <c r="B151" s="64" t="s">
        <v>142</v>
      </c>
    </row>
    <row r="152" spans="1:5" ht="38.25">
      <c r="C152" s="57" t="s">
        <v>144</v>
      </c>
      <c r="D152" s="57" t="s">
        <v>145</v>
      </c>
      <c r="E152" s="56" t="s">
        <v>47</v>
      </c>
    </row>
    <row r="153" spans="1:5">
      <c r="B153" s="56" t="s">
        <v>48</v>
      </c>
      <c r="C153" s="58"/>
      <c r="D153" s="58"/>
      <c r="E153" s="56">
        <f>SUM(C153:D153)</f>
        <v>0</v>
      </c>
    </row>
    <row r="154" spans="1:5">
      <c r="B154" s="56" t="s">
        <v>49</v>
      </c>
      <c r="C154" s="58"/>
      <c r="D154" s="58"/>
      <c r="E154" s="56">
        <f>SUM(C154:D154)</f>
        <v>0</v>
      </c>
    </row>
    <row r="155" spans="1:5">
      <c r="B155" s="56" t="s">
        <v>50</v>
      </c>
      <c r="C155" s="58">
        <v>0</v>
      </c>
      <c r="D155" s="58"/>
      <c r="E155" s="56">
        <f>SUM(C155:D155)</f>
        <v>0</v>
      </c>
    </row>
    <row r="156" spans="1:5" ht="13.5" thickBot="1">
      <c r="B156" s="56" t="s">
        <v>51</v>
      </c>
      <c r="C156" s="59">
        <f>C153-C154+C155</f>
        <v>0</v>
      </c>
      <c r="D156" s="59">
        <f>D153-D154+D155</f>
        <v>0</v>
      </c>
      <c r="E156" s="59">
        <f>E153-E154+E155</f>
        <v>0</v>
      </c>
    </row>
    <row r="157" spans="1:5" ht="13.5" thickTop="1"/>
    <row r="158" spans="1:5">
      <c r="B158" s="56" t="s">
        <v>46</v>
      </c>
      <c r="E158" s="56">
        <f>E156-E153</f>
        <v>0</v>
      </c>
    </row>
    <row r="160" spans="1:5">
      <c r="B160" s="64" t="s">
        <v>148</v>
      </c>
    </row>
    <row r="161" spans="1:5" ht="38.25">
      <c r="C161" s="57" t="s">
        <v>144</v>
      </c>
      <c r="D161" s="57" t="s">
        <v>145</v>
      </c>
      <c r="E161" s="56" t="s">
        <v>47</v>
      </c>
    </row>
    <row r="162" spans="1:5">
      <c r="B162" s="56" t="s">
        <v>48</v>
      </c>
      <c r="C162" s="58"/>
      <c r="D162" s="58"/>
      <c r="E162" s="56">
        <f>SUM(C162:D162)</f>
        <v>0</v>
      </c>
    </row>
    <row r="163" spans="1:5">
      <c r="B163" s="56" t="s">
        <v>49</v>
      </c>
      <c r="C163" s="58"/>
      <c r="D163" s="58"/>
      <c r="E163" s="56">
        <f>SUM(C163:D163)</f>
        <v>0</v>
      </c>
    </row>
    <row r="164" spans="1:5">
      <c r="B164" s="56" t="s">
        <v>50</v>
      </c>
      <c r="C164" s="58"/>
      <c r="D164" s="58"/>
      <c r="E164" s="56">
        <f>SUM(C164:D164)</f>
        <v>0</v>
      </c>
    </row>
    <row r="165" spans="1:5" ht="26.25" thickBot="1">
      <c r="B165" s="57" t="s">
        <v>146</v>
      </c>
      <c r="C165" s="59">
        <f>C162-C163+C164</f>
        <v>0</v>
      </c>
      <c r="D165" s="59">
        <f>D162-D163+D164</f>
        <v>0</v>
      </c>
      <c r="E165" s="59">
        <f>E162-E163+E164</f>
        <v>0</v>
      </c>
    </row>
    <row r="166" spans="1:5" ht="13.5" thickTop="1"/>
    <row r="167" spans="1:5">
      <c r="B167" s="56" t="s">
        <v>147</v>
      </c>
      <c r="C167" s="56">
        <f>C165-C162</f>
        <v>0</v>
      </c>
      <c r="D167" s="56">
        <f>D165-D162</f>
        <v>0</v>
      </c>
      <c r="E167" s="56">
        <f>E165-E162</f>
        <v>0</v>
      </c>
    </row>
    <row r="170" spans="1:5">
      <c r="A170" s="56">
        <v>6</v>
      </c>
      <c r="B170" s="55" t="s">
        <v>62</v>
      </c>
    </row>
    <row r="172" spans="1:5">
      <c r="B172" s="56" t="s">
        <v>53</v>
      </c>
      <c r="C172" s="58">
        <v>589156.63</v>
      </c>
    </row>
    <row r="173" spans="1:5">
      <c r="B173" s="56" t="s">
        <v>52</v>
      </c>
      <c r="C173" s="58">
        <v>588958.88</v>
      </c>
    </row>
    <row r="174" spans="1:5" ht="25.5">
      <c r="B174" s="57" t="s">
        <v>208</v>
      </c>
      <c r="C174" s="58">
        <v>0</v>
      </c>
    </row>
    <row r="175" spans="1:5" ht="25.5">
      <c r="B175" s="57" t="s">
        <v>207</v>
      </c>
      <c r="C175" s="58">
        <v>0</v>
      </c>
    </row>
    <row r="176" spans="1:5" ht="13.5" thickBot="1">
      <c r="B176" s="56" t="s">
        <v>54</v>
      </c>
      <c r="C176" s="59">
        <f>C172-C173+C174-C175</f>
        <v>197.75</v>
      </c>
    </row>
    <row r="177" spans="1:7" ht="13.5" thickTop="1"/>
    <row r="179" spans="1:7">
      <c r="A179" s="56">
        <v>7</v>
      </c>
      <c r="B179" s="55" t="s">
        <v>159</v>
      </c>
    </row>
    <row r="180" spans="1:7">
      <c r="C180" s="56" t="s">
        <v>56</v>
      </c>
    </row>
    <row r="181" spans="1:7">
      <c r="A181" s="66" t="s">
        <v>1</v>
      </c>
      <c r="B181" s="73" t="s">
        <v>150</v>
      </c>
      <c r="C181" s="58">
        <v>0</v>
      </c>
    </row>
    <row r="182" spans="1:7">
      <c r="A182" s="66" t="s">
        <v>2</v>
      </c>
      <c r="B182" s="73" t="s">
        <v>151</v>
      </c>
      <c r="C182" s="58">
        <v>0</v>
      </c>
    </row>
    <row r="183" spans="1:7" ht="25.5">
      <c r="A183" s="66" t="s">
        <v>3</v>
      </c>
      <c r="B183" s="73" t="s">
        <v>209</v>
      </c>
      <c r="C183" s="58">
        <v>0</v>
      </c>
    </row>
    <row r="184" spans="1:7" ht="25.5">
      <c r="A184" s="66" t="s">
        <v>3</v>
      </c>
      <c r="B184" s="73" t="s">
        <v>210</v>
      </c>
      <c r="C184" s="58">
        <v>0</v>
      </c>
    </row>
    <row r="185" spans="1:7">
      <c r="A185" s="66" t="s">
        <v>4</v>
      </c>
      <c r="B185" s="73" t="s">
        <v>152</v>
      </c>
      <c r="C185" s="58"/>
    </row>
    <row r="186" spans="1:7">
      <c r="A186" s="66" t="s">
        <v>5</v>
      </c>
      <c r="B186" s="66" t="s">
        <v>153</v>
      </c>
      <c r="C186" s="58">
        <v>0</v>
      </c>
    </row>
    <row r="187" spans="1:7">
      <c r="A187" s="66" t="s">
        <v>6</v>
      </c>
      <c r="B187" s="66" t="s">
        <v>154</v>
      </c>
      <c r="C187" s="58">
        <v>-3128.74</v>
      </c>
    </row>
    <row r="188" spans="1:7" ht="25.5">
      <c r="A188" s="66" t="s">
        <v>7</v>
      </c>
      <c r="B188" s="73" t="s">
        <v>155</v>
      </c>
      <c r="C188" s="58">
        <v>13.95</v>
      </c>
    </row>
    <row r="189" spans="1:7" s="66" customFormat="1" ht="38.25">
      <c r="A189" s="66" t="s">
        <v>7</v>
      </c>
      <c r="B189" s="67" t="s">
        <v>161</v>
      </c>
      <c r="C189" s="68">
        <v>0</v>
      </c>
      <c r="E189" s="56"/>
      <c r="G189" s="67"/>
    </row>
    <row r="190" spans="1:7">
      <c r="A190" s="66" t="s">
        <v>8</v>
      </c>
      <c r="B190" s="66" t="s">
        <v>156</v>
      </c>
      <c r="C190" s="58">
        <v>0</v>
      </c>
    </row>
    <row r="191" spans="1:7">
      <c r="A191" s="66" t="s">
        <v>1</v>
      </c>
      <c r="B191" s="66" t="s">
        <v>158</v>
      </c>
      <c r="C191" s="58">
        <v>0</v>
      </c>
    </row>
    <row r="192" spans="1:7" ht="25.5">
      <c r="A192" s="66" t="s">
        <v>2</v>
      </c>
      <c r="B192" s="74" t="s">
        <v>217</v>
      </c>
      <c r="C192" s="58">
        <v>0</v>
      </c>
    </row>
    <row r="193" spans="1:7">
      <c r="A193" s="66" t="s">
        <v>2</v>
      </c>
      <c r="B193" s="74" t="s">
        <v>218</v>
      </c>
      <c r="C193" s="58">
        <v>0</v>
      </c>
    </row>
    <row r="194" spans="1:7">
      <c r="A194" s="66" t="s">
        <v>2</v>
      </c>
      <c r="B194" s="74" t="s">
        <v>219</v>
      </c>
      <c r="C194" s="115">
        <f>3613.9-1718</f>
        <v>1895.9</v>
      </c>
    </row>
    <row r="195" spans="1:7">
      <c r="A195" s="66" t="s">
        <v>2</v>
      </c>
      <c r="B195" s="74" t="s">
        <v>220</v>
      </c>
      <c r="C195" s="58">
        <v>0</v>
      </c>
    </row>
    <row r="196" spans="1:7">
      <c r="A196" s="66" t="s">
        <v>3</v>
      </c>
      <c r="B196" s="66" t="s">
        <v>109</v>
      </c>
      <c r="C196" s="58">
        <v>0</v>
      </c>
    </row>
    <row r="197" spans="1:7">
      <c r="A197" s="66" t="s">
        <v>14</v>
      </c>
      <c r="B197" s="66" t="s">
        <v>110</v>
      </c>
      <c r="C197" s="58">
        <v>0</v>
      </c>
    </row>
    <row r="198" spans="1:7">
      <c r="A198" s="66" t="s">
        <v>4</v>
      </c>
      <c r="B198" s="66" t="s">
        <v>157</v>
      </c>
      <c r="C198" s="58">
        <v>0</v>
      </c>
    </row>
    <row r="199" spans="1:7" ht="13.5" thickBot="1">
      <c r="B199" s="56" t="s">
        <v>160</v>
      </c>
      <c r="C199" s="59">
        <f>SUM(C181:C198)</f>
        <v>-1218.8899999999999</v>
      </c>
      <c r="D199" s="59"/>
    </row>
    <row r="200" spans="1:7" ht="13.5" thickTop="1"/>
    <row r="201" spans="1:7">
      <c r="B201" s="67" t="s">
        <v>162</v>
      </c>
      <c r="C201" s="58">
        <v>499.11</v>
      </c>
    </row>
    <row r="202" spans="1:7">
      <c r="B202" s="67" t="s">
        <v>163</v>
      </c>
      <c r="C202" s="58">
        <v>1718</v>
      </c>
    </row>
    <row r="203" spans="1:7" ht="13.5" thickBot="1"/>
    <row r="204" spans="1:7" ht="13.5" thickBot="1">
      <c r="B204" s="60" t="s">
        <v>57</v>
      </c>
      <c r="C204" s="61">
        <f>C201-C199-C202</f>
        <v>0</v>
      </c>
    </row>
    <row r="205" spans="1:7">
      <c r="B205" s="84"/>
      <c r="C205" s="84"/>
    </row>
    <row r="207" spans="1:7" s="66" customFormat="1">
      <c r="A207" s="66">
        <v>8</v>
      </c>
      <c r="B207" s="65" t="s">
        <v>164</v>
      </c>
      <c r="G207" s="67"/>
    </row>
    <row r="208" spans="1:7" s="66" customFormat="1">
      <c r="C208" s="66" t="s">
        <v>56</v>
      </c>
      <c r="F208" s="67"/>
    </row>
    <row r="209" spans="1:6" s="66" customFormat="1" ht="25.5">
      <c r="A209" s="66" t="s">
        <v>14</v>
      </c>
      <c r="B209" s="67" t="s">
        <v>270</v>
      </c>
      <c r="C209" s="68">
        <v>0</v>
      </c>
      <c r="F209" s="67"/>
    </row>
    <row r="210" spans="1:6" s="66" customFormat="1">
      <c r="B210" s="67"/>
      <c r="F210" s="67"/>
    </row>
    <row r="212" spans="1:6">
      <c r="A212" s="56">
        <v>9</v>
      </c>
      <c r="B212" s="55" t="s">
        <v>20</v>
      </c>
      <c r="C212" s="56" t="s">
        <v>55</v>
      </c>
      <c r="D212" s="56" t="s">
        <v>56</v>
      </c>
      <c r="E212" s="56" t="s">
        <v>59</v>
      </c>
    </row>
    <row r="213" spans="1:6">
      <c r="B213" s="56" t="s">
        <v>167</v>
      </c>
      <c r="C213" s="58">
        <v>0</v>
      </c>
      <c r="D213" s="58">
        <v>0</v>
      </c>
      <c r="E213" s="56">
        <f t="shared" ref="E213:E219" si="13">D213-C213</f>
        <v>0</v>
      </c>
    </row>
    <row r="214" spans="1:6">
      <c r="B214" s="56" t="s">
        <v>212</v>
      </c>
      <c r="C214" s="58">
        <v>0</v>
      </c>
      <c r="D214" s="58">
        <v>0</v>
      </c>
      <c r="E214" s="56">
        <f t="shared" si="13"/>
        <v>0</v>
      </c>
    </row>
    <row r="215" spans="1:6">
      <c r="B215" s="56" t="s">
        <v>211</v>
      </c>
      <c r="C215" s="58">
        <v>0</v>
      </c>
      <c r="D215" s="58">
        <v>0</v>
      </c>
      <c r="E215" s="56">
        <f t="shared" si="13"/>
        <v>0</v>
      </c>
    </row>
    <row r="216" spans="1:6">
      <c r="B216" s="56" t="s">
        <v>169</v>
      </c>
      <c r="C216" s="58">
        <v>0</v>
      </c>
      <c r="D216" s="58">
        <v>0</v>
      </c>
      <c r="E216" s="56">
        <f t="shared" si="13"/>
        <v>0</v>
      </c>
    </row>
    <row r="217" spans="1:6">
      <c r="B217" s="56" t="s">
        <v>166</v>
      </c>
      <c r="C217" s="58">
        <v>0</v>
      </c>
      <c r="D217" s="58">
        <v>0</v>
      </c>
      <c r="E217" s="56">
        <f t="shared" si="13"/>
        <v>0</v>
      </c>
    </row>
    <row r="218" spans="1:6">
      <c r="B218" s="56" t="s">
        <v>58</v>
      </c>
      <c r="C218" s="58">
        <v>78357.61</v>
      </c>
      <c r="D218" s="58">
        <v>271510.34999999998</v>
      </c>
      <c r="E218" s="56">
        <f t="shared" si="13"/>
        <v>193152.74</v>
      </c>
    </row>
    <row r="219" spans="1:6">
      <c r="B219" s="56" t="s">
        <v>170</v>
      </c>
      <c r="C219" s="58">
        <v>0</v>
      </c>
      <c r="D219" s="58">
        <v>0</v>
      </c>
      <c r="E219" s="56">
        <f t="shared" si="13"/>
        <v>0</v>
      </c>
    </row>
    <row r="220" spans="1:6" ht="13.5" thickBot="1">
      <c r="B220" s="56" t="s">
        <v>160</v>
      </c>
      <c r="C220" s="59">
        <f>SUM(C213:C219)</f>
        <v>78357.61</v>
      </c>
      <c r="D220" s="59">
        <f>SUM(D213:D219)</f>
        <v>271510.34999999998</v>
      </c>
      <c r="E220" s="59">
        <f>SUM(E213:E219)</f>
        <v>193152.74</v>
      </c>
    </row>
    <row r="221" spans="1:6" ht="13.5" thickTop="1"/>
    <row r="223" spans="1:6">
      <c r="A223" s="56">
        <v>10</v>
      </c>
      <c r="B223" s="55" t="s">
        <v>61</v>
      </c>
    </row>
    <row r="224" spans="1:6">
      <c r="B224" s="56" t="s">
        <v>175</v>
      </c>
      <c r="C224" s="58">
        <v>0</v>
      </c>
    </row>
    <row r="225" spans="1:7">
      <c r="B225" s="56" t="s">
        <v>167</v>
      </c>
      <c r="C225" s="58">
        <v>0</v>
      </c>
    </row>
    <row r="226" spans="1:7">
      <c r="B226" s="56" t="s">
        <v>212</v>
      </c>
      <c r="C226" s="58">
        <v>0</v>
      </c>
    </row>
    <row r="227" spans="1:7">
      <c r="B227" s="56" t="s">
        <v>211</v>
      </c>
      <c r="C227" s="58">
        <v>0</v>
      </c>
    </row>
    <row r="228" spans="1:7">
      <c r="B228" s="56" t="s">
        <v>169</v>
      </c>
      <c r="C228" s="58">
        <v>0</v>
      </c>
    </row>
    <row r="229" spans="1:7">
      <c r="B229" s="56" t="s">
        <v>58</v>
      </c>
      <c r="C229" s="58">
        <v>0</v>
      </c>
    </row>
    <row r="230" spans="1:7">
      <c r="B230" s="56" t="s">
        <v>166</v>
      </c>
      <c r="C230" s="58">
        <v>0</v>
      </c>
    </row>
    <row r="231" spans="1:7" ht="13.5" thickBot="1">
      <c r="B231" s="56" t="s">
        <v>89</v>
      </c>
      <c r="C231" s="59">
        <f>SUM(C224:C230)</f>
        <v>0</v>
      </c>
    </row>
    <row r="232" spans="1:7" ht="13.5" thickTop="1"/>
    <row r="233" spans="1:7">
      <c r="B233" s="56" t="s">
        <v>176</v>
      </c>
      <c r="C233" s="56">
        <f>SUM(C225:C230)</f>
        <v>0</v>
      </c>
    </row>
    <row r="236" spans="1:7" s="66" customFormat="1">
      <c r="A236" s="66">
        <v>11</v>
      </c>
      <c r="B236" s="65" t="s">
        <v>174</v>
      </c>
      <c r="C236" s="68">
        <v>0</v>
      </c>
      <c r="G236" s="67"/>
    </row>
    <row r="237" spans="1:7" s="66" customFormat="1">
      <c r="B237" s="65"/>
      <c r="G237" s="67"/>
    </row>
    <row r="239" spans="1:7" s="66" customFormat="1">
      <c r="A239" s="66">
        <v>12</v>
      </c>
      <c r="B239" s="65" t="s">
        <v>179</v>
      </c>
      <c r="G239" s="67"/>
    </row>
    <row r="240" spans="1:7" s="66" customFormat="1">
      <c r="B240" s="56" t="s">
        <v>175</v>
      </c>
      <c r="C240" s="68">
        <v>0</v>
      </c>
      <c r="G240" s="67"/>
    </row>
    <row r="241" spans="1:7" s="66" customFormat="1">
      <c r="B241" s="56" t="s">
        <v>167</v>
      </c>
      <c r="C241" s="68">
        <v>0</v>
      </c>
      <c r="G241" s="67"/>
    </row>
    <row r="242" spans="1:7" s="66" customFormat="1">
      <c r="B242" s="56" t="s">
        <v>168</v>
      </c>
      <c r="C242" s="68">
        <v>0</v>
      </c>
      <c r="G242" s="67"/>
    </row>
    <row r="243" spans="1:7" s="66" customFormat="1">
      <c r="B243" s="56" t="s">
        <v>169</v>
      </c>
      <c r="C243" s="68">
        <v>0</v>
      </c>
      <c r="G243" s="67"/>
    </row>
    <row r="244" spans="1:7" s="66" customFormat="1">
      <c r="B244" s="56" t="s">
        <v>58</v>
      </c>
      <c r="C244" s="68">
        <v>85195.94</v>
      </c>
      <c r="G244" s="67"/>
    </row>
    <row r="245" spans="1:7" s="66" customFormat="1">
      <c r="B245" s="56" t="s">
        <v>166</v>
      </c>
      <c r="C245" s="68">
        <v>0</v>
      </c>
      <c r="G245" s="67"/>
    </row>
    <row r="246" spans="1:7" s="66" customFormat="1" ht="13.5" thickBot="1">
      <c r="B246" s="66" t="s">
        <v>180</v>
      </c>
      <c r="C246" s="69">
        <f>SUM(C240:C245)</f>
        <v>85195.94</v>
      </c>
      <c r="G246" s="67"/>
    </row>
    <row r="247" spans="1:7" s="66" customFormat="1" ht="13.5" thickTop="1">
      <c r="G247" s="67"/>
    </row>
    <row r="248" spans="1:7" s="66" customFormat="1">
      <c r="B248" s="66" t="s">
        <v>176</v>
      </c>
      <c r="C248" s="66">
        <f>SUM(C241:C245)</f>
        <v>85195.94</v>
      </c>
      <c r="G248" s="67"/>
    </row>
    <row r="249" spans="1:7" s="66" customFormat="1">
      <c r="G249" s="67"/>
    </row>
    <row r="250" spans="1:7" s="66" customFormat="1">
      <c r="G250" s="67"/>
    </row>
    <row r="251" spans="1:7">
      <c r="A251" s="56">
        <v>13</v>
      </c>
      <c r="B251" s="55" t="s">
        <v>181</v>
      </c>
    </row>
    <row r="253" spans="1:7">
      <c r="B253" s="56" t="s">
        <v>260</v>
      </c>
      <c r="C253" s="58">
        <v>0</v>
      </c>
    </row>
    <row r="254" spans="1:7">
      <c r="B254" s="56" t="s">
        <v>262</v>
      </c>
      <c r="C254" s="58">
        <v>0</v>
      </c>
    </row>
    <row r="255" spans="1:7">
      <c r="B255" s="56" t="s">
        <v>263</v>
      </c>
      <c r="C255" s="58">
        <v>0</v>
      </c>
    </row>
    <row r="256" spans="1:7" ht="13.5" thickBot="1">
      <c r="B256" s="56" t="s">
        <v>261</v>
      </c>
      <c r="C256" s="59">
        <f>C253+C254-C255</f>
        <v>0</v>
      </c>
    </row>
    <row r="257" spans="1:23" ht="13.5" thickTop="1"/>
    <row r="258" spans="1:23">
      <c r="B258" s="56" t="s">
        <v>264</v>
      </c>
      <c r="C258" s="56">
        <f>C256-C253</f>
        <v>0</v>
      </c>
    </row>
    <row r="259" spans="1:23" s="75" customFormat="1">
      <c r="A259" s="56"/>
      <c r="B259" s="71" t="s">
        <v>233</v>
      </c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</row>
    <row r="260" spans="1:23" s="75" customFormat="1">
      <c r="B260" s="75" t="s">
        <v>189</v>
      </c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</row>
    <row r="261" spans="1:23" s="75" customFormat="1"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</row>
    <row r="262" spans="1:23" s="75" customFormat="1"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</row>
    <row r="263" spans="1:23">
      <c r="A263" s="75">
        <v>14</v>
      </c>
      <c r="B263" s="55" t="s">
        <v>184</v>
      </c>
      <c r="C263" s="56" t="s">
        <v>182</v>
      </c>
    </row>
    <row r="264" spans="1:23">
      <c r="B264" s="56" t="s">
        <v>64</v>
      </c>
      <c r="C264" s="66">
        <v>273802.65000000002</v>
      </c>
    </row>
    <row r="265" spans="1:23">
      <c r="B265" s="56" t="s">
        <v>65</v>
      </c>
      <c r="C265" s="58"/>
    </row>
    <row r="266" spans="1:23">
      <c r="B266" s="56" t="s">
        <v>66</v>
      </c>
      <c r="C266" s="58">
        <v>0</v>
      </c>
    </row>
    <row r="267" spans="1:23">
      <c r="B267" s="56" t="s">
        <v>183</v>
      </c>
      <c r="C267" s="58">
        <v>0</v>
      </c>
    </row>
    <row r="268" spans="1:23">
      <c r="B268" s="56" t="s">
        <v>67</v>
      </c>
      <c r="C268" s="58">
        <v>273802.65000000002</v>
      </c>
    </row>
    <row r="269" spans="1:23">
      <c r="B269" s="56" t="s">
        <v>185</v>
      </c>
      <c r="C269" s="58">
        <v>0</v>
      </c>
    </row>
    <row r="270" spans="1:23">
      <c r="B270" s="56" t="s">
        <v>136</v>
      </c>
      <c r="C270" s="58">
        <v>0</v>
      </c>
    </row>
    <row r="271" spans="1:23">
      <c r="B271" s="56" t="s">
        <v>137</v>
      </c>
      <c r="C271" s="58">
        <v>0</v>
      </c>
    </row>
    <row r="272" spans="1:23" ht="13.5" thickBot="1"/>
    <row r="273" spans="1:23" ht="13.5" thickBot="1">
      <c r="B273" s="60" t="s">
        <v>76</v>
      </c>
      <c r="C273" s="61">
        <f>C264-SUM(C265:C271)</f>
        <v>0</v>
      </c>
    </row>
    <row r="275" spans="1:23" s="47" customFormat="1">
      <c r="A275" s="56">
        <v>15</v>
      </c>
      <c r="B275" s="70" t="s">
        <v>188</v>
      </c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</row>
    <row r="276" spans="1:23" s="47" customFormat="1">
      <c r="B276" s="70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</row>
    <row r="277" spans="1:23" s="47" customFormat="1">
      <c r="B277" s="47" t="s">
        <v>187</v>
      </c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</row>
    <row r="278" spans="1:23" s="47" customFormat="1">
      <c r="B278" s="47" t="s">
        <v>175</v>
      </c>
      <c r="C278" s="78">
        <v>0</v>
      </c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</row>
    <row r="279" spans="1:23" s="47" customFormat="1">
      <c r="B279" s="47" t="s">
        <v>167</v>
      </c>
      <c r="C279" s="78">
        <v>0</v>
      </c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</row>
    <row r="280" spans="1:23" s="47" customFormat="1">
      <c r="B280" s="47" t="s">
        <v>212</v>
      </c>
      <c r="C280" s="78">
        <v>0</v>
      </c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</row>
    <row r="281" spans="1:23" s="47" customFormat="1">
      <c r="B281" s="47" t="s">
        <v>211</v>
      </c>
      <c r="C281" s="78">
        <v>0</v>
      </c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</row>
    <row r="282" spans="1:23" s="47" customFormat="1">
      <c r="B282" s="47" t="s">
        <v>169</v>
      </c>
      <c r="C282" s="78">
        <v>0</v>
      </c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</row>
    <row r="283" spans="1:23" s="47" customFormat="1">
      <c r="B283" s="47" t="s">
        <v>58</v>
      </c>
      <c r="C283" s="78">
        <v>0</v>
      </c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</row>
    <row r="284" spans="1:23" s="47" customFormat="1">
      <c r="B284" s="47" t="s">
        <v>166</v>
      </c>
      <c r="C284" s="78">
        <v>0</v>
      </c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</row>
    <row r="285" spans="1:23" s="79" customFormat="1" ht="13.5" thickBot="1">
      <c r="B285" s="79" t="s">
        <v>160</v>
      </c>
      <c r="C285" s="80">
        <f>SUM(C278:C284)</f>
        <v>0</v>
      </c>
      <c r="G285" s="81"/>
    </row>
    <row r="286" spans="1:23" s="79" customFormat="1" ht="13.5" thickTop="1">
      <c r="G286" s="81"/>
    </row>
    <row r="287" spans="1:23" s="79" customFormat="1">
      <c r="B287" s="79" t="s">
        <v>176</v>
      </c>
      <c r="C287" s="79">
        <f>SUM(C279:C284)</f>
        <v>0</v>
      </c>
      <c r="G287" s="81"/>
    </row>
    <row r="288" spans="1:23" s="47" customFormat="1"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</row>
    <row r="289" spans="1:23" s="47" customFormat="1"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</row>
    <row r="290" spans="1:23">
      <c r="A290" s="47">
        <v>16</v>
      </c>
      <c r="B290" s="55" t="s">
        <v>190</v>
      </c>
    </row>
    <row r="291" spans="1:23">
      <c r="C291" s="57" t="s">
        <v>72</v>
      </c>
      <c r="D291" s="57" t="s">
        <v>73</v>
      </c>
      <c r="E291" s="57" t="s">
        <v>74</v>
      </c>
      <c r="F291" s="57" t="s">
        <v>56</v>
      </c>
      <c r="G291" s="57" t="s">
        <v>75</v>
      </c>
    </row>
    <row r="292" spans="1:23">
      <c r="B292" s="56" t="s">
        <v>192</v>
      </c>
      <c r="C292" s="58">
        <v>0</v>
      </c>
      <c r="D292" s="58">
        <v>0</v>
      </c>
      <c r="E292" s="58">
        <v>0</v>
      </c>
      <c r="F292" s="56">
        <f>C292+D292-E292</f>
        <v>0</v>
      </c>
      <c r="G292" s="57">
        <f>F292-C292</f>
        <v>0</v>
      </c>
    </row>
    <row r="293" spans="1:23">
      <c r="B293" s="56" t="s">
        <v>191</v>
      </c>
      <c r="C293" s="58">
        <v>-317960.77</v>
      </c>
      <c r="D293" s="58">
        <v>129339.21</v>
      </c>
      <c r="E293" s="58">
        <v>805936.5</v>
      </c>
      <c r="F293" s="56">
        <f>C293+D293-E293</f>
        <v>-994558.06</v>
      </c>
      <c r="G293" s="57">
        <f>F293-C293</f>
        <v>-676597.29</v>
      </c>
    </row>
    <row r="295" spans="1:23">
      <c r="B295" s="56" t="s">
        <v>194</v>
      </c>
      <c r="C295" s="58">
        <v>16766.66</v>
      </c>
    </row>
    <row r="296" spans="1:23">
      <c r="B296" s="56" t="s">
        <v>193</v>
      </c>
      <c r="C296" s="56">
        <f>D292</f>
        <v>0</v>
      </c>
    </row>
    <row r="297" spans="1:23" ht="38.25">
      <c r="B297" s="57" t="s">
        <v>195</v>
      </c>
      <c r="C297" s="58">
        <v>0</v>
      </c>
    </row>
    <row r="299" spans="1:23" ht="25.5">
      <c r="B299" s="57" t="s">
        <v>196</v>
      </c>
      <c r="C299" s="56">
        <f>C295-E292-C297</f>
        <v>16766.66</v>
      </c>
    </row>
    <row r="302" spans="1:23">
      <c r="A302" s="56">
        <v>17</v>
      </c>
      <c r="B302" s="55" t="s">
        <v>77</v>
      </c>
    </row>
    <row r="303" spans="1:23">
      <c r="B303" s="56" t="s">
        <v>80</v>
      </c>
    </row>
    <row r="304" spans="1:23" ht="25.5">
      <c r="B304" s="57" t="s">
        <v>197</v>
      </c>
      <c r="C304" s="58"/>
    </row>
    <row r="305" spans="2:3" ht="25.5">
      <c r="B305" s="57" t="s">
        <v>213</v>
      </c>
      <c r="C305" s="58"/>
    </row>
    <row r="306" spans="2:3" ht="25.5">
      <c r="B306" s="57" t="s">
        <v>214</v>
      </c>
      <c r="C306" s="58"/>
    </row>
    <row r="307" spans="2:3">
      <c r="B307" s="56" t="s">
        <v>87</v>
      </c>
      <c r="C307" s="58"/>
    </row>
    <row r="308" spans="2:3">
      <c r="B308" s="56" t="s">
        <v>88</v>
      </c>
      <c r="C308" s="58"/>
    </row>
    <row r="309" spans="2:3">
      <c r="B309" s="56" t="s">
        <v>266</v>
      </c>
      <c r="C309" s="58"/>
    </row>
    <row r="310" spans="2:3">
      <c r="B310" s="58" t="s">
        <v>201</v>
      </c>
      <c r="C310" s="58"/>
    </row>
    <row r="311" spans="2:3">
      <c r="B311" s="58" t="s">
        <v>201</v>
      </c>
      <c r="C311" s="58"/>
    </row>
    <row r="312" spans="2:3">
      <c r="B312" s="58" t="s">
        <v>201</v>
      </c>
      <c r="C312" s="58"/>
    </row>
    <row r="313" spans="2:3">
      <c r="B313" s="56" t="s">
        <v>267</v>
      </c>
      <c r="C313" s="56">
        <f>SUM(C304:C312)</f>
        <v>0</v>
      </c>
    </row>
    <row r="315" spans="2:3">
      <c r="B315" s="56" t="s">
        <v>78</v>
      </c>
    </row>
    <row r="316" spans="2:3" ht="25.5">
      <c r="B316" s="57" t="s">
        <v>198</v>
      </c>
      <c r="C316" s="58"/>
    </row>
    <row r="317" spans="2:3" ht="25.5">
      <c r="B317" s="57" t="s">
        <v>215</v>
      </c>
      <c r="C317" s="58"/>
    </row>
    <row r="318" spans="2:3" ht="25.5">
      <c r="B318" s="57" t="s">
        <v>216</v>
      </c>
      <c r="C318" s="58"/>
    </row>
    <row r="319" spans="2:3">
      <c r="B319" s="56" t="s">
        <v>199</v>
      </c>
      <c r="C319" s="58"/>
    </row>
    <row r="320" spans="2:3">
      <c r="B320" s="56" t="s">
        <v>200</v>
      </c>
      <c r="C320" s="58"/>
    </row>
    <row r="321" spans="1:7">
      <c r="B321" s="56" t="s">
        <v>265</v>
      </c>
      <c r="C321" s="58"/>
    </row>
    <row r="322" spans="1:7">
      <c r="B322" s="58" t="s">
        <v>81</v>
      </c>
      <c r="C322" s="58"/>
    </row>
    <row r="323" spans="1:7">
      <c r="B323" s="58" t="s">
        <v>82</v>
      </c>
      <c r="C323" s="58"/>
    </row>
    <row r="324" spans="1:7">
      <c r="B324" s="58" t="s">
        <v>83</v>
      </c>
      <c r="C324" s="58"/>
    </row>
    <row r="325" spans="1:7">
      <c r="B325" s="58" t="s">
        <v>84</v>
      </c>
      <c r="C325" s="58"/>
    </row>
    <row r="326" spans="1:7">
      <c r="B326" s="58" t="s">
        <v>85</v>
      </c>
      <c r="C326" s="58"/>
    </row>
    <row r="327" spans="1:7">
      <c r="B327" s="58" t="s">
        <v>86</v>
      </c>
      <c r="C327" s="58"/>
    </row>
    <row r="328" spans="1:7">
      <c r="B328" s="56" t="s">
        <v>268</v>
      </c>
      <c r="C328" s="56">
        <f>SUM(C316:C327)</f>
        <v>0</v>
      </c>
    </row>
    <row r="330" spans="1:7">
      <c r="B330" s="56" t="s">
        <v>269</v>
      </c>
      <c r="C330" s="56">
        <f>C328-C313</f>
        <v>0</v>
      </c>
    </row>
    <row r="333" spans="1:7">
      <c r="A333" s="56">
        <v>18</v>
      </c>
      <c r="B333" s="55" t="s">
        <v>222</v>
      </c>
    </row>
    <row r="334" spans="1:7">
      <c r="B334" s="56" t="s">
        <v>68</v>
      </c>
    </row>
    <row r="335" spans="1:7" s="66" customFormat="1">
      <c r="B335" s="66" t="s">
        <v>223</v>
      </c>
      <c r="G335" s="67"/>
    </row>
    <row r="336" spans="1:7" s="66" customFormat="1">
      <c r="B336" s="66" t="s">
        <v>224</v>
      </c>
      <c r="C336" s="68"/>
      <c r="G336" s="67"/>
    </row>
    <row r="337" spans="2:7" s="66" customFormat="1">
      <c r="B337" s="66" t="s">
        <v>225</v>
      </c>
      <c r="C337" s="68"/>
      <c r="G337" s="67"/>
    </row>
    <row r="338" spans="2:7" s="66" customFormat="1">
      <c r="B338" s="66" t="s">
        <v>226</v>
      </c>
      <c r="C338" s="68"/>
      <c r="G338" s="67"/>
    </row>
    <row r="339" spans="2:7" s="66" customFormat="1">
      <c r="B339" s="66" t="s">
        <v>227</v>
      </c>
      <c r="G339" s="67"/>
    </row>
    <row r="340" spans="2:7" s="66" customFormat="1">
      <c r="B340" s="66" t="s">
        <v>228</v>
      </c>
      <c r="C340" s="68"/>
      <c r="G340" s="67"/>
    </row>
    <row r="341" spans="2:7" s="66" customFormat="1">
      <c r="B341" s="66" t="s">
        <v>229</v>
      </c>
      <c r="C341" s="68"/>
      <c r="G341" s="67"/>
    </row>
    <row r="342" spans="2:7" s="66" customFormat="1">
      <c r="B342" s="66" t="s">
        <v>230</v>
      </c>
      <c r="C342" s="68"/>
      <c r="G342" s="67"/>
    </row>
    <row r="343" spans="2:7" s="66" customFormat="1">
      <c r="B343" s="66" t="s">
        <v>231</v>
      </c>
      <c r="C343" s="68"/>
      <c r="G343" s="67"/>
    </row>
    <row r="344" spans="2:7" s="66" customFormat="1">
      <c r="B344" s="66" t="s">
        <v>232</v>
      </c>
      <c r="G344" s="67"/>
    </row>
    <row r="346" spans="2:7">
      <c r="B346" s="56" t="s">
        <v>69</v>
      </c>
    </row>
    <row r="347" spans="2:7">
      <c r="B347" s="56" t="s">
        <v>70</v>
      </c>
    </row>
  </sheetData>
  <phoneticPr fontId="0" type="noConversion"/>
  <pageMargins left="0.47" right="0.3" top="0.64" bottom="0.78740157480314965" header="0.39370078740157483" footer="0.39370078740157483"/>
  <pageSetup paperSize="9" scale="36" orientation="landscape" r:id="rId1"/>
  <headerFooter alignWithMargins="0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347"/>
  <sheetViews>
    <sheetView topLeftCell="A58" zoomScale="75" workbookViewId="0">
      <selection activeCell="B148" sqref="B148"/>
    </sheetView>
  </sheetViews>
  <sheetFormatPr defaultColWidth="9.140625" defaultRowHeight="12.75" outlineLevelCol="1"/>
  <cols>
    <col min="1" max="1" width="9.140625" style="56"/>
    <col min="2" max="2" width="53.140625" style="56" customWidth="1"/>
    <col min="3" max="3" width="12.28515625" style="56" customWidth="1" outlineLevel="1"/>
    <col min="4" max="4" width="12.7109375" style="56" customWidth="1" outlineLevel="1"/>
    <col min="5" max="5" width="11.28515625" style="56" customWidth="1" outlineLevel="1"/>
    <col min="6" max="6" width="9.140625" style="56"/>
    <col min="7" max="7" width="13.28515625" style="57" customWidth="1"/>
    <col min="8" max="23" width="13.28515625" style="57" customWidth="1" outlineLevel="1"/>
    <col min="24" max="24" width="11.42578125" style="56" customWidth="1"/>
    <col min="25" max="25" width="9.140625" style="56"/>
    <col min="26" max="26" width="9.28515625" style="56" bestFit="1" customWidth="1"/>
    <col min="27" max="16384" width="9.140625" style="56"/>
  </cols>
  <sheetData>
    <row r="1" spans="1:23" s="5" customFormat="1">
      <c r="A1" s="1"/>
      <c r="B1" s="2"/>
      <c r="C1" s="3"/>
      <c r="D1" s="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5" customFormat="1" ht="21" customHeight="1">
      <c r="A2" s="7" t="s">
        <v>71</v>
      </c>
      <c r="B2" s="8"/>
      <c r="C2" s="3"/>
      <c r="D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5" customFormat="1">
      <c r="A3" s="9"/>
      <c r="B3" s="8"/>
      <c r="C3" s="3"/>
      <c r="D3" s="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3" customFormat="1" ht="12.75" customHeight="1">
      <c r="A4" s="10"/>
      <c r="B4" s="11"/>
      <c r="C4" s="12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s="13" customFormat="1">
      <c r="A5" s="15"/>
      <c r="B5" s="16"/>
      <c r="C5" s="12" t="s">
        <v>273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s="19" customFormat="1" ht="48.75" customHeight="1">
      <c r="A6" s="15"/>
      <c r="B6" s="17" t="s">
        <v>90</v>
      </c>
      <c r="C6" s="18" t="s">
        <v>16</v>
      </c>
      <c r="D6" s="18" t="s">
        <v>91</v>
      </c>
      <c r="E6" s="19" t="s">
        <v>17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s="5" customFormat="1">
      <c r="A7" s="21"/>
      <c r="B7" s="22"/>
      <c r="C7" s="23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9" customFormat="1">
      <c r="A8" s="24"/>
      <c r="B8" s="25"/>
      <c r="C8" s="26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s="19" customFormat="1">
      <c r="A9" s="24" t="s">
        <v>0</v>
      </c>
      <c r="B9" s="27" t="s">
        <v>92</v>
      </c>
      <c r="C9" s="28"/>
      <c r="D9" s="29"/>
      <c r="E9" s="19">
        <f t="shared" ref="E9:E19" si="0">C9-D9</f>
        <v>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s="19" customFormat="1">
      <c r="A10" s="24" t="s">
        <v>1</v>
      </c>
      <c r="B10" s="27" t="s">
        <v>93</v>
      </c>
      <c r="C10" s="28">
        <v>14876.486999999999</v>
      </c>
      <c r="D10" s="29">
        <v>861.87400000000002</v>
      </c>
      <c r="E10" s="19">
        <f t="shared" si="0"/>
        <v>14014.612999999999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s="19" customFormat="1">
      <c r="A11" s="24" t="s">
        <v>2</v>
      </c>
      <c r="B11" s="27" t="s">
        <v>94</v>
      </c>
      <c r="C11" s="28">
        <v>7902.4669999999996</v>
      </c>
      <c r="D11" s="29">
        <v>9157.0609999999997</v>
      </c>
      <c r="E11" s="19">
        <f t="shared" si="0"/>
        <v>-1254.5940000000001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s="19" customFormat="1" ht="25.5">
      <c r="A12" s="24" t="s">
        <v>3</v>
      </c>
      <c r="B12" s="27" t="s">
        <v>204</v>
      </c>
      <c r="C12" s="28">
        <v>0.1</v>
      </c>
      <c r="D12" s="29">
        <v>0</v>
      </c>
      <c r="E12" s="19">
        <f t="shared" si="0"/>
        <v>0.1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s="19" customFormat="1" ht="25.5">
      <c r="A13" s="24" t="s">
        <v>3</v>
      </c>
      <c r="B13" s="27" t="s">
        <v>205</v>
      </c>
      <c r="C13" s="28">
        <v>0</v>
      </c>
      <c r="D13" s="29">
        <v>0</v>
      </c>
      <c r="E13" s="19">
        <f t="shared" si="0"/>
        <v>0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s="19" customFormat="1">
      <c r="A14" s="24" t="s">
        <v>4</v>
      </c>
      <c r="B14" s="27" t="s">
        <v>95</v>
      </c>
      <c r="C14" s="28">
        <v>5155.8389999999999</v>
      </c>
      <c r="D14" s="29">
        <v>6289.5240000000003</v>
      </c>
      <c r="E14" s="19">
        <f t="shared" si="0"/>
        <v>-1133.6850000000004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s="19" customFormat="1">
      <c r="A15" s="24" t="s">
        <v>5</v>
      </c>
      <c r="B15" s="27" t="s">
        <v>96</v>
      </c>
      <c r="C15" s="28">
        <v>0</v>
      </c>
      <c r="D15" s="29">
        <v>4273</v>
      </c>
      <c r="E15" s="19">
        <f t="shared" si="0"/>
        <v>-4273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s="19" customFormat="1">
      <c r="A16" s="24" t="s">
        <v>6</v>
      </c>
      <c r="B16" s="27" t="s">
        <v>97</v>
      </c>
      <c r="C16" s="28">
        <v>7362.12</v>
      </c>
      <c r="D16" s="29">
        <v>9942.5139999999992</v>
      </c>
      <c r="E16" s="19">
        <f t="shared" si="0"/>
        <v>-2580.3939999999993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s="19" customFormat="1" ht="25.5">
      <c r="A17" s="24" t="s">
        <v>7</v>
      </c>
      <c r="B17" s="27" t="s">
        <v>203</v>
      </c>
      <c r="C17" s="28">
        <v>632.01300000000003</v>
      </c>
      <c r="D17" s="29">
        <v>116.43899999999999</v>
      </c>
      <c r="E17" s="19">
        <f t="shared" si="0"/>
        <v>515.57400000000007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s="19" customFormat="1" ht="25.5">
      <c r="A18" s="24" t="s">
        <v>7</v>
      </c>
      <c r="B18" s="27" t="s">
        <v>98</v>
      </c>
      <c r="C18" s="28">
        <v>0</v>
      </c>
      <c r="D18" s="29">
        <v>0</v>
      </c>
      <c r="E18" s="19">
        <f t="shared" si="0"/>
        <v>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s="19" customFormat="1">
      <c r="A19" s="24" t="s">
        <v>99</v>
      </c>
      <c r="B19" s="27" t="s">
        <v>100</v>
      </c>
      <c r="C19" s="28">
        <v>157.87799999999999</v>
      </c>
      <c r="D19" s="29">
        <v>214.029</v>
      </c>
      <c r="E19" s="19">
        <f t="shared" si="0"/>
        <v>-56.15100000000001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s="32" customFormat="1" ht="13.5" thickBot="1">
      <c r="A20" s="24"/>
      <c r="B20" s="30" t="s">
        <v>101</v>
      </c>
      <c r="C20" s="31">
        <f>SUM(C9:C19)</f>
        <v>36086.903999999995</v>
      </c>
      <c r="D20" s="31">
        <f>SUM(D9:D19)</f>
        <v>30854.440999999995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</row>
    <row r="21" spans="1:23" s="19" customFormat="1" ht="13.5" thickTop="1">
      <c r="A21" s="24"/>
      <c r="B21" s="27"/>
      <c r="C21" s="26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s="19" customFormat="1" ht="36.75" customHeight="1">
      <c r="A22" s="24"/>
      <c r="B22" s="17" t="s">
        <v>102</v>
      </c>
      <c r="C22" s="26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32" customFormat="1">
      <c r="A23" s="24" t="s">
        <v>9</v>
      </c>
      <c r="B23" s="27" t="s">
        <v>103</v>
      </c>
      <c r="C23" s="34">
        <v>30809.51</v>
      </c>
      <c r="D23" s="34">
        <v>23309.51</v>
      </c>
      <c r="E23" s="32">
        <f t="shared" ref="E23:E36" si="1">C23-D23</f>
        <v>7500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s="32" customFormat="1">
      <c r="A24" s="24" t="s">
        <v>10</v>
      </c>
      <c r="B24" s="27" t="s">
        <v>104</v>
      </c>
      <c r="C24" s="34">
        <v>8.5530000000000008</v>
      </c>
      <c r="D24" s="34">
        <v>8.5530000000000008</v>
      </c>
      <c r="E24" s="32">
        <f t="shared" si="1"/>
        <v>0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s="32" customFormat="1">
      <c r="A25" s="24" t="s">
        <v>11</v>
      </c>
      <c r="B25" s="27" t="s">
        <v>105</v>
      </c>
      <c r="C25" s="34">
        <v>137.91999999999999</v>
      </c>
      <c r="D25" s="34">
        <v>137.91999999999999</v>
      </c>
      <c r="E25" s="32">
        <f t="shared" si="1"/>
        <v>0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s="32" customFormat="1">
      <c r="A26" s="24" t="s">
        <v>12</v>
      </c>
      <c r="B26" s="27" t="s">
        <v>106</v>
      </c>
      <c r="C26" s="34">
        <v>-28807.401000000002</v>
      </c>
      <c r="D26" s="34">
        <v>-17492.744999999999</v>
      </c>
      <c r="E26" s="32">
        <f t="shared" si="1"/>
        <v>-11314.656000000003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s="32" customFormat="1" ht="25.5">
      <c r="A27" s="24" t="s">
        <v>13</v>
      </c>
      <c r="B27" s="27" t="s">
        <v>107</v>
      </c>
      <c r="C27" s="34">
        <v>-4479.8469999999998</v>
      </c>
      <c r="D27" s="34">
        <v>-11314.656999999999</v>
      </c>
      <c r="E27" s="32">
        <f t="shared" si="1"/>
        <v>6834.8099999999995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23" s="32" customFormat="1">
      <c r="A28" s="24" t="s">
        <v>1</v>
      </c>
      <c r="B28" s="27" t="s">
        <v>108</v>
      </c>
      <c r="C28" s="34">
        <v>187.64</v>
      </c>
      <c r="D28" s="34">
        <v>181.999</v>
      </c>
      <c r="E28" s="32">
        <f t="shared" si="1"/>
        <v>5.6409999999999911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23" s="32" customFormat="1" ht="28.5" customHeight="1">
      <c r="A29" s="24" t="s">
        <v>2</v>
      </c>
      <c r="B29" s="27" t="s">
        <v>217</v>
      </c>
      <c r="C29" s="34">
        <v>0</v>
      </c>
      <c r="D29" s="34">
        <v>0</v>
      </c>
      <c r="E29" s="32">
        <f t="shared" si="1"/>
        <v>0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23" s="32" customFormat="1">
      <c r="A30" s="24" t="s">
        <v>2</v>
      </c>
      <c r="B30" s="27" t="s">
        <v>218</v>
      </c>
      <c r="C30" s="34">
        <v>75.534999999999997</v>
      </c>
      <c r="D30" s="34">
        <v>125.608</v>
      </c>
      <c r="E30" s="32">
        <f t="shared" si="1"/>
        <v>-50.073000000000008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23" s="32" customFormat="1" ht="14.25" customHeight="1">
      <c r="A31" s="24" t="s">
        <v>2</v>
      </c>
      <c r="B31" s="27" t="s">
        <v>219</v>
      </c>
      <c r="C31" s="34"/>
      <c r="D31" s="34">
        <v>0</v>
      </c>
      <c r="E31" s="32">
        <f t="shared" si="1"/>
        <v>0</v>
      </c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2" spans="1:23" s="32" customFormat="1" ht="14.25" customHeight="1">
      <c r="A32" s="24" t="s">
        <v>2</v>
      </c>
      <c r="B32" s="27" t="s">
        <v>220</v>
      </c>
      <c r="C32" s="34">
        <v>0</v>
      </c>
      <c r="D32" s="34">
        <v>0</v>
      </c>
      <c r="E32" s="32">
        <f t="shared" si="1"/>
        <v>0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5" s="32" customFormat="1" ht="14.25" customHeight="1">
      <c r="A33" s="24" t="s">
        <v>2</v>
      </c>
      <c r="B33" s="27" t="s">
        <v>221</v>
      </c>
      <c r="C33" s="34">
        <v>24.356000000000002</v>
      </c>
      <c r="D33" s="34">
        <v>16.678999999999998</v>
      </c>
      <c r="E33" s="32">
        <f t="shared" si="1"/>
        <v>7.6770000000000032</v>
      </c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1:25" s="32" customFormat="1">
      <c r="A34" s="24" t="s">
        <v>3</v>
      </c>
      <c r="B34" s="27" t="s">
        <v>109</v>
      </c>
      <c r="C34" s="34">
        <v>30541.401999999998</v>
      </c>
      <c r="D34" s="34">
        <v>28689.003000000001</v>
      </c>
      <c r="E34" s="32">
        <f t="shared" si="1"/>
        <v>1852.3989999999976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5" s="32" customFormat="1">
      <c r="A35" s="24" t="s">
        <v>14</v>
      </c>
      <c r="B35" s="27" t="s">
        <v>110</v>
      </c>
      <c r="C35" s="34">
        <v>7589.1360000000004</v>
      </c>
      <c r="D35" s="34">
        <v>7192.57</v>
      </c>
      <c r="E35" s="32">
        <f t="shared" si="1"/>
        <v>396.56600000000071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5" s="32" customFormat="1">
      <c r="A36" s="24" t="s">
        <v>4</v>
      </c>
      <c r="B36" s="27" t="s">
        <v>112</v>
      </c>
      <c r="C36" s="34">
        <v>0</v>
      </c>
      <c r="D36" s="34">
        <v>0</v>
      </c>
      <c r="E36" s="32">
        <f t="shared" si="1"/>
        <v>0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  <row r="37" spans="1:25" s="32" customFormat="1" ht="13.5" thickBot="1">
      <c r="B37" s="31" t="s">
        <v>111</v>
      </c>
      <c r="C37" s="31">
        <f>SUM(C23:C36)</f>
        <v>36086.803999999996</v>
      </c>
      <c r="D37" s="31">
        <f>SUM(D23:D36)</f>
        <v>30854.44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5" s="32" customFormat="1" ht="14.25" thickTop="1" thickBot="1"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5" s="32" customFormat="1" ht="13.5" thickBot="1">
      <c r="B39" s="35" t="s">
        <v>27</v>
      </c>
      <c r="C39" s="36">
        <f>C20-C37</f>
        <v>9.9999999998544808E-2</v>
      </c>
      <c r="D39" s="37">
        <f>D20-D37</f>
        <v>9.9999999656574801E-4</v>
      </c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1" spans="1:25" s="39" customFormat="1" ht="15.75">
      <c r="A41" s="32"/>
      <c r="B41" s="38" t="s">
        <v>272</v>
      </c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5" s="39" customFormat="1">
      <c r="B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5" s="39" customFormat="1" ht="51">
      <c r="B43" s="40"/>
      <c r="F43" s="40" t="s">
        <v>18</v>
      </c>
      <c r="G43" s="40" t="s">
        <v>132</v>
      </c>
      <c r="H43" s="40" t="s">
        <v>134</v>
      </c>
      <c r="I43" s="40" t="s">
        <v>21</v>
      </c>
      <c r="J43" s="40" t="s">
        <v>19</v>
      </c>
      <c r="K43" s="40" t="s">
        <v>141</v>
      </c>
      <c r="L43" s="40" t="s">
        <v>149</v>
      </c>
      <c r="M43" s="40" t="s">
        <v>117</v>
      </c>
      <c r="N43" s="40" t="s">
        <v>20</v>
      </c>
      <c r="O43" s="40" t="s">
        <v>61</v>
      </c>
      <c r="P43" s="40" t="s">
        <v>177</v>
      </c>
      <c r="Q43" s="40" t="s">
        <v>179</v>
      </c>
      <c r="R43" s="40" t="s">
        <v>178</v>
      </c>
      <c r="S43" s="40" t="s">
        <v>135</v>
      </c>
      <c r="T43" s="40" t="s">
        <v>186</v>
      </c>
      <c r="U43" s="40" t="s">
        <v>190</v>
      </c>
      <c r="V43" s="40" t="s">
        <v>77</v>
      </c>
      <c r="W43" s="40" t="s">
        <v>202</v>
      </c>
      <c r="X43" s="40" t="s">
        <v>28</v>
      </c>
      <c r="Y43" s="40" t="s">
        <v>60</v>
      </c>
    </row>
    <row r="44" spans="1:25" s="13" customFormat="1">
      <c r="A44" s="39"/>
      <c r="B44" s="41" t="s">
        <v>113</v>
      </c>
      <c r="X44" s="42"/>
    </row>
    <row r="45" spans="1:25" s="13" customFormat="1" ht="25.5">
      <c r="B45" s="14" t="s">
        <v>234</v>
      </c>
      <c r="G45" s="13">
        <f>SUM(H45:W45)</f>
        <v>-4479.8469999999998</v>
      </c>
      <c r="W45" s="13">
        <f>C27+C120+C130-C330</f>
        <v>-4479.8469999999998</v>
      </c>
      <c r="X45" s="42"/>
      <c r="Y45" s="13">
        <f>F45+G45+X45</f>
        <v>-4479.8469999999998</v>
      </c>
    </row>
    <row r="46" spans="1:25" s="44" customFormat="1" ht="37.5" customHeight="1">
      <c r="A46" s="13"/>
      <c r="B46" s="43" t="s">
        <v>114</v>
      </c>
      <c r="X46" s="45"/>
    </row>
    <row r="47" spans="1:25" s="44" customFormat="1" ht="25.5">
      <c r="B47" s="46" t="s">
        <v>115</v>
      </c>
      <c r="G47" s="44">
        <f t="shared" ref="G47:G58" si="2">SUM(H47:W47)</f>
        <v>3073.4560000000001</v>
      </c>
      <c r="I47" s="44">
        <f>C136</f>
        <v>3073.4560000000001</v>
      </c>
      <c r="X47" s="45"/>
      <c r="Y47" s="44">
        <f t="shared" ref="Y47:Y58" si="3">F47+G47+X47</f>
        <v>3073.4560000000001</v>
      </c>
    </row>
    <row r="48" spans="1:25" s="44" customFormat="1">
      <c r="B48" s="46" t="s">
        <v>173</v>
      </c>
      <c r="G48" s="44">
        <f t="shared" si="2"/>
        <v>0</v>
      </c>
      <c r="I48" s="44">
        <f>C137</f>
        <v>0</v>
      </c>
      <c r="X48" s="45"/>
      <c r="Y48" s="44">
        <f t="shared" si="3"/>
        <v>0</v>
      </c>
    </row>
    <row r="49" spans="1:26" s="44" customFormat="1">
      <c r="B49" s="46" t="s">
        <v>235</v>
      </c>
      <c r="G49" s="44">
        <f t="shared" si="2"/>
        <v>256</v>
      </c>
      <c r="J49" s="44">
        <f>C144</f>
        <v>256</v>
      </c>
      <c r="X49" s="45"/>
      <c r="Y49" s="44">
        <f t="shared" si="3"/>
        <v>256</v>
      </c>
    </row>
    <row r="50" spans="1:26" s="44" customFormat="1">
      <c r="B50" s="46" t="s">
        <v>236</v>
      </c>
      <c r="G50" s="44">
        <f t="shared" si="2"/>
        <v>-0.34599999999999997</v>
      </c>
      <c r="K50" s="44">
        <f>-E155-E164</f>
        <v>-0.34599999999999997</v>
      </c>
      <c r="X50" s="45"/>
      <c r="Y50" s="44">
        <f t="shared" si="3"/>
        <v>-0.34599999999999997</v>
      </c>
    </row>
    <row r="51" spans="1:26" s="44" customFormat="1">
      <c r="B51" s="46" t="s">
        <v>116</v>
      </c>
      <c r="G51" s="44">
        <f t="shared" si="2"/>
        <v>0</v>
      </c>
      <c r="R51" s="44">
        <f>-C254</f>
        <v>0</v>
      </c>
      <c r="X51" s="45"/>
      <c r="Y51" s="44">
        <f t="shared" si="3"/>
        <v>0</v>
      </c>
    </row>
    <row r="52" spans="1:26" s="44" customFormat="1">
      <c r="B52" s="46" t="s">
        <v>118</v>
      </c>
      <c r="G52" s="44">
        <f t="shared" si="2"/>
        <v>170.96400000000006</v>
      </c>
      <c r="L52" s="44">
        <f>-C176</f>
        <v>170.96400000000006</v>
      </c>
      <c r="X52" s="45"/>
      <c r="Y52" s="44">
        <f t="shared" si="3"/>
        <v>170.96400000000006</v>
      </c>
    </row>
    <row r="53" spans="1:26" s="44" customFormat="1">
      <c r="B53" s="46" t="s">
        <v>238</v>
      </c>
      <c r="G53" s="44">
        <f t="shared" si="2"/>
        <v>220.19100000000003</v>
      </c>
      <c r="N53" s="44">
        <f>E220</f>
        <v>220.19100000000003</v>
      </c>
      <c r="X53" s="45"/>
      <c r="Y53" s="44">
        <f t="shared" si="3"/>
        <v>220.19100000000003</v>
      </c>
    </row>
    <row r="54" spans="1:26" s="44" customFormat="1">
      <c r="B54" s="46" t="s">
        <v>26</v>
      </c>
      <c r="G54" s="44">
        <f t="shared" si="2"/>
        <v>0</v>
      </c>
      <c r="O54" s="44">
        <f>C233</f>
        <v>0</v>
      </c>
      <c r="X54" s="45"/>
      <c r="Y54" s="44">
        <f t="shared" si="3"/>
        <v>0</v>
      </c>
    </row>
    <row r="55" spans="1:26" s="44" customFormat="1">
      <c r="B55" s="46" t="s">
        <v>237</v>
      </c>
      <c r="F55" s="44">
        <f>E28</f>
        <v>5.6409999999999911</v>
      </c>
      <c r="G55" s="44">
        <f t="shared" si="2"/>
        <v>0</v>
      </c>
      <c r="M55" s="44">
        <f>-C191</f>
        <v>0</v>
      </c>
      <c r="X55" s="45"/>
      <c r="Y55" s="44">
        <f t="shared" si="3"/>
        <v>5.6409999999999911</v>
      </c>
    </row>
    <row r="56" spans="1:26" s="44" customFormat="1">
      <c r="B56" s="46" t="s">
        <v>117</v>
      </c>
      <c r="G56" s="44">
        <f t="shared" si="2"/>
        <v>-81.600000000000009</v>
      </c>
      <c r="M56" s="44">
        <f>C201-C202+C209</f>
        <v>-81.600000000000009</v>
      </c>
      <c r="X56" s="45"/>
      <c r="Y56" s="44">
        <f t="shared" si="3"/>
        <v>-81.600000000000009</v>
      </c>
    </row>
    <row r="57" spans="1:26" s="44" customFormat="1">
      <c r="B57" s="72" t="s">
        <v>239</v>
      </c>
      <c r="F57" s="44">
        <f>-E19+E36</f>
        <v>56.15100000000001</v>
      </c>
      <c r="G57" s="44">
        <f t="shared" si="2"/>
        <v>-1193.941</v>
      </c>
      <c r="J57" s="44">
        <f>-E147</f>
        <v>-1243.287</v>
      </c>
      <c r="K57" s="44">
        <f>E158</f>
        <v>0.34599999999999997</v>
      </c>
      <c r="M57" s="44">
        <f>-C190-C198</f>
        <v>0</v>
      </c>
      <c r="N57" s="44">
        <f>-E219</f>
        <v>0</v>
      </c>
      <c r="U57" s="44">
        <f>D292+D293+C297</f>
        <v>49</v>
      </c>
      <c r="X57" s="45"/>
      <c r="Y57" s="44">
        <f t="shared" si="3"/>
        <v>-1137.79</v>
      </c>
    </row>
    <row r="58" spans="1:26" s="44" customFormat="1">
      <c r="B58" s="46" t="s">
        <v>240</v>
      </c>
      <c r="G58" s="44">
        <f t="shared" si="2"/>
        <v>383.62599999999998</v>
      </c>
      <c r="P58" s="44">
        <f>C236</f>
        <v>0</v>
      </c>
      <c r="Q58" s="44">
        <f>C248</f>
        <v>383.62599999999998</v>
      </c>
      <c r="X58" s="45"/>
      <c r="Y58" s="44">
        <f t="shared" si="3"/>
        <v>383.62599999999998</v>
      </c>
    </row>
    <row r="59" spans="1:26" s="44" customFormat="1">
      <c r="B59" s="43" t="s">
        <v>241</v>
      </c>
      <c r="X59" s="45"/>
    </row>
    <row r="60" spans="1:26" s="44" customFormat="1">
      <c r="B60" s="85" t="s">
        <v>22</v>
      </c>
      <c r="F60" s="44">
        <f>-E15-E16</f>
        <v>6853.3939999999993</v>
      </c>
      <c r="G60" s="44">
        <f>SUM(H60:W60)</f>
        <v>7.9688600000000003</v>
      </c>
      <c r="H60" s="44">
        <f>D126+D133</f>
        <v>1.7768600000000001</v>
      </c>
      <c r="M60" s="44">
        <f>-C186-C187</f>
        <v>0</v>
      </c>
      <c r="N60" s="44">
        <f>-E217</f>
        <v>6.1920000000000002</v>
      </c>
      <c r="O60" s="44">
        <f>-C230</f>
        <v>0</v>
      </c>
      <c r="P60" s="44">
        <f>-C236</f>
        <v>0</v>
      </c>
      <c r="Q60" s="44">
        <f>-C245</f>
        <v>0</v>
      </c>
      <c r="R60" s="44">
        <f>C258</f>
        <v>0</v>
      </c>
      <c r="T60" s="44">
        <f>C284</f>
        <v>0</v>
      </c>
      <c r="V60" s="44">
        <f>-C308+C320</f>
        <v>0</v>
      </c>
      <c r="X60" s="45"/>
      <c r="Y60" s="44">
        <f>F60+G60+X60</f>
        <v>6861.3628599999993</v>
      </c>
    </row>
    <row r="61" spans="1:26" s="44" customFormat="1">
      <c r="B61" s="85" t="s">
        <v>23</v>
      </c>
      <c r="F61" s="44">
        <f>-E14</f>
        <v>1133.6850000000004</v>
      </c>
      <c r="G61" s="44">
        <f>SUM(H61:W61)</f>
        <v>-610.00900000000001</v>
      </c>
      <c r="M61" s="44">
        <f>-C185</f>
        <v>0</v>
      </c>
      <c r="N61" s="44">
        <f>-E218</f>
        <v>-226.38300000000004</v>
      </c>
      <c r="O61" s="44">
        <f>-C229</f>
        <v>0</v>
      </c>
      <c r="Q61" s="44">
        <f>-C244</f>
        <v>-383.62599999999998</v>
      </c>
      <c r="T61" s="44">
        <f>C283</f>
        <v>0</v>
      </c>
      <c r="V61" s="44">
        <f>-C307+C319</f>
        <v>0</v>
      </c>
      <c r="X61" s="45"/>
      <c r="Y61" s="44">
        <f>F61+G61+X61</f>
        <v>523.67600000000039</v>
      </c>
    </row>
    <row r="62" spans="1:26" s="44" customFormat="1">
      <c r="B62" s="85" t="s">
        <v>242</v>
      </c>
      <c r="F62" s="44">
        <f>E34+E33</f>
        <v>1860.0759999999975</v>
      </c>
      <c r="G62" s="44">
        <f>SUM(H62:W62)+1</f>
        <v>0.86899999999999999</v>
      </c>
      <c r="H62" s="44">
        <f>E126</f>
        <v>0</v>
      </c>
      <c r="M62" s="44">
        <f>-C196</f>
        <v>-0.13100000000000001</v>
      </c>
      <c r="S62" s="44">
        <f>-C266-C270-C271</f>
        <v>0</v>
      </c>
      <c r="X62" s="45"/>
      <c r="Y62" s="44">
        <f>F62+G62+X62</f>
        <v>1860.9449999999974</v>
      </c>
    </row>
    <row r="63" spans="1:26" s="44" customFormat="1">
      <c r="B63" s="85" t="s">
        <v>119</v>
      </c>
      <c r="F63" s="44">
        <f>-E18</f>
        <v>0</v>
      </c>
      <c r="G63" s="44">
        <f>SUM(H63:W63)</f>
        <v>0</v>
      </c>
      <c r="K63" s="44">
        <f>C167</f>
        <v>0</v>
      </c>
      <c r="M63" s="44">
        <f>-C189</f>
        <v>0</v>
      </c>
      <c r="N63" s="44">
        <f>-E216</f>
        <v>0</v>
      </c>
      <c r="O63" s="44">
        <f>-C228</f>
        <v>0</v>
      </c>
      <c r="Q63" s="44">
        <f>-C243</f>
        <v>0</v>
      </c>
      <c r="T63" s="44">
        <f>C282</f>
        <v>0</v>
      </c>
      <c r="V63" s="44">
        <f>-C309+C321</f>
        <v>0</v>
      </c>
      <c r="X63" s="45"/>
      <c r="Y63" s="44">
        <f>F63+G63+X63</f>
        <v>0</v>
      </c>
    </row>
    <row r="64" spans="1:26">
      <c r="A64" s="44"/>
      <c r="B64" s="82" t="s">
        <v>113</v>
      </c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8"/>
      <c r="Z64" s="86">
        <f>SUM(Y45:Y63)</f>
        <v>7656.2788599999967</v>
      </c>
    </row>
    <row r="65" spans="1:26">
      <c r="B65" s="87" t="s">
        <v>243</v>
      </c>
      <c r="G65" s="56">
        <f>SUM(H65:W65)</f>
        <v>0</v>
      </c>
      <c r="H65" s="56"/>
      <c r="I65" s="56"/>
      <c r="J65" s="56">
        <f>-C143</f>
        <v>0</v>
      </c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8"/>
      <c r="Y65" s="56">
        <f>F65+G65+X65</f>
        <v>0</v>
      </c>
    </row>
    <row r="66" spans="1:26">
      <c r="B66" s="87" t="s">
        <v>244</v>
      </c>
      <c r="G66" s="56">
        <f>SUM(H66:W66)</f>
        <v>0</v>
      </c>
      <c r="H66" s="56"/>
      <c r="I66" s="56"/>
      <c r="J66" s="56"/>
      <c r="K66" s="56">
        <f>C154+C163</f>
        <v>0</v>
      </c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8"/>
      <c r="Y66" s="56">
        <f>F66+G66+X66</f>
        <v>0</v>
      </c>
    </row>
    <row r="67" spans="1:26">
      <c r="B67" s="87" t="s">
        <v>24</v>
      </c>
      <c r="G67" s="56">
        <f>SUM(H67:W67)</f>
        <v>-2.25</v>
      </c>
      <c r="H67" s="56">
        <f>-SUM(C121:C123)</f>
        <v>-2.25</v>
      </c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8"/>
      <c r="Y67" s="56">
        <f>F67+G67+X67</f>
        <v>-2.25</v>
      </c>
    </row>
    <row r="68" spans="1:26">
      <c r="B68" s="83" t="s">
        <v>245</v>
      </c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8"/>
      <c r="Z68" s="86">
        <f>SUM(Y64:Z67)</f>
        <v>7654.0288599999967</v>
      </c>
    </row>
    <row r="69" spans="1:26">
      <c r="B69" s="57" t="str">
        <f>B310</f>
        <v>Mim. náklady peňažné nesúvisiace s majetkom - udať dôvod</v>
      </c>
      <c r="G69" s="56">
        <f t="shared" ref="G69:G77" si="4">SUM(H69:W69)</f>
        <v>0</v>
      </c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>
        <f>-C310</f>
        <v>0</v>
      </c>
      <c r="W69" s="56"/>
      <c r="X69" s="58"/>
      <c r="Y69" s="56">
        <f t="shared" ref="Y69:Y77" si="5">F69+G69+X69</f>
        <v>0</v>
      </c>
    </row>
    <row r="70" spans="1:26">
      <c r="B70" s="57" t="str">
        <f>B311</f>
        <v>Mim. náklady peňažné nesúvisiace s majetkom - udať dôvod</v>
      </c>
      <c r="G70" s="56">
        <f t="shared" si="4"/>
        <v>0</v>
      </c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>
        <f>-C311</f>
        <v>0</v>
      </c>
      <c r="W70" s="56"/>
      <c r="X70" s="58"/>
      <c r="Y70" s="56">
        <f t="shared" si="5"/>
        <v>0</v>
      </c>
    </row>
    <row r="71" spans="1:26">
      <c r="B71" s="57" t="str">
        <f>B312</f>
        <v>Mim. náklady peňažné nesúvisiace s majetkom - udať dôvod</v>
      </c>
      <c r="G71" s="56">
        <f t="shared" si="4"/>
        <v>0</v>
      </c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>
        <f>-C312</f>
        <v>0</v>
      </c>
      <c r="W71" s="56"/>
      <c r="X71" s="58"/>
      <c r="Y71" s="56">
        <f t="shared" si="5"/>
        <v>0</v>
      </c>
    </row>
    <row r="72" spans="1:26">
      <c r="B72" s="57" t="str">
        <f t="shared" ref="B72:B77" si="6">B322</f>
        <v>Mim výnosy peňažné Dôvod 1 (udajte)</v>
      </c>
      <c r="G72" s="56">
        <f t="shared" si="4"/>
        <v>0</v>
      </c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>
        <f t="shared" ref="V72:V77" si="7">C322</f>
        <v>0</v>
      </c>
      <c r="W72" s="56"/>
      <c r="X72" s="58"/>
      <c r="Y72" s="56">
        <f t="shared" si="5"/>
        <v>0</v>
      </c>
    </row>
    <row r="73" spans="1:26">
      <c r="B73" s="57" t="str">
        <f t="shared" si="6"/>
        <v>Mim výnosy peňažné Dôvod 2 (udajte)</v>
      </c>
      <c r="G73" s="56">
        <f t="shared" si="4"/>
        <v>0</v>
      </c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>
        <f t="shared" si="7"/>
        <v>0</v>
      </c>
      <c r="W73" s="56"/>
      <c r="X73" s="58"/>
      <c r="Y73" s="56">
        <f t="shared" si="5"/>
        <v>0</v>
      </c>
    </row>
    <row r="74" spans="1:26">
      <c r="B74" s="57" t="str">
        <f t="shared" si="6"/>
        <v>Mim výnosy peňažné Dôvod 3 (udajte)</v>
      </c>
      <c r="G74" s="56">
        <f t="shared" si="4"/>
        <v>0</v>
      </c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>
        <f t="shared" si="7"/>
        <v>0</v>
      </c>
      <c r="W74" s="56"/>
      <c r="X74" s="58"/>
      <c r="Y74" s="56">
        <f t="shared" si="5"/>
        <v>0</v>
      </c>
    </row>
    <row r="75" spans="1:26">
      <c r="B75" s="57" t="str">
        <f t="shared" si="6"/>
        <v>Mim výnosy peňažné Dôvod 4 (udajte)</v>
      </c>
      <c r="G75" s="56">
        <f t="shared" si="4"/>
        <v>0</v>
      </c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>
        <f t="shared" si="7"/>
        <v>0</v>
      </c>
      <c r="W75" s="56"/>
      <c r="X75" s="58"/>
      <c r="Y75" s="56">
        <f t="shared" si="5"/>
        <v>0</v>
      </c>
    </row>
    <row r="76" spans="1:26">
      <c r="B76" s="57" t="str">
        <f t="shared" si="6"/>
        <v>Mim výnosy peňažné Dôvod 5 (udajte)</v>
      </c>
      <c r="G76" s="56">
        <f t="shared" si="4"/>
        <v>0</v>
      </c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>
        <f t="shared" si="7"/>
        <v>0</v>
      </c>
      <c r="W76" s="56"/>
      <c r="X76" s="58"/>
      <c r="Y76" s="56">
        <f t="shared" si="5"/>
        <v>0</v>
      </c>
    </row>
    <row r="77" spans="1:26">
      <c r="B77" s="57" t="str">
        <f t="shared" si="6"/>
        <v>Mim výnosy peňažné Dôvod 6 (udajte)</v>
      </c>
      <c r="G77" s="56">
        <f t="shared" si="4"/>
        <v>0</v>
      </c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>
        <f t="shared" si="7"/>
        <v>0</v>
      </c>
      <c r="W77" s="56"/>
      <c r="X77" s="58"/>
      <c r="Y77" s="56">
        <f t="shared" si="5"/>
        <v>0</v>
      </c>
    </row>
    <row r="78" spans="1:26">
      <c r="B78" s="83" t="s">
        <v>125</v>
      </c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8"/>
      <c r="Z78" s="86">
        <f>SUM(Y68:Z77)</f>
        <v>7654.0288599999967</v>
      </c>
    </row>
    <row r="79" spans="1:26" s="13" customFormat="1">
      <c r="A79" s="56"/>
      <c r="B79" s="41"/>
      <c r="X79" s="42"/>
    </row>
    <row r="80" spans="1:26" s="13" customFormat="1">
      <c r="B80" s="41" t="s">
        <v>246</v>
      </c>
      <c r="X80" s="42"/>
    </row>
    <row r="81" spans="1:26" s="13" customFormat="1" ht="25.5">
      <c r="B81" s="48" t="s">
        <v>247</v>
      </c>
      <c r="F81" s="13">
        <f>-E10-E11</f>
        <v>-12760.019</v>
      </c>
      <c r="G81" s="13">
        <f t="shared" ref="G81:G88" si="8">SUM(H81:W81)</f>
        <v>-3240.5329999999999</v>
      </c>
      <c r="I81" s="13">
        <f>-C136-C137</f>
        <v>-3073.4560000000001</v>
      </c>
      <c r="J81" s="13">
        <f>D144</f>
        <v>987.28700000000003</v>
      </c>
      <c r="L81" s="13">
        <f>-C173</f>
        <v>-1154.364</v>
      </c>
      <c r="M81" s="13">
        <f>-C181-C182</f>
        <v>0</v>
      </c>
      <c r="N81" s="13">
        <f>-E213</f>
        <v>0</v>
      </c>
      <c r="O81" s="13">
        <f>-C225</f>
        <v>0</v>
      </c>
      <c r="Q81" s="13">
        <f>-C241</f>
        <v>0</v>
      </c>
      <c r="T81" s="13">
        <f>C279</f>
        <v>0</v>
      </c>
      <c r="V81" s="13">
        <f>-C304+C316</f>
        <v>0</v>
      </c>
      <c r="X81" s="42"/>
      <c r="Y81" s="13">
        <f t="shared" ref="Y81:Y88" si="9">F81+G81+X81</f>
        <v>-16000.552</v>
      </c>
    </row>
    <row r="82" spans="1:26" s="13" customFormat="1" ht="25.5">
      <c r="B82" s="48" t="s">
        <v>248</v>
      </c>
      <c r="G82" s="13">
        <f t="shared" si="8"/>
        <v>983.4</v>
      </c>
      <c r="L82" s="13">
        <f>C172</f>
        <v>983.4</v>
      </c>
      <c r="X82" s="42"/>
      <c r="Y82" s="13">
        <f t="shared" si="9"/>
        <v>983.4</v>
      </c>
    </row>
    <row r="83" spans="1:26" s="13" customFormat="1">
      <c r="B83" s="48" t="s">
        <v>243</v>
      </c>
      <c r="G83" s="13">
        <f t="shared" si="8"/>
        <v>0</v>
      </c>
      <c r="J83" s="13">
        <f>-D143</f>
        <v>0</v>
      </c>
      <c r="X83" s="42"/>
      <c r="Y83" s="13">
        <f t="shared" si="9"/>
        <v>0</v>
      </c>
    </row>
    <row r="84" spans="1:26" s="13" customFormat="1" ht="25.5">
      <c r="B84" s="48" t="s">
        <v>120</v>
      </c>
      <c r="G84" s="13">
        <f t="shared" si="8"/>
        <v>0</v>
      </c>
      <c r="L84" s="13">
        <f>C174</f>
        <v>0</v>
      </c>
      <c r="X84" s="42"/>
      <c r="Y84" s="13">
        <f t="shared" si="9"/>
        <v>0</v>
      </c>
    </row>
    <row r="85" spans="1:26" s="13" customFormat="1" ht="25.5">
      <c r="B85" s="48" t="s">
        <v>121</v>
      </c>
      <c r="F85" s="13">
        <f>-E12</f>
        <v>-0.1</v>
      </c>
      <c r="G85" s="13">
        <f t="shared" si="8"/>
        <v>0</v>
      </c>
      <c r="K85" s="13">
        <f>D167</f>
        <v>0</v>
      </c>
      <c r="L85" s="13">
        <f>-C175</f>
        <v>0</v>
      </c>
      <c r="M85" s="13">
        <f>-C183</f>
        <v>0</v>
      </c>
      <c r="N85" s="13">
        <f>-E214</f>
        <v>0</v>
      </c>
      <c r="O85" s="13">
        <f>-C226</f>
        <v>0</v>
      </c>
      <c r="Q85" s="13">
        <f>-C242</f>
        <v>0</v>
      </c>
      <c r="T85" s="13">
        <f>C280</f>
        <v>0</v>
      </c>
      <c r="V85" s="13">
        <f>-C305+C317</f>
        <v>0</v>
      </c>
      <c r="X85" s="42"/>
      <c r="Y85" s="13">
        <f t="shared" si="9"/>
        <v>-0.1</v>
      </c>
    </row>
    <row r="86" spans="1:26" s="13" customFormat="1">
      <c r="B86" s="48" t="s">
        <v>206</v>
      </c>
      <c r="F86" s="13">
        <f>-E13</f>
        <v>0</v>
      </c>
      <c r="G86" s="13">
        <f t="shared" si="8"/>
        <v>0</v>
      </c>
      <c r="M86" s="13">
        <f>-C184</f>
        <v>0</v>
      </c>
      <c r="N86" s="13">
        <f>-E215</f>
        <v>0</v>
      </c>
      <c r="O86" s="13">
        <f>-C227</f>
        <v>0</v>
      </c>
      <c r="T86" s="13">
        <f>C281</f>
        <v>0</v>
      </c>
      <c r="V86" s="13">
        <f>-C306+C318</f>
        <v>0</v>
      </c>
      <c r="X86" s="42"/>
      <c r="Y86" s="13">
        <f t="shared" si="9"/>
        <v>0</v>
      </c>
    </row>
    <row r="87" spans="1:26" s="13" customFormat="1">
      <c r="B87" s="48" t="s">
        <v>244</v>
      </c>
      <c r="G87" s="13">
        <f t="shared" si="8"/>
        <v>0</v>
      </c>
      <c r="K87" s="13">
        <f>D154+D163</f>
        <v>0</v>
      </c>
      <c r="X87" s="42"/>
      <c r="Y87" s="13">
        <f t="shared" si="9"/>
        <v>0</v>
      </c>
    </row>
    <row r="88" spans="1:26" s="13" customFormat="1">
      <c r="B88" s="48" t="s">
        <v>25</v>
      </c>
      <c r="G88" s="13">
        <f t="shared" si="8"/>
        <v>0</v>
      </c>
      <c r="R88" s="13">
        <f>C255</f>
        <v>0</v>
      </c>
      <c r="X88" s="42"/>
      <c r="Y88" s="13">
        <f t="shared" si="9"/>
        <v>0</v>
      </c>
    </row>
    <row r="89" spans="1:26">
      <c r="A89" s="13"/>
      <c r="B89" s="83" t="s">
        <v>126</v>
      </c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8"/>
      <c r="Z89" s="86">
        <f>SUM(Y81:Y88)</f>
        <v>-15017.252</v>
      </c>
    </row>
    <row r="90" spans="1:26">
      <c r="B90" s="57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8"/>
    </row>
    <row r="91" spans="1:26" s="13" customFormat="1">
      <c r="A91" s="56"/>
      <c r="B91" s="41" t="s">
        <v>249</v>
      </c>
      <c r="X91" s="42"/>
    </row>
    <row r="92" spans="1:26" s="13" customFormat="1">
      <c r="B92" s="48" t="s">
        <v>250</v>
      </c>
      <c r="F92" s="13">
        <f>E35</f>
        <v>396.56600000000071</v>
      </c>
      <c r="G92" s="13">
        <f t="shared" ref="G92:G101" si="10">SUM(H92:W92)</f>
        <v>84.2</v>
      </c>
      <c r="M92" s="13">
        <f>-C197-C209</f>
        <v>84.2</v>
      </c>
      <c r="X92" s="42"/>
      <c r="Y92" s="13">
        <f t="shared" ref="Y92:Y101" si="11">F92+G92+X92</f>
        <v>480.7660000000007</v>
      </c>
    </row>
    <row r="93" spans="1:26" s="13" customFormat="1">
      <c r="B93" s="48" t="s">
        <v>251</v>
      </c>
      <c r="F93" s="13">
        <f>E32</f>
        <v>0</v>
      </c>
      <c r="G93" s="13">
        <f t="shared" si="10"/>
        <v>0</v>
      </c>
      <c r="M93" s="13">
        <f>-C195</f>
        <v>0</v>
      </c>
      <c r="X93" s="42"/>
      <c r="Y93" s="13">
        <f t="shared" si="11"/>
        <v>0</v>
      </c>
    </row>
    <row r="94" spans="1:26" s="13" customFormat="1">
      <c r="B94" s="48" t="s">
        <v>252</v>
      </c>
      <c r="F94" s="13">
        <f>E31</f>
        <v>0</v>
      </c>
      <c r="G94" s="13">
        <f t="shared" si="10"/>
        <v>0</v>
      </c>
      <c r="M94" s="13">
        <f>-C194</f>
        <v>0</v>
      </c>
      <c r="X94" s="42"/>
      <c r="Y94" s="13">
        <f t="shared" si="11"/>
        <v>0</v>
      </c>
    </row>
    <row r="95" spans="1:26" s="13" customFormat="1" ht="24.75" customHeight="1">
      <c r="B95" s="48" t="s">
        <v>253</v>
      </c>
      <c r="F95" s="13">
        <f>E29</f>
        <v>0</v>
      </c>
      <c r="G95" s="13">
        <f t="shared" si="10"/>
        <v>0</v>
      </c>
      <c r="H95" s="13">
        <f>E133</f>
        <v>0</v>
      </c>
      <c r="M95" s="13">
        <f>-C192</f>
        <v>0</v>
      </c>
      <c r="X95" s="42"/>
      <c r="Y95" s="13">
        <f t="shared" si="11"/>
        <v>0</v>
      </c>
    </row>
    <row r="96" spans="1:26" s="13" customFormat="1">
      <c r="B96" s="48" t="s">
        <v>124</v>
      </c>
      <c r="F96" s="13">
        <f>E30</f>
        <v>-50.073000000000008</v>
      </c>
      <c r="G96" s="13">
        <f t="shared" si="10"/>
        <v>-49</v>
      </c>
      <c r="M96" s="13">
        <f>-C193</f>
        <v>0</v>
      </c>
      <c r="U96" s="13">
        <f>-D292-D293-C297</f>
        <v>-49</v>
      </c>
      <c r="X96" s="42"/>
      <c r="Y96" s="13">
        <f t="shared" si="11"/>
        <v>-99.073000000000008</v>
      </c>
    </row>
    <row r="97" spans="1:26" s="13" customFormat="1">
      <c r="B97" s="48" t="s">
        <v>254</v>
      </c>
      <c r="G97" s="13">
        <f t="shared" si="10"/>
        <v>0</v>
      </c>
      <c r="S97" s="13">
        <f>-C265</f>
        <v>0</v>
      </c>
      <c r="X97" s="42"/>
      <c r="Y97" s="13">
        <f t="shared" si="11"/>
        <v>0</v>
      </c>
    </row>
    <row r="98" spans="1:26" s="13" customFormat="1">
      <c r="B98" s="48" t="s">
        <v>255</v>
      </c>
      <c r="F98" s="13">
        <f>-E9+E23</f>
        <v>7500</v>
      </c>
      <c r="G98" s="13">
        <f t="shared" si="10"/>
        <v>0</v>
      </c>
      <c r="X98" s="42"/>
      <c r="Y98" s="13">
        <f t="shared" si="11"/>
        <v>7500</v>
      </c>
    </row>
    <row r="99" spans="1:26" s="13" customFormat="1">
      <c r="B99" s="48" t="s">
        <v>122</v>
      </c>
      <c r="F99" s="13">
        <f>E24</f>
        <v>0</v>
      </c>
      <c r="G99" s="13">
        <f t="shared" si="10"/>
        <v>0</v>
      </c>
      <c r="T99" s="13">
        <f>-C287</f>
        <v>0</v>
      </c>
      <c r="X99" s="42"/>
      <c r="Y99" s="13">
        <f t="shared" si="11"/>
        <v>0</v>
      </c>
    </row>
    <row r="100" spans="1:26" s="13" customFormat="1">
      <c r="B100" s="48" t="s">
        <v>123</v>
      </c>
      <c r="G100" s="13">
        <f t="shared" si="10"/>
        <v>0</v>
      </c>
      <c r="S100" s="13">
        <f>-C269</f>
        <v>0</v>
      </c>
      <c r="X100" s="42"/>
      <c r="Y100" s="13">
        <f t="shared" si="11"/>
        <v>0</v>
      </c>
    </row>
    <row r="101" spans="1:26" s="13" customFormat="1">
      <c r="B101" s="48" t="s">
        <v>29</v>
      </c>
      <c r="F101" s="13">
        <f>E25+E26+E27</f>
        <v>-4479.8460000000032</v>
      </c>
      <c r="G101" s="13">
        <f t="shared" si="10"/>
        <v>4479.8469999999998</v>
      </c>
      <c r="H101" s="13">
        <f>C120+C130</f>
        <v>0</v>
      </c>
      <c r="S101" s="13">
        <f>C265+C266+C269+C270+C271</f>
        <v>0</v>
      </c>
      <c r="V101" s="13">
        <f>C313-C328</f>
        <v>0</v>
      </c>
      <c r="W101" s="13">
        <f>-W45</f>
        <v>4479.8469999999998</v>
      </c>
      <c r="X101" s="42"/>
      <c r="Y101" s="13">
        <f t="shared" si="11"/>
        <v>9.9999999656574801E-4</v>
      </c>
      <c r="Z101" s="13" t="s">
        <v>63</v>
      </c>
    </row>
    <row r="102" spans="1:26">
      <c r="A102" s="13"/>
      <c r="B102" s="83" t="s">
        <v>127</v>
      </c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8"/>
      <c r="Z102" s="86">
        <f>SUM(Y92:Y101)</f>
        <v>7881.6939999999977</v>
      </c>
    </row>
    <row r="103" spans="1:26">
      <c r="B103" s="57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</row>
    <row r="104" spans="1:26">
      <c r="B104" s="57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</row>
    <row r="105" spans="1:26" s="13" customFormat="1" ht="25.5">
      <c r="A105" s="56"/>
      <c r="B105" s="49" t="s">
        <v>128</v>
      </c>
      <c r="G105" s="13">
        <f>SUM(H105:W105)</f>
        <v>0</v>
      </c>
      <c r="Y105" s="13">
        <f>Z78+Z89+Z102</f>
        <v>518.47085999999399</v>
      </c>
    </row>
    <row r="106" spans="1:26" s="13" customFormat="1" ht="13.5" thickBot="1">
      <c r="B106" s="49"/>
      <c r="F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</row>
    <row r="107" spans="1:26" s="13" customFormat="1" ht="26.25" thickBot="1">
      <c r="B107" s="49" t="s">
        <v>129</v>
      </c>
      <c r="F107" s="48">
        <f>D17</f>
        <v>116.43899999999999</v>
      </c>
      <c r="G107" s="13">
        <f>SUM(H107:W107)</f>
        <v>0</v>
      </c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Y107" s="50">
        <f>F107</f>
        <v>116.43899999999999</v>
      </c>
    </row>
    <row r="108" spans="1:26" s="13" customFormat="1" ht="38.25" customHeight="1" thickBot="1">
      <c r="B108" s="49" t="s">
        <v>130</v>
      </c>
      <c r="F108" s="48"/>
      <c r="G108" s="13">
        <f>SUM(H108:W108)</f>
        <v>0</v>
      </c>
      <c r="H108" s="48"/>
      <c r="I108" s="48"/>
      <c r="J108" s="48"/>
      <c r="K108" s="48"/>
      <c r="L108" s="48"/>
      <c r="M108" s="48">
        <f>-C188</f>
        <v>0</v>
      </c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Y108" s="50">
        <f>G108+X108</f>
        <v>0</v>
      </c>
    </row>
    <row r="109" spans="1:26" s="13" customFormat="1" ht="26.25" thickBot="1">
      <c r="B109" s="49" t="s">
        <v>131</v>
      </c>
      <c r="F109" s="48">
        <f>C17</f>
        <v>632.01300000000003</v>
      </c>
      <c r="G109" s="13">
        <f>SUM(H109:W109)</f>
        <v>0</v>
      </c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Y109" s="50">
        <f>F109</f>
        <v>632.01300000000003</v>
      </c>
    </row>
    <row r="110" spans="1:26" s="13" customFormat="1">
      <c r="B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1:26" s="13" customFormat="1" ht="13.5" thickBot="1">
      <c r="B111" s="48"/>
      <c r="C111" s="63"/>
      <c r="D111" s="63"/>
      <c r="E111" s="63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</row>
    <row r="112" spans="1:26" s="13" customFormat="1" ht="13.5" thickBot="1">
      <c r="B112" s="51" t="s">
        <v>27</v>
      </c>
      <c r="C112" s="62"/>
      <c r="D112" s="62"/>
      <c r="E112" s="62"/>
      <c r="F112" s="52">
        <f>SUM(F45:F103)+F107-F109</f>
        <v>-9.9000000004252797E-2</v>
      </c>
      <c r="G112" s="52">
        <f t="shared" ref="G112:X112" si="12">SUM(G45:G109)</f>
        <v>2.9958599999999933</v>
      </c>
      <c r="H112" s="52">
        <f t="shared" si="12"/>
        <v>-0.47313999999999989</v>
      </c>
      <c r="I112" s="52">
        <f t="shared" si="12"/>
        <v>0</v>
      </c>
      <c r="J112" s="52">
        <f t="shared" si="12"/>
        <v>0</v>
      </c>
      <c r="K112" s="52">
        <f t="shared" si="12"/>
        <v>0</v>
      </c>
      <c r="L112" s="52">
        <f t="shared" si="12"/>
        <v>0</v>
      </c>
      <c r="M112" s="52">
        <f t="shared" si="12"/>
        <v>2.4689999999999941</v>
      </c>
      <c r="N112" s="52">
        <f t="shared" si="12"/>
        <v>0</v>
      </c>
      <c r="O112" s="52">
        <f t="shared" si="12"/>
        <v>0</v>
      </c>
      <c r="P112" s="52">
        <f t="shared" si="12"/>
        <v>0</v>
      </c>
      <c r="Q112" s="52">
        <f t="shared" si="12"/>
        <v>0</v>
      </c>
      <c r="R112" s="52">
        <f t="shared" si="12"/>
        <v>0</v>
      </c>
      <c r="S112" s="52">
        <f t="shared" si="12"/>
        <v>0</v>
      </c>
      <c r="T112" s="52">
        <f t="shared" si="12"/>
        <v>0</v>
      </c>
      <c r="U112" s="52">
        <f t="shared" si="12"/>
        <v>0</v>
      </c>
      <c r="V112" s="52">
        <f t="shared" si="12"/>
        <v>0</v>
      </c>
      <c r="W112" s="52">
        <f t="shared" si="12"/>
        <v>0</v>
      </c>
      <c r="X112" s="52">
        <f t="shared" si="12"/>
        <v>0</v>
      </c>
      <c r="Y112" s="53">
        <f>Y105+Y107+Y108-Y109</f>
        <v>2.8968599999939215</v>
      </c>
    </row>
    <row r="113" spans="1:24" s="13" customFormat="1">
      <c r="B113" s="14"/>
      <c r="X113" s="14"/>
    </row>
    <row r="114" spans="1:24" s="13" customFormat="1">
      <c r="B114" s="14"/>
      <c r="X114" s="14"/>
    </row>
    <row r="115" spans="1:24" s="13" customFormat="1">
      <c r="B115" s="54" t="s">
        <v>15</v>
      </c>
      <c r="C115" s="13" t="s">
        <v>133</v>
      </c>
      <c r="X115" s="14"/>
    </row>
    <row r="116" spans="1:24" s="13" customFormat="1">
      <c r="B116" s="42" t="s">
        <v>39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4" s="13" customFormat="1"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4">
      <c r="A118" s="13">
        <v>1</v>
      </c>
      <c r="B118" s="55" t="s">
        <v>36</v>
      </c>
      <c r="D118" s="56" t="s">
        <v>40</v>
      </c>
      <c r="E118" s="56" t="s">
        <v>34</v>
      </c>
    </row>
    <row r="119" spans="1:24">
      <c r="B119" s="56" t="s">
        <v>30</v>
      </c>
      <c r="C119" s="58">
        <v>2.6859999999999998E-2</v>
      </c>
      <c r="D119" s="56">
        <v>0.5</v>
      </c>
      <c r="E119" s="56">
        <f>IF(C119&lt;0,C119,0)</f>
        <v>0</v>
      </c>
    </row>
    <row r="120" spans="1:24">
      <c r="B120" s="56" t="s">
        <v>256</v>
      </c>
      <c r="C120" s="58">
        <v>0</v>
      </c>
      <c r="F120" s="57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</row>
    <row r="121" spans="1:24">
      <c r="B121" s="56" t="s">
        <v>31</v>
      </c>
      <c r="C121" s="58">
        <v>2.25</v>
      </c>
    </row>
    <row r="122" spans="1:24">
      <c r="B122" s="56" t="s">
        <v>79</v>
      </c>
      <c r="C122" s="58">
        <v>0</v>
      </c>
    </row>
    <row r="123" spans="1:24">
      <c r="B123" s="56" t="s">
        <v>33</v>
      </c>
      <c r="C123" s="58">
        <v>0</v>
      </c>
    </row>
    <row r="124" spans="1:24" ht="13.5" thickBot="1">
      <c r="B124" s="56" t="s">
        <v>32</v>
      </c>
      <c r="C124" s="59">
        <f>C119-C120+C121+C122+C123</f>
        <v>2.2768600000000001</v>
      </c>
      <c r="D124" s="56">
        <f>IF(C124&gt;0,C124,0)</f>
        <v>2.2768600000000001</v>
      </c>
      <c r="E124" s="56">
        <f>IF(C124&lt;0,C124,0)</f>
        <v>0</v>
      </c>
    </row>
    <row r="125" spans="1:24" ht="13.5" thickTop="1"/>
    <row r="126" spans="1:24">
      <c r="B126" s="56" t="s">
        <v>138</v>
      </c>
      <c r="D126" s="56">
        <f>D124-D119</f>
        <v>1.7768600000000001</v>
      </c>
      <c r="E126" s="56">
        <f>E124-E119</f>
        <v>0</v>
      </c>
    </row>
    <row r="128" spans="1:24">
      <c r="A128" s="56">
        <v>2</v>
      </c>
      <c r="B128" s="55" t="s">
        <v>35</v>
      </c>
    </row>
    <row r="129" spans="1:5">
      <c r="B129" s="56" t="s">
        <v>37</v>
      </c>
      <c r="C129" s="58">
        <v>0</v>
      </c>
      <c r="D129" s="56">
        <f>IF(C129&gt;0,C129,0)</f>
        <v>0</v>
      </c>
      <c r="E129" s="56">
        <f>IF(C129&lt;0,C129,0)</f>
        <v>0</v>
      </c>
    </row>
    <row r="130" spans="1:5">
      <c r="B130" s="56" t="s">
        <v>257</v>
      </c>
      <c r="C130" s="58">
        <v>0</v>
      </c>
    </row>
    <row r="131" spans="1:5" ht="13.5" thickBot="1">
      <c r="B131" s="56" t="s">
        <v>38</v>
      </c>
      <c r="C131" s="59">
        <f>C129-C130</f>
        <v>0</v>
      </c>
      <c r="D131" s="56">
        <f>IF(C131&gt;0,C131,0)</f>
        <v>0</v>
      </c>
      <c r="E131" s="56">
        <f>IF(C131&lt;0,C131,0)</f>
        <v>0</v>
      </c>
    </row>
    <row r="132" spans="1:5" ht="13.5" thickTop="1"/>
    <row r="133" spans="1:5">
      <c r="B133" s="56" t="s">
        <v>139</v>
      </c>
      <c r="D133" s="56">
        <f>D131-D129</f>
        <v>0</v>
      </c>
      <c r="E133" s="56">
        <f>E131-E129</f>
        <v>0</v>
      </c>
    </row>
    <row r="135" spans="1:5">
      <c r="A135" s="56">
        <v>3</v>
      </c>
      <c r="B135" s="55" t="s">
        <v>172</v>
      </c>
    </row>
    <row r="136" spans="1:5">
      <c r="B136" s="56" t="s">
        <v>171</v>
      </c>
      <c r="C136" s="58">
        <v>3073.4560000000001</v>
      </c>
    </row>
    <row r="137" spans="1:5">
      <c r="B137" s="56" t="s">
        <v>258</v>
      </c>
      <c r="C137" s="58">
        <v>0</v>
      </c>
    </row>
    <row r="140" spans="1:5">
      <c r="A140" s="56">
        <v>4</v>
      </c>
      <c r="B140" s="55" t="s">
        <v>140</v>
      </c>
    </row>
    <row r="141" spans="1:5">
      <c r="C141" s="56" t="s">
        <v>42</v>
      </c>
      <c r="D141" s="56" t="s">
        <v>43</v>
      </c>
      <c r="E141" s="56" t="s">
        <v>47</v>
      </c>
    </row>
    <row r="142" spans="1:5">
      <c r="B142" s="56" t="s">
        <v>41</v>
      </c>
      <c r="C142" s="58">
        <v>0</v>
      </c>
      <c r="D142" s="58">
        <v>0</v>
      </c>
      <c r="E142" s="56">
        <f>SUM(C142:D142)</f>
        <v>0</v>
      </c>
    </row>
    <row r="143" spans="1:5">
      <c r="B143" s="56" t="s">
        <v>44</v>
      </c>
      <c r="C143" s="58">
        <v>0</v>
      </c>
      <c r="D143" s="58">
        <v>0</v>
      </c>
      <c r="E143" s="56">
        <f>SUM(C143:D143)</f>
        <v>0</v>
      </c>
    </row>
    <row r="144" spans="1:5">
      <c r="B144" s="56" t="s">
        <v>259</v>
      </c>
      <c r="C144" s="58">
        <v>256</v>
      </c>
      <c r="D144" s="58">
        <v>987.28700000000003</v>
      </c>
      <c r="E144" s="56">
        <f>SUM(C144:D144)</f>
        <v>1243.287</v>
      </c>
    </row>
    <row r="145" spans="1:5" ht="13.5" thickBot="1">
      <c r="B145" s="56" t="s">
        <v>45</v>
      </c>
      <c r="C145" s="59">
        <f>C142-C143+C144</f>
        <v>256</v>
      </c>
      <c r="D145" s="59">
        <f>D142-D143+D144</f>
        <v>987.28700000000003</v>
      </c>
      <c r="E145" s="59">
        <f>E142-E143+E144</f>
        <v>1243.287</v>
      </c>
    </row>
    <row r="146" spans="1:5" ht="13.5" thickTop="1"/>
    <row r="147" spans="1:5">
      <c r="B147" s="56" t="s">
        <v>46</v>
      </c>
      <c r="E147" s="56">
        <f>E145-E142</f>
        <v>1243.287</v>
      </c>
    </row>
    <row r="150" spans="1:5">
      <c r="A150" s="56">
        <v>5</v>
      </c>
      <c r="B150" s="55" t="s">
        <v>143</v>
      </c>
    </row>
    <row r="151" spans="1:5">
      <c r="B151" s="64" t="s">
        <v>142</v>
      </c>
    </row>
    <row r="152" spans="1:5" ht="38.25">
      <c r="C152" s="57" t="s">
        <v>144</v>
      </c>
      <c r="D152" s="57" t="s">
        <v>145</v>
      </c>
      <c r="E152" s="56" t="s">
        <v>47</v>
      </c>
    </row>
    <row r="153" spans="1:5">
      <c r="B153" s="56" t="s">
        <v>48</v>
      </c>
      <c r="C153" s="58">
        <v>0</v>
      </c>
      <c r="D153" s="58">
        <v>0</v>
      </c>
      <c r="E153" s="56">
        <f>SUM(C153:D153)</f>
        <v>0</v>
      </c>
    </row>
    <row r="154" spans="1:5">
      <c r="B154" s="56" t="s">
        <v>49</v>
      </c>
      <c r="C154" s="58">
        <v>0</v>
      </c>
      <c r="D154" s="58">
        <v>0</v>
      </c>
      <c r="E154" s="56">
        <f>SUM(C154:D154)</f>
        <v>0</v>
      </c>
    </row>
    <row r="155" spans="1:5">
      <c r="B155" s="56" t="s">
        <v>50</v>
      </c>
      <c r="C155" s="58">
        <v>6.4000000000000001E-2</v>
      </c>
      <c r="D155" s="58">
        <v>0.28199999999999997</v>
      </c>
      <c r="E155" s="56">
        <f>SUM(C155:D155)</f>
        <v>0.34599999999999997</v>
      </c>
    </row>
    <row r="156" spans="1:5" ht="13.5" thickBot="1">
      <c r="B156" s="56" t="s">
        <v>51</v>
      </c>
      <c r="C156" s="59">
        <f>C153-C154+C155</f>
        <v>6.4000000000000001E-2</v>
      </c>
      <c r="D156" s="59">
        <f>D153-D154+D155</f>
        <v>0.28199999999999997</v>
      </c>
      <c r="E156" s="59">
        <f>E153-E154+E155</f>
        <v>0.34599999999999997</v>
      </c>
    </row>
    <row r="157" spans="1:5" ht="13.5" thickTop="1"/>
    <row r="158" spans="1:5">
      <c r="B158" s="56" t="s">
        <v>46</v>
      </c>
      <c r="E158" s="56">
        <f>E156-E153</f>
        <v>0.34599999999999997</v>
      </c>
    </row>
    <row r="160" spans="1:5">
      <c r="B160" s="64" t="s">
        <v>148</v>
      </c>
    </row>
    <row r="161" spans="1:5" ht="38.25">
      <c r="C161" s="57" t="s">
        <v>144</v>
      </c>
      <c r="D161" s="57" t="s">
        <v>145</v>
      </c>
      <c r="E161" s="56" t="s">
        <v>47</v>
      </c>
    </row>
    <row r="162" spans="1:5">
      <c r="B162" s="56" t="s">
        <v>48</v>
      </c>
      <c r="C162" s="58">
        <v>0</v>
      </c>
      <c r="D162" s="58">
        <v>0</v>
      </c>
      <c r="E162" s="56">
        <f>SUM(C162:D162)</f>
        <v>0</v>
      </c>
    </row>
    <row r="163" spans="1:5">
      <c r="B163" s="56" t="s">
        <v>49</v>
      </c>
      <c r="C163" s="58">
        <v>0</v>
      </c>
      <c r="D163" s="58">
        <v>0</v>
      </c>
      <c r="E163" s="56">
        <f>SUM(C163:D163)</f>
        <v>0</v>
      </c>
    </row>
    <row r="164" spans="1:5">
      <c r="B164" s="56" t="s">
        <v>50</v>
      </c>
      <c r="C164" s="58">
        <v>0</v>
      </c>
      <c r="D164" s="58">
        <v>0</v>
      </c>
      <c r="E164" s="56">
        <f>SUM(C164:D164)</f>
        <v>0</v>
      </c>
    </row>
    <row r="165" spans="1:5" ht="26.25" thickBot="1">
      <c r="B165" s="57" t="s">
        <v>146</v>
      </c>
      <c r="C165" s="59">
        <f>C162-C163+C164</f>
        <v>0</v>
      </c>
      <c r="D165" s="59">
        <f>D162-D163+D164</f>
        <v>0</v>
      </c>
      <c r="E165" s="59">
        <f>E162-E163+E164</f>
        <v>0</v>
      </c>
    </row>
    <row r="166" spans="1:5" ht="13.5" thickTop="1"/>
    <row r="167" spans="1:5">
      <c r="B167" s="56" t="s">
        <v>147</v>
      </c>
      <c r="C167" s="56">
        <f>C165-C162</f>
        <v>0</v>
      </c>
      <c r="D167" s="56">
        <f>D165-D162</f>
        <v>0</v>
      </c>
      <c r="E167" s="56">
        <f>E165-E162</f>
        <v>0</v>
      </c>
    </row>
    <row r="170" spans="1:5">
      <c r="A170" s="56">
        <v>6</v>
      </c>
      <c r="B170" s="55" t="s">
        <v>62</v>
      </c>
    </row>
    <row r="172" spans="1:5">
      <c r="B172" s="56" t="s">
        <v>53</v>
      </c>
      <c r="C172" s="58">
        <v>983.4</v>
      </c>
    </row>
    <row r="173" spans="1:5">
      <c r="B173" s="56" t="s">
        <v>52</v>
      </c>
      <c r="C173" s="58">
        <v>1154.364</v>
      </c>
    </row>
    <row r="174" spans="1:5" ht="25.5">
      <c r="B174" s="57" t="s">
        <v>208</v>
      </c>
      <c r="C174" s="58">
        <v>0</v>
      </c>
    </row>
    <row r="175" spans="1:5" ht="25.5">
      <c r="B175" s="57" t="s">
        <v>207</v>
      </c>
      <c r="C175" s="58">
        <v>0</v>
      </c>
    </row>
    <row r="176" spans="1:5" ht="13.5" thickBot="1">
      <c r="B176" s="56" t="s">
        <v>54</v>
      </c>
      <c r="C176" s="59">
        <f>C172-C173+C174-C175</f>
        <v>-170.96400000000006</v>
      </c>
    </row>
    <row r="177" spans="1:7" ht="13.5" thickTop="1"/>
    <row r="179" spans="1:7">
      <c r="A179" s="56">
        <v>7</v>
      </c>
      <c r="B179" s="55" t="s">
        <v>159</v>
      </c>
    </row>
    <row r="180" spans="1:7">
      <c r="C180" s="56" t="s">
        <v>56</v>
      </c>
    </row>
    <row r="181" spans="1:7">
      <c r="A181" s="66" t="s">
        <v>1</v>
      </c>
      <c r="B181" s="73" t="s">
        <v>150</v>
      </c>
      <c r="C181" s="58">
        <v>0</v>
      </c>
    </row>
    <row r="182" spans="1:7">
      <c r="A182" s="66" t="s">
        <v>2</v>
      </c>
      <c r="B182" s="73" t="s">
        <v>151</v>
      </c>
      <c r="C182" s="58">
        <v>0</v>
      </c>
    </row>
    <row r="183" spans="1:7" ht="25.5">
      <c r="A183" s="66" t="s">
        <v>3</v>
      </c>
      <c r="B183" s="73" t="s">
        <v>209</v>
      </c>
      <c r="C183" s="58">
        <v>0</v>
      </c>
    </row>
    <row r="184" spans="1:7" ht="25.5">
      <c r="A184" s="66" t="s">
        <v>3</v>
      </c>
      <c r="B184" s="73" t="s">
        <v>210</v>
      </c>
      <c r="C184" s="58">
        <v>0</v>
      </c>
    </row>
    <row r="185" spans="1:7">
      <c r="A185" s="66" t="s">
        <v>4</v>
      </c>
      <c r="B185" s="73" t="s">
        <v>152</v>
      </c>
      <c r="C185" s="58">
        <v>0</v>
      </c>
    </row>
    <row r="186" spans="1:7">
      <c r="A186" s="66" t="s">
        <v>5</v>
      </c>
      <c r="B186" s="66" t="s">
        <v>153</v>
      </c>
      <c r="C186" s="58">
        <v>0</v>
      </c>
    </row>
    <row r="187" spans="1:7">
      <c r="A187" s="66" t="s">
        <v>6</v>
      </c>
      <c r="B187" s="66" t="s">
        <v>154</v>
      </c>
      <c r="C187" s="58">
        <v>0</v>
      </c>
    </row>
    <row r="188" spans="1:7" ht="25.5">
      <c r="A188" s="66" t="s">
        <v>7</v>
      </c>
      <c r="B188" s="73" t="s">
        <v>155</v>
      </c>
      <c r="C188" s="58">
        <v>0</v>
      </c>
    </row>
    <row r="189" spans="1:7" s="66" customFormat="1" ht="38.25">
      <c r="A189" s="66" t="s">
        <v>7</v>
      </c>
      <c r="B189" s="67" t="s">
        <v>161</v>
      </c>
      <c r="C189" s="58">
        <v>0</v>
      </c>
      <c r="E189" s="56"/>
      <c r="G189" s="67"/>
    </row>
    <row r="190" spans="1:7">
      <c r="A190" s="66" t="s">
        <v>8</v>
      </c>
      <c r="B190" s="66" t="s">
        <v>156</v>
      </c>
      <c r="C190" s="58">
        <v>0</v>
      </c>
    </row>
    <row r="191" spans="1:7">
      <c r="A191" s="66" t="s">
        <v>1</v>
      </c>
      <c r="B191" s="66" t="s">
        <v>158</v>
      </c>
      <c r="C191" s="58">
        <v>0</v>
      </c>
    </row>
    <row r="192" spans="1:7" ht="25.5">
      <c r="A192" s="66" t="s">
        <v>2</v>
      </c>
      <c r="B192" s="74" t="s">
        <v>217</v>
      </c>
      <c r="C192" s="58">
        <v>0</v>
      </c>
    </row>
    <row r="193" spans="1:7">
      <c r="A193" s="66" t="s">
        <v>2</v>
      </c>
      <c r="B193" s="74" t="s">
        <v>218</v>
      </c>
      <c r="C193" s="58">
        <v>0</v>
      </c>
    </row>
    <row r="194" spans="1:7">
      <c r="A194" s="66" t="s">
        <v>2</v>
      </c>
      <c r="B194" s="74" t="s">
        <v>219</v>
      </c>
      <c r="C194" s="58">
        <v>0</v>
      </c>
    </row>
    <row r="195" spans="1:7">
      <c r="A195" s="66" t="s">
        <v>2</v>
      </c>
      <c r="B195" s="74" t="s">
        <v>220</v>
      </c>
      <c r="C195" s="58">
        <v>0</v>
      </c>
    </row>
    <row r="196" spans="1:7">
      <c r="A196" s="66" t="s">
        <v>3</v>
      </c>
      <c r="B196" s="66" t="s">
        <v>109</v>
      </c>
      <c r="C196" s="58">
        <v>0.13100000000000001</v>
      </c>
    </row>
    <row r="197" spans="1:7">
      <c r="A197" s="66" t="s">
        <v>14</v>
      </c>
      <c r="B197" s="66" t="s">
        <v>110</v>
      </c>
      <c r="C197" s="58">
        <v>0</v>
      </c>
    </row>
    <row r="198" spans="1:7">
      <c r="A198" s="66" t="s">
        <v>4</v>
      </c>
      <c r="B198" s="66" t="s">
        <v>157</v>
      </c>
      <c r="C198" s="58">
        <v>0</v>
      </c>
    </row>
    <row r="199" spans="1:7" ht="13.5" thickBot="1">
      <c r="B199" s="56" t="s">
        <v>160</v>
      </c>
      <c r="C199" s="59">
        <f>SUM(C181:C198)</f>
        <v>0.13100000000000001</v>
      </c>
    </row>
    <row r="200" spans="1:7" ht="13.5" thickTop="1"/>
    <row r="201" spans="1:7">
      <c r="B201" s="67" t="s">
        <v>162</v>
      </c>
      <c r="C201" s="58">
        <v>9.8000000000000007</v>
      </c>
    </row>
    <row r="202" spans="1:7">
      <c r="B202" s="67" t="s">
        <v>163</v>
      </c>
      <c r="C202" s="58">
        <v>7.2</v>
      </c>
    </row>
    <row r="203" spans="1:7" ht="13.5" thickBot="1"/>
    <row r="204" spans="1:7" ht="13.5" thickBot="1">
      <c r="B204" s="60" t="s">
        <v>57</v>
      </c>
      <c r="C204" s="61">
        <f>C201-C199-C202</f>
        <v>2.4690000000000003</v>
      </c>
    </row>
    <row r="205" spans="1:7">
      <c r="B205" s="84"/>
      <c r="C205" s="84"/>
    </row>
    <row r="207" spans="1:7" s="66" customFormat="1">
      <c r="A207" s="66">
        <v>8</v>
      </c>
      <c r="B207" s="65" t="s">
        <v>164</v>
      </c>
      <c r="G207" s="67"/>
    </row>
    <row r="208" spans="1:7" s="66" customFormat="1">
      <c r="C208" s="66" t="s">
        <v>56</v>
      </c>
      <c r="F208" s="67"/>
    </row>
    <row r="209" spans="1:6" s="66" customFormat="1" ht="25.5">
      <c r="A209" s="66" t="s">
        <v>14</v>
      </c>
      <c r="B209" s="67" t="s">
        <v>165</v>
      </c>
      <c r="C209" s="68">
        <v>-84.2</v>
      </c>
      <c r="F209" s="67"/>
    </row>
    <row r="210" spans="1:6" s="66" customFormat="1">
      <c r="B210" s="67"/>
      <c r="F210" s="67"/>
    </row>
    <row r="212" spans="1:6">
      <c r="A212" s="56">
        <v>9</v>
      </c>
      <c r="B212" s="55" t="s">
        <v>20</v>
      </c>
      <c r="C212" s="56" t="s">
        <v>55</v>
      </c>
      <c r="D212" s="56" t="s">
        <v>56</v>
      </c>
      <c r="E212" s="56" t="s">
        <v>59</v>
      </c>
    </row>
    <row r="213" spans="1:6">
      <c r="B213" s="56" t="s">
        <v>167</v>
      </c>
      <c r="C213" s="58">
        <v>0</v>
      </c>
      <c r="D213" s="58">
        <v>0</v>
      </c>
      <c r="E213" s="56">
        <f t="shared" ref="E213:E219" si="13">D213-C213</f>
        <v>0</v>
      </c>
    </row>
    <row r="214" spans="1:6">
      <c r="B214" s="56" t="s">
        <v>212</v>
      </c>
      <c r="C214" s="58">
        <v>0</v>
      </c>
      <c r="D214" s="58">
        <v>0</v>
      </c>
      <c r="E214" s="56">
        <f t="shared" si="13"/>
        <v>0</v>
      </c>
    </row>
    <row r="215" spans="1:6">
      <c r="B215" s="56" t="s">
        <v>211</v>
      </c>
      <c r="C215" s="58">
        <v>0</v>
      </c>
      <c r="D215" s="58">
        <v>0</v>
      </c>
      <c r="E215" s="56">
        <f t="shared" si="13"/>
        <v>0</v>
      </c>
    </row>
    <row r="216" spans="1:6">
      <c r="B216" s="56" t="s">
        <v>169</v>
      </c>
      <c r="C216" s="58">
        <v>0</v>
      </c>
      <c r="D216" s="58">
        <v>0</v>
      </c>
      <c r="E216" s="56">
        <f t="shared" si="13"/>
        <v>0</v>
      </c>
    </row>
    <row r="217" spans="1:6">
      <c r="B217" s="56" t="s">
        <v>166</v>
      </c>
      <c r="C217" s="58">
        <v>19.231999999999999</v>
      </c>
      <c r="D217" s="58">
        <v>13.04</v>
      </c>
      <c r="E217" s="56">
        <f t="shared" si="13"/>
        <v>-6.1920000000000002</v>
      </c>
    </row>
    <row r="218" spans="1:6">
      <c r="B218" s="56" t="s">
        <v>58</v>
      </c>
      <c r="C218" s="58">
        <v>850.61699999999996</v>
      </c>
      <c r="D218" s="58">
        <v>1077</v>
      </c>
      <c r="E218" s="56">
        <f t="shared" si="13"/>
        <v>226.38300000000004</v>
      </c>
    </row>
    <row r="219" spans="1:6">
      <c r="B219" s="56" t="s">
        <v>170</v>
      </c>
      <c r="C219" s="58">
        <v>0</v>
      </c>
      <c r="D219" s="58">
        <v>0</v>
      </c>
      <c r="E219" s="56">
        <f t="shared" si="13"/>
        <v>0</v>
      </c>
    </row>
    <row r="220" spans="1:6" ht="13.5" thickBot="1">
      <c r="B220" s="56" t="s">
        <v>160</v>
      </c>
      <c r="C220" s="59">
        <f>SUM(C213:C219)</f>
        <v>869.84899999999993</v>
      </c>
      <c r="D220" s="59">
        <f>SUM(D213:D219)</f>
        <v>1090.04</v>
      </c>
      <c r="E220" s="59">
        <f>SUM(E213:E219)</f>
        <v>220.19100000000003</v>
      </c>
    </row>
    <row r="221" spans="1:6" ht="13.5" thickTop="1"/>
    <row r="223" spans="1:6">
      <c r="A223" s="56">
        <v>10</v>
      </c>
      <c r="B223" s="55" t="s">
        <v>61</v>
      </c>
    </row>
    <row r="224" spans="1:6">
      <c r="B224" s="56" t="s">
        <v>175</v>
      </c>
      <c r="C224" s="58">
        <v>0.25</v>
      </c>
    </row>
    <row r="225" spans="1:7">
      <c r="B225" s="56" t="s">
        <v>167</v>
      </c>
      <c r="C225" s="58">
        <v>0</v>
      </c>
    </row>
    <row r="226" spans="1:7">
      <c r="B226" s="56" t="s">
        <v>212</v>
      </c>
      <c r="C226" s="58">
        <v>0</v>
      </c>
    </row>
    <row r="227" spans="1:7">
      <c r="B227" s="56" t="s">
        <v>211</v>
      </c>
      <c r="C227" s="58">
        <v>0</v>
      </c>
    </row>
    <row r="228" spans="1:7">
      <c r="B228" s="56" t="s">
        <v>169</v>
      </c>
      <c r="C228" s="58">
        <v>0</v>
      </c>
    </row>
    <row r="229" spans="1:7">
      <c r="B229" s="56" t="s">
        <v>58</v>
      </c>
      <c r="C229" s="58">
        <v>0</v>
      </c>
    </row>
    <row r="230" spans="1:7">
      <c r="B230" s="56" t="s">
        <v>166</v>
      </c>
      <c r="C230" s="58">
        <v>0</v>
      </c>
    </row>
    <row r="231" spans="1:7" ht="13.5" thickBot="1">
      <c r="B231" s="56" t="s">
        <v>89</v>
      </c>
      <c r="C231" s="59">
        <f>SUM(C224:C230)</f>
        <v>0.25</v>
      </c>
    </row>
    <row r="232" spans="1:7" ht="13.5" thickTop="1"/>
    <row r="233" spans="1:7">
      <c r="B233" s="56" t="s">
        <v>176</v>
      </c>
      <c r="C233" s="56">
        <f>SUM(C225:C230)</f>
        <v>0</v>
      </c>
    </row>
    <row r="236" spans="1:7" s="66" customFormat="1">
      <c r="A236" s="66">
        <v>11</v>
      </c>
      <c r="B236" s="65" t="s">
        <v>174</v>
      </c>
      <c r="C236" s="68">
        <v>0</v>
      </c>
      <c r="G236" s="67"/>
    </row>
    <row r="237" spans="1:7" s="66" customFormat="1">
      <c r="B237" s="65"/>
      <c r="G237" s="67"/>
    </row>
    <row r="239" spans="1:7" s="66" customFormat="1">
      <c r="A239" s="66">
        <v>12</v>
      </c>
      <c r="B239" s="65" t="s">
        <v>179</v>
      </c>
      <c r="G239" s="67"/>
    </row>
    <row r="240" spans="1:7" s="66" customFormat="1">
      <c r="B240" s="56" t="s">
        <v>175</v>
      </c>
      <c r="C240" s="68">
        <v>0</v>
      </c>
      <c r="G240" s="67"/>
    </row>
    <row r="241" spans="1:7" s="66" customFormat="1">
      <c r="B241" s="56" t="s">
        <v>167</v>
      </c>
      <c r="C241" s="68">
        <v>0</v>
      </c>
      <c r="G241" s="67"/>
    </row>
    <row r="242" spans="1:7" s="66" customFormat="1">
      <c r="B242" s="56" t="s">
        <v>168</v>
      </c>
      <c r="C242" s="68">
        <v>0</v>
      </c>
      <c r="G242" s="67"/>
    </row>
    <row r="243" spans="1:7" s="66" customFormat="1">
      <c r="B243" s="56" t="s">
        <v>169</v>
      </c>
      <c r="C243" s="68">
        <v>0</v>
      </c>
      <c r="G243" s="67"/>
    </row>
    <row r="244" spans="1:7" s="66" customFormat="1">
      <c r="B244" s="56" t="s">
        <v>58</v>
      </c>
      <c r="C244" s="68">
        <v>383.62599999999998</v>
      </c>
      <c r="G244" s="67"/>
    </row>
    <row r="245" spans="1:7" s="66" customFormat="1">
      <c r="B245" s="56" t="s">
        <v>166</v>
      </c>
      <c r="C245" s="68">
        <v>0</v>
      </c>
      <c r="G245" s="67"/>
    </row>
    <row r="246" spans="1:7" s="66" customFormat="1" ht="13.5" thickBot="1">
      <c r="B246" s="66" t="s">
        <v>180</v>
      </c>
      <c r="C246" s="69">
        <f>SUM(C240:C245)</f>
        <v>383.62599999999998</v>
      </c>
      <c r="G246" s="67"/>
    </row>
    <row r="247" spans="1:7" s="66" customFormat="1" ht="13.5" thickTop="1">
      <c r="G247" s="67"/>
    </row>
    <row r="248" spans="1:7" s="66" customFormat="1">
      <c r="B248" s="66" t="s">
        <v>176</v>
      </c>
      <c r="C248" s="66">
        <f>SUM(C241:C245)</f>
        <v>383.62599999999998</v>
      </c>
      <c r="G248" s="67"/>
    </row>
    <row r="249" spans="1:7" s="66" customFormat="1">
      <c r="G249" s="67"/>
    </row>
    <row r="250" spans="1:7" s="66" customFormat="1">
      <c r="G250" s="67"/>
    </row>
    <row r="251" spans="1:7">
      <c r="A251" s="56">
        <v>13</v>
      </c>
      <c r="B251" s="55" t="s">
        <v>181</v>
      </c>
    </row>
    <row r="253" spans="1:7">
      <c r="B253" s="56" t="s">
        <v>260</v>
      </c>
      <c r="C253" s="58">
        <v>0</v>
      </c>
    </row>
    <row r="254" spans="1:7">
      <c r="B254" s="56" t="s">
        <v>262</v>
      </c>
      <c r="C254" s="58">
        <v>0</v>
      </c>
    </row>
    <row r="255" spans="1:7">
      <c r="B255" s="56" t="s">
        <v>263</v>
      </c>
      <c r="C255" s="58">
        <v>0</v>
      </c>
    </row>
    <row r="256" spans="1:7" ht="13.5" thickBot="1">
      <c r="B256" s="56" t="s">
        <v>261</v>
      </c>
      <c r="C256" s="59">
        <f>C253+C254-C255</f>
        <v>0</v>
      </c>
    </row>
    <row r="257" spans="1:23" ht="13.5" thickTop="1"/>
    <row r="258" spans="1:23">
      <c r="B258" s="56" t="s">
        <v>264</v>
      </c>
      <c r="C258" s="56">
        <f>C256-C253</f>
        <v>0</v>
      </c>
    </row>
    <row r="259" spans="1:23" s="75" customFormat="1">
      <c r="A259" s="56"/>
      <c r="B259" s="71" t="s">
        <v>233</v>
      </c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</row>
    <row r="260" spans="1:23" s="75" customFormat="1">
      <c r="B260" s="75" t="s">
        <v>189</v>
      </c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</row>
    <row r="261" spans="1:23" s="75" customFormat="1"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</row>
    <row r="262" spans="1:23" s="75" customFormat="1"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</row>
    <row r="263" spans="1:23">
      <c r="A263" s="75">
        <v>14</v>
      </c>
      <c r="B263" s="55" t="s">
        <v>184</v>
      </c>
      <c r="C263" s="56" t="s">
        <v>182</v>
      </c>
    </row>
    <row r="264" spans="1:23">
      <c r="B264" s="56" t="s">
        <v>64</v>
      </c>
      <c r="C264" s="56">
        <f>D27</f>
        <v>-11314.656999999999</v>
      </c>
    </row>
    <row r="265" spans="1:23">
      <c r="B265" s="56" t="s">
        <v>65</v>
      </c>
      <c r="C265" s="58">
        <v>0</v>
      </c>
    </row>
    <row r="266" spans="1:23">
      <c r="B266" s="56" t="s">
        <v>66</v>
      </c>
      <c r="C266" s="58">
        <v>0</v>
      </c>
    </row>
    <row r="267" spans="1:23">
      <c r="B267" s="56" t="s">
        <v>183</v>
      </c>
      <c r="C267" s="58">
        <v>0</v>
      </c>
    </row>
    <row r="268" spans="1:23">
      <c r="B268" s="56" t="s">
        <v>67</v>
      </c>
      <c r="C268" s="58">
        <v>-11315</v>
      </c>
    </row>
    <row r="269" spans="1:23">
      <c r="B269" s="56" t="s">
        <v>185</v>
      </c>
      <c r="C269" s="58">
        <v>0</v>
      </c>
    </row>
    <row r="270" spans="1:23">
      <c r="B270" s="56" t="s">
        <v>136</v>
      </c>
      <c r="C270" s="58">
        <v>0</v>
      </c>
    </row>
    <row r="271" spans="1:23">
      <c r="B271" s="56" t="s">
        <v>137</v>
      </c>
      <c r="C271" s="58">
        <v>0</v>
      </c>
    </row>
    <row r="272" spans="1:23" ht="13.5" thickBot="1"/>
    <row r="273" spans="1:23" ht="13.5" thickBot="1">
      <c r="B273" s="60" t="s">
        <v>76</v>
      </c>
      <c r="C273" s="61">
        <f>C264-SUM(C265:C271)</f>
        <v>0.3430000000007567</v>
      </c>
    </row>
    <row r="275" spans="1:23" s="47" customFormat="1">
      <c r="A275" s="56">
        <v>15</v>
      </c>
      <c r="B275" s="70" t="s">
        <v>188</v>
      </c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</row>
    <row r="276" spans="1:23" s="47" customFormat="1">
      <c r="B276" s="70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</row>
    <row r="277" spans="1:23" s="47" customFormat="1">
      <c r="B277" s="47" t="s">
        <v>187</v>
      </c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</row>
    <row r="278" spans="1:23" s="47" customFormat="1">
      <c r="B278" s="47" t="s">
        <v>175</v>
      </c>
      <c r="C278" s="78">
        <v>0</v>
      </c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</row>
    <row r="279" spans="1:23" s="47" customFormat="1">
      <c r="B279" s="47" t="s">
        <v>167</v>
      </c>
      <c r="C279" s="78">
        <v>0</v>
      </c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</row>
    <row r="280" spans="1:23" s="47" customFormat="1">
      <c r="B280" s="47" t="s">
        <v>212</v>
      </c>
      <c r="C280" s="78">
        <v>0</v>
      </c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</row>
    <row r="281" spans="1:23" s="47" customFormat="1">
      <c r="B281" s="47" t="s">
        <v>211</v>
      </c>
      <c r="C281" s="78">
        <v>0</v>
      </c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</row>
    <row r="282" spans="1:23" s="47" customFormat="1">
      <c r="B282" s="47" t="s">
        <v>169</v>
      </c>
      <c r="C282" s="78">
        <v>0</v>
      </c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</row>
    <row r="283" spans="1:23" s="47" customFormat="1">
      <c r="B283" s="47" t="s">
        <v>58</v>
      </c>
      <c r="C283" s="78">
        <v>0</v>
      </c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</row>
    <row r="284" spans="1:23" s="47" customFormat="1">
      <c r="B284" s="47" t="s">
        <v>166</v>
      </c>
      <c r="C284" s="78">
        <v>0</v>
      </c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</row>
    <row r="285" spans="1:23" s="79" customFormat="1" ht="13.5" thickBot="1">
      <c r="B285" s="79" t="s">
        <v>160</v>
      </c>
      <c r="C285" s="80">
        <f>SUM(C278:C284)</f>
        <v>0</v>
      </c>
      <c r="G285" s="81"/>
    </row>
    <row r="286" spans="1:23" s="79" customFormat="1" ht="13.5" thickTop="1">
      <c r="G286" s="81"/>
    </row>
    <row r="287" spans="1:23" s="79" customFormat="1">
      <c r="B287" s="79" t="s">
        <v>176</v>
      </c>
      <c r="C287" s="79">
        <f>SUM(C279:C284)</f>
        <v>0</v>
      </c>
      <c r="G287" s="81"/>
    </row>
    <row r="288" spans="1:23" s="47" customFormat="1"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</row>
    <row r="289" spans="1:23" s="47" customFormat="1"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</row>
    <row r="290" spans="1:23">
      <c r="A290" s="47">
        <v>16</v>
      </c>
      <c r="B290" s="55" t="s">
        <v>190</v>
      </c>
    </row>
    <row r="291" spans="1:23" ht="25.5">
      <c r="C291" s="57" t="s">
        <v>72</v>
      </c>
      <c r="D291" s="57" t="s">
        <v>73</v>
      </c>
      <c r="E291" s="57" t="s">
        <v>74</v>
      </c>
      <c r="F291" s="57" t="s">
        <v>56</v>
      </c>
      <c r="G291" s="57" t="s">
        <v>75</v>
      </c>
    </row>
    <row r="292" spans="1:23">
      <c r="B292" s="56" t="s">
        <v>192</v>
      </c>
      <c r="C292" s="58">
        <v>0</v>
      </c>
      <c r="D292" s="58">
        <v>0</v>
      </c>
      <c r="E292" s="58">
        <v>0</v>
      </c>
      <c r="F292" s="56">
        <f>C292+D292-E292</f>
        <v>0</v>
      </c>
      <c r="G292" s="57">
        <f>F292-C292</f>
        <v>0</v>
      </c>
    </row>
    <row r="293" spans="1:23">
      <c r="B293" s="56" t="s">
        <v>191</v>
      </c>
      <c r="C293" s="58">
        <v>125.6</v>
      </c>
      <c r="D293" s="58">
        <v>49</v>
      </c>
      <c r="E293" s="58">
        <v>99</v>
      </c>
      <c r="F293" s="56">
        <f>C293+D293-E293</f>
        <v>75.599999999999994</v>
      </c>
      <c r="G293" s="57">
        <f>F293-C293</f>
        <v>-50</v>
      </c>
    </row>
    <row r="295" spans="1:23">
      <c r="B295" s="56" t="s">
        <v>194</v>
      </c>
      <c r="C295" s="58">
        <v>0</v>
      </c>
    </row>
    <row r="296" spans="1:23">
      <c r="B296" s="56" t="s">
        <v>193</v>
      </c>
      <c r="C296" s="56">
        <f>D292</f>
        <v>0</v>
      </c>
    </row>
    <row r="297" spans="1:23" ht="38.25">
      <c r="B297" s="57" t="s">
        <v>195</v>
      </c>
      <c r="C297" s="58">
        <v>0</v>
      </c>
    </row>
    <row r="299" spans="1:23" ht="25.5">
      <c r="B299" s="57" t="s">
        <v>196</v>
      </c>
      <c r="C299" s="56">
        <f>C295-E292-C297</f>
        <v>0</v>
      </c>
    </row>
    <row r="302" spans="1:23">
      <c r="A302" s="56">
        <v>17</v>
      </c>
      <c r="B302" s="55" t="s">
        <v>77</v>
      </c>
    </row>
    <row r="303" spans="1:23">
      <c r="B303" s="56" t="s">
        <v>80</v>
      </c>
    </row>
    <row r="304" spans="1:23" ht="25.5">
      <c r="B304" s="57" t="s">
        <v>197</v>
      </c>
      <c r="C304" s="58">
        <v>0</v>
      </c>
    </row>
    <row r="305" spans="2:3" ht="25.5">
      <c r="B305" s="57" t="s">
        <v>213</v>
      </c>
      <c r="C305" s="58">
        <v>0</v>
      </c>
    </row>
    <row r="306" spans="2:3" ht="25.5">
      <c r="B306" s="57" t="s">
        <v>214</v>
      </c>
      <c r="C306" s="58">
        <v>0</v>
      </c>
    </row>
    <row r="307" spans="2:3">
      <c r="B307" s="56" t="s">
        <v>87</v>
      </c>
      <c r="C307" s="58">
        <v>0</v>
      </c>
    </row>
    <row r="308" spans="2:3">
      <c r="B308" s="56" t="s">
        <v>88</v>
      </c>
      <c r="C308" s="58">
        <v>0</v>
      </c>
    </row>
    <row r="309" spans="2:3">
      <c r="B309" s="56" t="s">
        <v>266</v>
      </c>
      <c r="C309" s="58">
        <v>0</v>
      </c>
    </row>
    <row r="310" spans="2:3">
      <c r="B310" s="58" t="s">
        <v>201</v>
      </c>
      <c r="C310" s="58">
        <v>0</v>
      </c>
    </row>
    <row r="311" spans="2:3">
      <c r="B311" s="58" t="s">
        <v>201</v>
      </c>
      <c r="C311" s="58">
        <v>0</v>
      </c>
    </row>
    <row r="312" spans="2:3">
      <c r="B312" s="58" t="s">
        <v>201</v>
      </c>
      <c r="C312" s="58">
        <v>0</v>
      </c>
    </row>
    <row r="313" spans="2:3">
      <c r="B313" s="56" t="s">
        <v>267</v>
      </c>
      <c r="C313" s="56">
        <f>SUM(C304:C312)</f>
        <v>0</v>
      </c>
    </row>
    <row r="315" spans="2:3">
      <c r="B315" s="56" t="s">
        <v>78</v>
      </c>
    </row>
    <row r="316" spans="2:3" ht="25.5">
      <c r="B316" s="57" t="s">
        <v>198</v>
      </c>
      <c r="C316" s="58">
        <v>0</v>
      </c>
    </row>
    <row r="317" spans="2:3" ht="25.5">
      <c r="B317" s="57" t="s">
        <v>215</v>
      </c>
      <c r="C317" s="58">
        <v>0</v>
      </c>
    </row>
    <row r="318" spans="2:3" ht="25.5">
      <c r="B318" s="57" t="s">
        <v>216</v>
      </c>
      <c r="C318" s="58">
        <v>0</v>
      </c>
    </row>
    <row r="319" spans="2:3">
      <c r="B319" s="56" t="s">
        <v>199</v>
      </c>
      <c r="C319" s="58">
        <v>0</v>
      </c>
    </row>
    <row r="320" spans="2:3">
      <c r="B320" s="56" t="s">
        <v>200</v>
      </c>
      <c r="C320" s="58">
        <v>0</v>
      </c>
    </row>
    <row r="321" spans="1:7">
      <c r="B321" s="56" t="s">
        <v>265</v>
      </c>
      <c r="C321" s="58">
        <v>0</v>
      </c>
    </row>
    <row r="322" spans="1:7">
      <c r="B322" s="58" t="s">
        <v>81</v>
      </c>
      <c r="C322" s="58">
        <v>0</v>
      </c>
    </row>
    <row r="323" spans="1:7">
      <c r="B323" s="58" t="s">
        <v>82</v>
      </c>
      <c r="C323" s="58">
        <v>0</v>
      </c>
    </row>
    <row r="324" spans="1:7">
      <c r="B324" s="58" t="s">
        <v>83</v>
      </c>
      <c r="C324" s="58">
        <v>0</v>
      </c>
    </row>
    <row r="325" spans="1:7">
      <c r="B325" s="58" t="s">
        <v>84</v>
      </c>
      <c r="C325" s="58">
        <v>0</v>
      </c>
    </row>
    <row r="326" spans="1:7">
      <c r="B326" s="58" t="s">
        <v>85</v>
      </c>
      <c r="C326" s="58">
        <v>0</v>
      </c>
    </row>
    <row r="327" spans="1:7">
      <c r="B327" s="58" t="s">
        <v>86</v>
      </c>
      <c r="C327" s="58">
        <v>0</v>
      </c>
    </row>
    <row r="328" spans="1:7">
      <c r="B328" s="56" t="s">
        <v>268</v>
      </c>
      <c r="C328" s="56">
        <f>SUM(C316:C327)</f>
        <v>0</v>
      </c>
    </row>
    <row r="330" spans="1:7">
      <c r="B330" s="56" t="s">
        <v>269</v>
      </c>
      <c r="C330" s="56">
        <f>C328-C313</f>
        <v>0</v>
      </c>
    </row>
    <row r="333" spans="1:7">
      <c r="A333" s="56">
        <v>18</v>
      </c>
      <c r="B333" s="55" t="s">
        <v>222</v>
      </c>
    </row>
    <row r="334" spans="1:7">
      <c r="B334" s="56" t="s">
        <v>68</v>
      </c>
    </row>
    <row r="335" spans="1:7" s="66" customFormat="1">
      <c r="B335" s="66" t="s">
        <v>223</v>
      </c>
      <c r="G335" s="67"/>
    </row>
    <row r="336" spans="1:7" s="66" customFormat="1">
      <c r="B336" s="66" t="s">
        <v>224</v>
      </c>
      <c r="C336" s="68"/>
      <c r="G336" s="67"/>
    </row>
    <row r="337" spans="2:7" s="66" customFormat="1">
      <c r="B337" s="66" t="s">
        <v>225</v>
      </c>
      <c r="C337" s="68"/>
      <c r="G337" s="67"/>
    </row>
    <row r="338" spans="2:7" s="66" customFormat="1">
      <c r="B338" s="66" t="s">
        <v>226</v>
      </c>
      <c r="C338" s="68"/>
      <c r="G338" s="67"/>
    </row>
    <row r="339" spans="2:7" s="66" customFormat="1">
      <c r="B339" s="66" t="s">
        <v>227</v>
      </c>
      <c r="G339" s="67"/>
    </row>
    <row r="340" spans="2:7" s="66" customFormat="1">
      <c r="B340" s="66" t="s">
        <v>228</v>
      </c>
      <c r="C340" s="68"/>
      <c r="G340" s="67"/>
    </row>
    <row r="341" spans="2:7" s="66" customFormat="1">
      <c r="B341" s="66" t="s">
        <v>229</v>
      </c>
      <c r="C341" s="68"/>
      <c r="G341" s="67"/>
    </row>
    <row r="342" spans="2:7" s="66" customFormat="1">
      <c r="B342" s="66" t="s">
        <v>230</v>
      </c>
      <c r="C342" s="68"/>
      <c r="G342" s="67"/>
    </row>
    <row r="343" spans="2:7" s="66" customFormat="1">
      <c r="B343" s="66" t="s">
        <v>231</v>
      </c>
      <c r="C343" s="68"/>
      <c r="G343" s="67"/>
    </row>
    <row r="344" spans="2:7" s="66" customFormat="1">
      <c r="B344" s="66" t="s">
        <v>232</v>
      </c>
      <c r="G344" s="67"/>
    </row>
    <row r="346" spans="2:7">
      <c r="B346" s="56" t="s">
        <v>69</v>
      </c>
    </row>
    <row r="347" spans="2:7">
      <c r="B347" s="56" t="s">
        <v>70</v>
      </c>
    </row>
  </sheetData>
  <phoneticPr fontId="0" type="noConversion"/>
  <pageMargins left="0.47" right="0.3" top="0.64" bottom="0.78740157480314965" header="0.39370078740157483" footer="0.39370078740157483"/>
  <pageSetup paperSize="9" scale="80" orientation="portrait" r:id="rId1"/>
  <headerFooter alignWithMargins="0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/>
  <sheetData/>
  <pageMargins left="0.7" right="0.7" top="0.75" bottom="0.75" header="0.3" footer="0.3"/>
  <customProperties>
    <customPr name="OrphanNamesChecke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A205-A3F6-472B-BBFB-336A442A0E60}">
  <dimension ref="A1:H116"/>
  <sheetViews>
    <sheetView workbookViewId="0">
      <selection activeCell="F12" sqref="F12:F18"/>
    </sheetView>
  </sheetViews>
  <sheetFormatPr defaultRowHeight="12.75"/>
  <cols>
    <col min="1" max="1" width="21" customWidth="1"/>
  </cols>
  <sheetData>
    <row r="1" spans="1:6">
      <c r="A1" s="122" t="s">
        <v>280</v>
      </c>
      <c r="B1" s="123" t="s">
        <v>281</v>
      </c>
      <c r="C1" s="123" t="s">
        <v>282</v>
      </c>
      <c r="D1" s="124" t="s">
        <v>283</v>
      </c>
      <c r="E1" s="124" t="s">
        <v>284</v>
      </c>
    </row>
    <row r="2" spans="1:6">
      <c r="A2" s="125" t="s">
        <v>285</v>
      </c>
      <c r="B2" s="126"/>
      <c r="C2" s="127"/>
      <c r="D2" s="128">
        <v>14294.09</v>
      </c>
      <c r="E2" s="128">
        <v>15689.09</v>
      </c>
      <c r="F2" s="114">
        <f>E2-D2</f>
        <v>1395</v>
      </c>
    </row>
    <row r="3" spans="1:6">
      <c r="A3" s="125" t="s">
        <v>286</v>
      </c>
      <c r="B3" s="126"/>
      <c r="C3" s="127"/>
      <c r="D3" s="128">
        <v>3172029.41</v>
      </c>
      <c r="E3" s="128">
        <v>4525186.72</v>
      </c>
      <c r="F3" s="114">
        <f t="shared" ref="F3:F66" si="0">E3-D3</f>
        <v>1353157.3099999996</v>
      </c>
    </row>
    <row r="4" spans="1:6">
      <c r="A4" s="125" t="s">
        <v>287</v>
      </c>
      <c r="B4" s="126"/>
      <c r="C4" s="127"/>
      <c r="D4" s="128">
        <v>76124.97</v>
      </c>
      <c r="E4" s="128">
        <v>80194.86</v>
      </c>
      <c r="F4" s="114">
        <f t="shared" si="0"/>
        <v>4069.8899999999994</v>
      </c>
    </row>
    <row r="5" spans="1:6">
      <c r="A5" s="125" t="s">
        <v>288</v>
      </c>
      <c r="B5" s="126"/>
      <c r="C5" s="127"/>
      <c r="D5" s="128">
        <v>0</v>
      </c>
      <c r="E5" s="128">
        <v>0</v>
      </c>
      <c r="F5" s="114">
        <f t="shared" si="0"/>
        <v>0</v>
      </c>
    </row>
    <row r="6" spans="1:6">
      <c r="A6" s="125" t="s">
        <v>289</v>
      </c>
      <c r="B6" s="126"/>
      <c r="C6" s="127"/>
      <c r="D6" s="128">
        <v>11511</v>
      </c>
      <c r="E6" s="128">
        <v>0</v>
      </c>
      <c r="F6" s="114">
        <f t="shared" si="0"/>
        <v>-11511</v>
      </c>
    </row>
    <row r="7" spans="1:6">
      <c r="A7" s="125" t="s">
        <v>290</v>
      </c>
      <c r="B7" s="126"/>
      <c r="C7" s="127"/>
      <c r="D7" s="128">
        <v>0</v>
      </c>
      <c r="E7" s="128">
        <v>0</v>
      </c>
      <c r="F7" s="114">
        <f t="shared" si="0"/>
        <v>0</v>
      </c>
    </row>
    <row r="8" spans="1:6">
      <c r="A8" s="125" t="s">
        <v>291</v>
      </c>
      <c r="B8" s="126"/>
      <c r="C8" s="127"/>
      <c r="D8" s="128">
        <v>-10383.58</v>
      </c>
      <c r="E8" s="128">
        <v>-13334.72</v>
      </c>
      <c r="F8" s="114">
        <f t="shared" si="0"/>
        <v>-2951.1399999999994</v>
      </c>
    </row>
    <row r="9" spans="1:6">
      <c r="A9" s="125" t="s">
        <v>292</v>
      </c>
      <c r="B9" s="126"/>
      <c r="C9" s="127"/>
      <c r="D9" s="128">
        <v>-2144135.4799999995</v>
      </c>
      <c r="E9" s="128">
        <v>-2507320.25</v>
      </c>
      <c r="F9" s="114">
        <f t="shared" si="0"/>
        <v>-363184.77000000048</v>
      </c>
    </row>
    <row r="10" spans="1:6">
      <c r="A10" s="125" t="s">
        <v>293</v>
      </c>
      <c r="B10" s="126"/>
      <c r="C10" s="127"/>
      <c r="D10" s="128">
        <v>-17821.990000000002</v>
      </c>
      <c r="E10" s="128">
        <v>-21645.24</v>
      </c>
      <c r="F10" s="114">
        <f t="shared" si="0"/>
        <v>-3823.25</v>
      </c>
    </row>
    <row r="11" spans="1:6">
      <c r="A11" s="125" t="s">
        <v>294</v>
      </c>
      <c r="B11" s="126"/>
      <c r="C11" s="127"/>
      <c r="D11" s="128">
        <v>0</v>
      </c>
      <c r="E11" s="128">
        <v>0</v>
      </c>
      <c r="F11" s="114">
        <f t="shared" si="0"/>
        <v>0</v>
      </c>
    </row>
    <row r="12" spans="1:6">
      <c r="A12" s="125" t="s">
        <v>295</v>
      </c>
      <c r="B12" s="126"/>
      <c r="C12" s="127"/>
      <c r="D12" s="128">
        <v>0</v>
      </c>
      <c r="E12" s="128">
        <v>0</v>
      </c>
      <c r="F12" s="114">
        <f t="shared" si="0"/>
        <v>0</v>
      </c>
    </row>
    <row r="13" spans="1:6">
      <c r="A13" s="125" t="s">
        <v>296</v>
      </c>
      <c r="B13" s="126"/>
      <c r="C13" s="127"/>
      <c r="D13" s="128">
        <v>1157728.1199999999</v>
      </c>
      <c r="E13" s="128">
        <v>914381.31</v>
      </c>
      <c r="F13" s="114">
        <f t="shared" si="0"/>
        <v>-243346.80999999982</v>
      </c>
    </row>
    <row r="14" spans="1:6">
      <c r="A14" s="125" t="s">
        <v>297</v>
      </c>
      <c r="B14" s="126"/>
      <c r="C14" s="127"/>
      <c r="D14" s="128">
        <v>31968</v>
      </c>
      <c r="E14" s="128">
        <v>0</v>
      </c>
      <c r="F14" s="114">
        <f t="shared" si="0"/>
        <v>-31968</v>
      </c>
    </row>
    <row r="15" spans="1:6">
      <c r="A15" s="125" t="s">
        <v>298</v>
      </c>
      <c r="B15" s="126"/>
      <c r="C15" s="127"/>
      <c r="D15" s="128">
        <v>453510.89</v>
      </c>
      <c r="E15" s="128">
        <v>452109.27</v>
      </c>
      <c r="F15" s="114">
        <f t="shared" si="0"/>
        <v>-1401.6199999999953</v>
      </c>
    </row>
    <row r="16" spans="1:6">
      <c r="A16" s="125" t="s">
        <v>299</v>
      </c>
      <c r="B16" s="126"/>
      <c r="C16" s="127"/>
      <c r="D16" s="128">
        <v>219325.3</v>
      </c>
      <c r="E16" s="128">
        <v>397023.29</v>
      </c>
      <c r="F16" s="114">
        <f t="shared" si="0"/>
        <v>177697.99</v>
      </c>
    </row>
    <row r="17" spans="1:6">
      <c r="A17" s="125" t="s">
        <v>300</v>
      </c>
      <c r="B17" s="126"/>
      <c r="C17" s="127"/>
      <c r="D17" s="128">
        <v>0</v>
      </c>
      <c r="E17" s="128">
        <v>0</v>
      </c>
      <c r="F17" s="114">
        <f t="shared" si="0"/>
        <v>0</v>
      </c>
    </row>
    <row r="18" spans="1:6">
      <c r="A18" s="125" t="s">
        <v>301</v>
      </c>
      <c r="B18" s="126"/>
      <c r="C18" s="127"/>
      <c r="D18" s="128">
        <v>121527.22</v>
      </c>
      <c r="E18" s="128">
        <v>82065.05</v>
      </c>
      <c r="F18" s="114">
        <f t="shared" si="0"/>
        <v>-39462.17</v>
      </c>
    </row>
    <row r="19" spans="1:6">
      <c r="A19" s="125" t="s">
        <v>302</v>
      </c>
      <c r="B19" s="126"/>
      <c r="C19" s="127"/>
      <c r="D19" s="128">
        <v>-58480.71</v>
      </c>
      <c r="E19" s="128">
        <v>-118491.4</v>
      </c>
      <c r="F19" s="114">
        <f t="shared" si="0"/>
        <v>-60010.689999999995</v>
      </c>
    </row>
    <row r="20" spans="1:6">
      <c r="A20" s="125" t="s">
        <v>303</v>
      </c>
      <c r="B20" s="126"/>
      <c r="C20" s="127"/>
      <c r="D20" s="128">
        <v>-3491.41</v>
      </c>
      <c r="E20" s="128">
        <v>-88119.59</v>
      </c>
      <c r="F20" s="114">
        <f t="shared" si="0"/>
        <v>-84628.18</v>
      </c>
    </row>
    <row r="21" spans="1:6">
      <c r="A21" s="125" t="s">
        <v>304</v>
      </c>
      <c r="B21" s="126"/>
      <c r="C21" s="127"/>
      <c r="D21" s="128">
        <v>-16385.490000000002</v>
      </c>
      <c r="E21" s="128">
        <v>-63347.76</v>
      </c>
      <c r="F21" s="114">
        <f t="shared" si="0"/>
        <v>-46962.270000000004</v>
      </c>
    </row>
    <row r="22" spans="1:6">
      <c r="A22" s="125" t="s">
        <v>305</v>
      </c>
      <c r="B22" s="126"/>
      <c r="C22" s="127"/>
      <c r="D22" s="128">
        <v>0</v>
      </c>
      <c r="E22" s="128">
        <v>-1551.6</v>
      </c>
      <c r="F22" s="114">
        <f t="shared" si="0"/>
        <v>-1551.6</v>
      </c>
    </row>
    <row r="23" spans="1:6">
      <c r="A23" s="125" t="s">
        <v>306</v>
      </c>
      <c r="B23" s="126"/>
      <c r="C23" s="127"/>
      <c r="D23" s="128">
        <v>219.92</v>
      </c>
      <c r="E23" s="128">
        <v>508.94</v>
      </c>
      <c r="F23" s="114">
        <f t="shared" si="0"/>
        <v>289.02</v>
      </c>
    </row>
    <row r="24" spans="1:6">
      <c r="A24" s="125" t="s">
        <v>307</v>
      </c>
      <c r="B24" s="126"/>
      <c r="C24" s="127"/>
      <c r="D24" s="128">
        <v>280</v>
      </c>
      <c r="E24" s="128">
        <v>120</v>
      </c>
      <c r="F24" s="114">
        <f t="shared" si="0"/>
        <v>-160</v>
      </c>
    </row>
    <row r="25" spans="1:6">
      <c r="A25" s="125" t="s">
        <v>308</v>
      </c>
      <c r="B25" s="126"/>
      <c r="C25" s="127"/>
      <c r="D25" s="128">
        <v>-385002.15</v>
      </c>
      <c r="E25" s="128">
        <v>-209189.76000000001</v>
      </c>
      <c r="F25" s="114">
        <f t="shared" si="0"/>
        <v>175812.39</v>
      </c>
    </row>
    <row r="26" spans="1:6">
      <c r="A26" s="125" t="s">
        <v>309</v>
      </c>
      <c r="B26" s="126"/>
      <c r="C26" s="127"/>
      <c r="D26" s="128">
        <v>0</v>
      </c>
      <c r="E26" s="128">
        <v>0</v>
      </c>
      <c r="F26" s="114">
        <f t="shared" si="0"/>
        <v>0</v>
      </c>
    </row>
    <row r="27" spans="1:6">
      <c r="A27" s="129" t="s">
        <v>310</v>
      </c>
      <c r="B27" s="130"/>
      <c r="C27" s="131"/>
      <c r="D27" s="132">
        <v>2785952.1500000004</v>
      </c>
      <c r="E27" s="132">
        <v>2293938.17</v>
      </c>
      <c r="F27" s="133">
        <f t="shared" si="0"/>
        <v>-492013.98000000045</v>
      </c>
    </row>
    <row r="28" spans="1:6">
      <c r="A28" s="129" t="s">
        <v>311</v>
      </c>
      <c r="B28" s="130"/>
      <c r="C28" s="131"/>
      <c r="D28" s="132">
        <v>310383.31</v>
      </c>
      <c r="E28" s="132">
        <v>615078.22000000009</v>
      </c>
      <c r="F28" s="133">
        <f t="shared" si="0"/>
        <v>304694.91000000009</v>
      </c>
    </row>
    <row r="29" spans="1:6">
      <c r="A29" s="129" t="s">
        <v>312</v>
      </c>
      <c r="B29" s="130"/>
      <c r="C29" s="131"/>
      <c r="D29" s="132">
        <v>9360.51</v>
      </c>
      <c r="E29" s="132">
        <v>0</v>
      </c>
      <c r="F29" s="133">
        <f t="shared" si="0"/>
        <v>-9360.51</v>
      </c>
    </row>
    <row r="30" spans="1:6">
      <c r="A30" s="134" t="s">
        <v>313</v>
      </c>
      <c r="B30" s="135"/>
      <c r="C30" s="136"/>
      <c r="D30" s="137">
        <v>-3162980.27</v>
      </c>
      <c r="E30" s="137">
        <v>-2312294.2400000002</v>
      </c>
      <c r="F30" s="138">
        <f t="shared" si="0"/>
        <v>850686.0299999998</v>
      </c>
    </row>
    <row r="31" spans="1:6">
      <c r="A31" s="125" t="s">
        <v>314</v>
      </c>
      <c r="B31" s="126"/>
      <c r="C31" s="127"/>
      <c r="D31" s="128">
        <v>-219461.78</v>
      </c>
      <c r="E31" s="128">
        <v>-276414.68</v>
      </c>
      <c r="F31" s="114">
        <f t="shared" si="0"/>
        <v>-56952.899999999994</v>
      </c>
    </row>
    <row r="32" spans="1:6">
      <c r="A32" s="134" t="s">
        <v>315</v>
      </c>
      <c r="B32" s="135"/>
      <c r="C32" s="136"/>
      <c r="D32" s="137">
        <v>-220869</v>
      </c>
      <c r="E32" s="137">
        <v>-521524.25</v>
      </c>
      <c r="F32" s="138">
        <f t="shared" si="0"/>
        <v>-300655.25</v>
      </c>
    </row>
    <row r="33" spans="1:6">
      <c r="A33" s="134" t="s">
        <v>316</v>
      </c>
      <c r="B33" s="135"/>
      <c r="C33" s="136"/>
      <c r="D33" s="137">
        <v>0</v>
      </c>
      <c r="E33" s="137">
        <v>-31595.13</v>
      </c>
      <c r="F33" s="138">
        <f t="shared" si="0"/>
        <v>-31595.13</v>
      </c>
    </row>
    <row r="34" spans="1:6">
      <c r="A34" s="134" t="s">
        <v>317</v>
      </c>
      <c r="B34" s="135"/>
      <c r="C34" s="136"/>
      <c r="D34" s="137">
        <v>0</v>
      </c>
      <c r="E34" s="137">
        <v>-26611.279999999999</v>
      </c>
      <c r="F34" s="138">
        <f t="shared" si="0"/>
        <v>-26611.279999999999</v>
      </c>
    </row>
    <row r="35" spans="1:6">
      <c r="A35" s="134" t="s">
        <v>318</v>
      </c>
      <c r="B35" s="135"/>
      <c r="C35" s="136"/>
      <c r="D35" s="137">
        <v>-134765.99</v>
      </c>
      <c r="E35" s="137">
        <v>-131959.48000000001</v>
      </c>
      <c r="F35" s="138">
        <f t="shared" si="0"/>
        <v>2806.5099999999802</v>
      </c>
    </row>
    <row r="36" spans="1:6">
      <c r="A36" s="134" t="s">
        <v>319</v>
      </c>
      <c r="B36" s="135"/>
      <c r="C36" s="136"/>
      <c r="D36" s="137">
        <v>0</v>
      </c>
      <c r="E36" s="137">
        <v>0</v>
      </c>
      <c r="F36" s="138">
        <f t="shared" si="0"/>
        <v>0</v>
      </c>
    </row>
    <row r="37" spans="1:6">
      <c r="A37" s="134" t="s">
        <v>320</v>
      </c>
      <c r="B37" s="135"/>
      <c r="C37" s="136"/>
      <c r="D37" s="137">
        <v>20145.719999999998</v>
      </c>
      <c r="E37" s="137">
        <v>20094.080000000002</v>
      </c>
      <c r="F37" s="138">
        <f t="shared" si="0"/>
        <v>-51.63999999999578</v>
      </c>
    </row>
    <row r="38" spans="1:6">
      <c r="A38" s="134" t="s">
        <v>321</v>
      </c>
      <c r="B38" s="135"/>
      <c r="C38" s="136"/>
      <c r="D38" s="137">
        <v>-84446.71</v>
      </c>
      <c r="E38" s="137">
        <v>-82388.759999999995</v>
      </c>
      <c r="F38" s="138">
        <f t="shared" si="0"/>
        <v>2057.9500000000116</v>
      </c>
    </row>
    <row r="39" spans="1:6">
      <c r="A39" s="125" t="s">
        <v>322</v>
      </c>
      <c r="B39" s="126"/>
      <c r="C39" s="127"/>
      <c r="D39" s="128">
        <v>-34900.39</v>
      </c>
      <c r="E39" s="128">
        <v>-137364.92000000001</v>
      </c>
      <c r="F39" s="114">
        <f t="shared" si="0"/>
        <v>-102464.53000000001</v>
      </c>
    </row>
    <row r="40" spans="1:6">
      <c r="A40" s="134" t="s">
        <v>323</v>
      </c>
      <c r="B40" s="135"/>
      <c r="C40" s="136"/>
      <c r="D40" s="137">
        <v>-22856.33</v>
      </c>
      <c r="E40" s="137">
        <v>-16741.59</v>
      </c>
      <c r="F40" s="138">
        <f t="shared" si="0"/>
        <v>6114.7400000000016</v>
      </c>
    </row>
    <row r="41" spans="1:6">
      <c r="A41" s="129" t="s">
        <v>324</v>
      </c>
      <c r="B41" s="130"/>
      <c r="C41" s="131"/>
      <c r="D41" s="132">
        <v>294779.78000000003</v>
      </c>
      <c r="E41" s="132">
        <v>286801.49</v>
      </c>
      <c r="F41" s="133">
        <f t="shared" si="0"/>
        <v>-7978.2900000000373</v>
      </c>
    </row>
    <row r="42" spans="1:6">
      <c r="A42" s="134" t="s">
        <v>325</v>
      </c>
      <c r="B42" s="135"/>
      <c r="C42" s="136"/>
      <c r="D42" s="137">
        <v>-410.27</v>
      </c>
      <c r="E42" s="137">
        <v>-317.2</v>
      </c>
      <c r="F42" s="138">
        <f t="shared" si="0"/>
        <v>93.07</v>
      </c>
    </row>
    <row r="43" spans="1:6">
      <c r="A43" s="125" t="s">
        <v>326</v>
      </c>
      <c r="B43" s="126"/>
      <c r="C43" s="127"/>
      <c r="D43" s="128">
        <v>0</v>
      </c>
      <c r="E43" s="128">
        <v>0</v>
      </c>
      <c r="F43" s="114">
        <f t="shared" si="0"/>
        <v>0</v>
      </c>
    </row>
    <row r="44" spans="1:6">
      <c r="A44" s="125" t="s">
        <v>327</v>
      </c>
      <c r="B44" s="126"/>
      <c r="C44" s="127"/>
      <c r="D44" s="128">
        <v>-706000</v>
      </c>
      <c r="E44" s="128">
        <v>-706000</v>
      </c>
      <c r="F44" s="114">
        <f t="shared" si="0"/>
        <v>0</v>
      </c>
    </row>
    <row r="45" spans="1:6">
      <c r="A45" s="125" t="s">
        <v>328</v>
      </c>
      <c r="B45" s="126"/>
      <c r="C45" s="127"/>
      <c r="D45" s="128">
        <v>0</v>
      </c>
      <c r="E45" s="128">
        <v>0</v>
      </c>
      <c r="F45" s="114">
        <f t="shared" si="0"/>
        <v>0</v>
      </c>
    </row>
    <row r="46" spans="1:6">
      <c r="A46" s="129" t="s">
        <v>329</v>
      </c>
      <c r="B46" s="130"/>
      <c r="C46" s="131"/>
      <c r="D46" s="132">
        <v>25909.34</v>
      </c>
      <c r="E46" s="132">
        <v>0</v>
      </c>
      <c r="F46" s="133">
        <f t="shared" si="0"/>
        <v>-25909.34</v>
      </c>
    </row>
    <row r="47" spans="1:6">
      <c r="A47" s="134" t="s">
        <v>330</v>
      </c>
      <c r="B47" s="135"/>
      <c r="C47" s="136"/>
      <c r="D47" s="137">
        <v>-1258.3399999999999</v>
      </c>
      <c r="E47" s="137">
        <v>-1090.95</v>
      </c>
      <c r="F47" s="138">
        <f t="shared" si="0"/>
        <v>167.38999999999987</v>
      </c>
    </row>
    <row r="48" spans="1:6">
      <c r="A48" s="125" t="s">
        <v>331</v>
      </c>
      <c r="B48" s="126"/>
      <c r="C48" s="127"/>
      <c r="D48" s="128">
        <v>18369.07</v>
      </c>
      <c r="E48" s="128">
        <v>20616.669999999998</v>
      </c>
      <c r="F48" s="114">
        <f t="shared" si="0"/>
        <v>2247.5999999999985</v>
      </c>
    </row>
    <row r="49" spans="1:8">
      <c r="A49" s="125" t="s">
        <v>332</v>
      </c>
      <c r="B49" s="126"/>
      <c r="C49" s="127"/>
      <c r="D49" s="128">
        <v>0</v>
      </c>
      <c r="E49" s="128">
        <v>0</v>
      </c>
      <c r="F49" s="114">
        <f t="shared" si="0"/>
        <v>0</v>
      </c>
    </row>
    <row r="50" spans="1:8">
      <c r="A50" s="125" t="s">
        <v>333</v>
      </c>
      <c r="B50" s="126"/>
      <c r="C50" s="127"/>
      <c r="D50" s="128">
        <v>-631</v>
      </c>
      <c r="E50" s="128">
        <v>-473.25</v>
      </c>
      <c r="F50" s="114">
        <f t="shared" si="0"/>
        <v>157.75</v>
      </c>
    </row>
    <row r="51" spans="1:8">
      <c r="A51" s="125" t="s">
        <v>334</v>
      </c>
      <c r="B51" s="126"/>
      <c r="C51" s="127"/>
      <c r="D51" s="128">
        <v>0</v>
      </c>
      <c r="E51" s="128">
        <v>0</v>
      </c>
      <c r="F51" s="114">
        <f t="shared" si="0"/>
        <v>0</v>
      </c>
    </row>
    <row r="52" spans="1:8">
      <c r="A52" s="125" t="s">
        <v>335</v>
      </c>
      <c r="B52" s="126"/>
      <c r="C52" s="127"/>
      <c r="D52" s="128">
        <v>0</v>
      </c>
      <c r="E52" s="128">
        <v>0</v>
      </c>
      <c r="F52" s="114">
        <f t="shared" si="0"/>
        <v>0</v>
      </c>
    </row>
    <row r="53" spans="1:8">
      <c r="A53" s="125" t="s">
        <v>336</v>
      </c>
      <c r="B53" s="126"/>
      <c r="C53" s="127"/>
      <c r="D53" s="128">
        <v>0</v>
      </c>
      <c r="E53" s="128">
        <v>0</v>
      </c>
      <c r="F53" s="114">
        <f t="shared" si="0"/>
        <v>0</v>
      </c>
    </row>
    <row r="54" spans="1:8">
      <c r="A54" s="125" t="s">
        <v>337</v>
      </c>
      <c r="B54" s="126"/>
      <c r="C54" s="127"/>
      <c r="D54" s="128">
        <v>-6638.78</v>
      </c>
      <c r="E54" s="128">
        <v>-6638.78</v>
      </c>
      <c r="F54" s="114">
        <f t="shared" si="0"/>
        <v>0</v>
      </c>
    </row>
    <row r="55" spans="1:8">
      <c r="A55" s="125" t="s">
        <v>338</v>
      </c>
      <c r="B55" s="126"/>
      <c r="C55" s="127"/>
      <c r="D55" s="128">
        <v>-959577.79</v>
      </c>
      <c r="E55" s="128">
        <v>-959577.79</v>
      </c>
      <c r="F55" s="114">
        <f t="shared" si="0"/>
        <v>0</v>
      </c>
    </row>
    <row r="56" spans="1:8">
      <c r="A56" s="125" t="s">
        <v>339</v>
      </c>
      <c r="B56" s="126"/>
      <c r="C56" s="127"/>
      <c r="D56" s="128">
        <v>-663.89</v>
      </c>
      <c r="E56" s="128">
        <v>-663.89</v>
      </c>
      <c r="F56" s="114">
        <f t="shared" si="0"/>
        <v>0</v>
      </c>
    </row>
    <row r="57" spans="1:8">
      <c r="A57" s="125" t="s">
        <v>340</v>
      </c>
      <c r="B57" s="126"/>
      <c r="C57" s="127"/>
      <c r="D57" s="128">
        <v>-708890.44</v>
      </c>
      <c r="E57" s="128">
        <v>-982693.09</v>
      </c>
      <c r="F57" s="114">
        <f t="shared" si="0"/>
        <v>-273802.65000000002</v>
      </c>
    </row>
    <row r="58" spans="1:8">
      <c r="A58" s="125" t="s">
        <v>341</v>
      </c>
      <c r="B58" s="126"/>
      <c r="C58" s="127"/>
      <c r="D58" s="128">
        <v>923139.83000000007</v>
      </c>
      <c r="E58" s="128">
        <v>923139.83000000007</v>
      </c>
      <c r="F58" s="114">
        <f t="shared" si="0"/>
        <v>0</v>
      </c>
    </row>
    <row r="59" spans="1:8">
      <c r="A59" s="125" t="s">
        <v>342</v>
      </c>
      <c r="B59" s="126"/>
      <c r="C59" s="127"/>
      <c r="D59" s="128">
        <v>0</v>
      </c>
      <c r="E59" s="128">
        <v>0</v>
      </c>
      <c r="F59" s="114">
        <f t="shared" si="0"/>
        <v>0</v>
      </c>
    </row>
    <row r="60" spans="1:8">
      <c r="A60" s="125" t="s">
        <v>343</v>
      </c>
      <c r="B60" s="126"/>
      <c r="C60" s="127"/>
      <c r="D60" s="128">
        <v>-21322.98</v>
      </c>
      <c r="E60" s="128">
        <v>-24665.37</v>
      </c>
      <c r="F60" s="114">
        <f t="shared" si="0"/>
        <v>-3342.3899999999994</v>
      </c>
    </row>
    <row r="61" spans="1:8">
      <c r="A61" s="134" t="s">
        <v>344</v>
      </c>
      <c r="B61" s="135"/>
      <c r="C61" s="136"/>
      <c r="D61" s="137">
        <v>-225089.43</v>
      </c>
      <c r="E61" s="137">
        <v>-226985.33</v>
      </c>
      <c r="F61" s="138">
        <f t="shared" si="0"/>
        <v>-1895.8999999999942</v>
      </c>
    </row>
    <row r="62" spans="1:8">
      <c r="A62" s="134" t="s">
        <v>345</v>
      </c>
      <c r="B62" s="135"/>
      <c r="C62" s="136"/>
      <c r="D62" s="137">
        <v>-1484.73</v>
      </c>
      <c r="E62" s="137">
        <v>-1804.86</v>
      </c>
      <c r="F62" s="138">
        <f t="shared" si="0"/>
        <v>-320.12999999999988</v>
      </c>
    </row>
    <row r="63" spans="1:8">
      <c r="A63" s="125" t="s">
        <v>346</v>
      </c>
      <c r="B63" s="126"/>
      <c r="C63" s="127"/>
      <c r="D63" s="128">
        <v>-317960.77</v>
      </c>
      <c r="E63" s="128">
        <v>-228026.63</v>
      </c>
      <c r="F63" s="139">
        <f t="shared" si="0"/>
        <v>89934.140000000014</v>
      </c>
      <c r="G63" s="114">
        <f>F63-F65</f>
        <v>894637.57</v>
      </c>
      <c r="H63">
        <f>-129339</f>
        <v>-129339</v>
      </c>
    </row>
    <row r="64" spans="1:8">
      <c r="A64" s="134" t="s">
        <v>347</v>
      </c>
      <c r="B64" s="135"/>
      <c r="C64" s="136"/>
      <c r="D64" s="137">
        <v>-60</v>
      </c>
      <c r="E64" s="137">
        <v>-160</v>
      </c>
      <c r="F64" s="138">
        <f t="shared" si="0"/>
        <v>-100</v>
      </c>
    </row>
    <row r="65" spans="1:6">
      <c r="A65" s="125" t="s">
        <v>346</v>
      </c>
      <c r="B65" s="126"/>
      <c r="C65" s="127"/>
      <c r="D65" s="128">
        <v>38172</v>
      </c>
      <c r="E65" s="128">
        <v>-766531.42999999993</v>
      </c>
      <c r="F65" s="139">
        <f t="shared" si="0"/>
        <v>-804703.42999999993</v>
      </c>
    </row>
    <row r="66" spans="1:6">
      <c r="A66" s="125" t="s">
        <v>348</v>
      </c>
      <c r="B66" s="126"/>
      <c r="C66" s="127"/>
      <c r="D66" s="128">
        <v>55041.72</v>
      </c>
      <c r="E66" s="128">
        <v>97117.38</v>
      </c>
      <c r="F66" s="114">
        <f t="shared" si="0"/>
        <v>42075.66</v>
      </c>
    </row>
    <row r="67" spans="1:6">
      <c r="A67" s="125" t="s">
        <v>349</v>
      </c>
      <c r="B67" s="126"/>
      <c r="C67" s="127"/>
      <c r="D67" s="128">
        <v>0</v>
      </c>
      <c r="E67" s="128">
        <v>7665837.7700000005</v>
      </c>
      <c r="F67" s="114">
        <f t="shared" ref="F67:F116" si="1">E67-D67</f>
        <v>7665837.7700000005</v>
      </c>
    </row>
    <row r="68" spans="1:6">
      <c r="A68" s="125" t="s">
        <v>350</v>
      </c>
      <c r="B68" s="126"/>
      <c r="C68" s="127"/>
      <c r="D68" s="128">
        <v>0</v>
      </c>
      <c r="E68" s="128">
        <v>387451.2</v>
      </c>
      <c r="F68" s="114">
        <f t="shared" si="1"/>
        <v>387451.2</v>
      </c>
    </row>
    <row r="69" spans="1:6">
      <c r="A69" s="125" t="s">
        <v>351</v>
      </c>
      <c r="B69" s="126"/>
      <c r="C69" s="127"/>
      <c r="D69" s="128">
        <v>0</v>
      </c>
      <c r="E69" s="128">
        <v>21939.79</v>
      </c>
      <c r="F69" s="114">
        <f t="shared" si="1"/>
        <v>21939.79</v>
      </c>
    </row>
    <row r="70" spans="1:6">
      <c r="A70" s="125" t="s">
        <v>352</v>
      </c>
      <c r="B70" s="126"/>
      <c r="C70" s="127"/>
      <c r="D70" s="128">
        <v>0</v>
      </c>
      <c r="E70" s="128">
        <v>1150446.0799999998</v>
      </c>
      <c r="F70" s="114">
        <f t="shared" si="1"/>
        <v>1150446.0799999998</v>
      </c>
    </row>
    <row r="71" spans="1:6">
      <c r="A71" s="125" t="s">
        <v>353</v>
      </c>
      <c r="B71" s="126"/>
      <c r="C71" s="127"/>
      <c r="D71" s="128">
        <v>0</v>
      </c>
      <c r="E71" s="128">
        <v>61562.29</v>
      </c>
      <c r="F71" s="114">
        <f t="shared" si="1"/>
        <v>61562.29</v>
      </c>
    </row>
    <row r="72" spans="1:6">
      <c r="A72" s="125" t="s">
        <v>354</v>
      </c>
      <c r="B72" s="126"/>
      <c r="C72" s="127"/>
      <c r="D72" s="128">
        <v>0</v>
      </c>
      <c r="E72" s="128">
        <v>31284.92</v>
      </c>
      <c r="F72" s="114">
        <f t="shared" si="1"/>
        <v>31284.92</v>
      </c>
    </row>
    <row r="73" spans="1:6">
      <c r="A73" s="125" t="s">
        <v>355</v>
      </c>
      <c r="B73" s="126"/>
      <c r="C73" s="127"/>
      <c r="D73" s="128">
        <v>0</v>
      </c>
      <c r="E73" s="128">
        <v>9260.42</v>
      </c>
      <c r="F73" s="114">
        <f t="shared" si="1"/>
        <v>9260.42</v>
      </c>
    </row>
    <row r="74" spans="1:6">
      <c r="A74" s="125" t="s">
        <v>356</v>
      </c>
      <c r="B74" s="126"/>
      <c r="C74" s="127"/>
      <c r="D74" s="128">
        <v>0</v>
      </c>
      <c r="E74" s="128">
        <v>13582.86</v>
      </c>
      <c r="F74" s="114">
        <f t="shared" si="1"/>
        <v>13582.86</v>
      </c>
    </row>
    <row r="75" spans="1:6">
      <c r="A75" s="125" t="s">
        <v>357</v>
      </c>
      <c r="B75" s="126"/>
      <c r="C75" s="127"/>
      <c r="D75" s="128">
        <v>0</v>
      </c>
      <c r="E75" s="128">
        <v>3185270.9499999997</v>
      </c>
      <c r="F75" s="114">
        <f t="shared" si="1"/>
        <v>3185270.9499999997</v>
      </c>
    </row>
    <row r="76" spans="1:6">
      <c r="A76" s="125" t="s">
        <v>358</v>
      </c>
      <c r="B76" s="126"/>
      <c r="C76" s="127"/>
      <c r="D76" s="128">
        <v>0</v>
      </c>
      <c r="E76" s="128">
        <v>2279688.23</v>
      </c>
      <c r="F76" s="114">
        <f t="shared" si="1"/>
        <v>2279688.23</v>
      </c>
    </row>
    <row r="77" spans="1:6">
      <c r="A77" s="125" t="s">
        <v>359</v>
      </c>
      <c r="B77" s="126"/>
      <c r="C77" s="127"/>
      <c r="D77" s="128">
        <v>0</v>
      </c>
      <c r="E77" s="128">
        <v>805150.61</v>
      </c>
      <c r="F77" s="114">
        <f t="shared" si="1"/>
        <v>805150.61</v>
      </c>
    </row>
    <row r="78" spans="1:6">
      <c r="A78" s="125" t="s">
        <v>360</v>
      </c>
      <c r="B78" s="126"/>
      <c r="C78" s="127"/>
      <c r="D78" s="128">
        <v>0</v>
      </c>
      <c r="E78" s="128">
        <v>9054.31</v>
      </c>
      <c r="F78" s="114">
        <f t="shared" si="1"/>
        <v>9054.31</v>
      </c>
    </row>
    <row r="79" spans="1:6">
      <c r="A79" s="125" t="s">
        <v>361</v>
      </c>
      <c r="B79" s="126"/>
      <c r="C79" s="127"/>
      <c r="D79" s="128">
        <v>0</v>
      </c>
      <c r="E79" s="128">
        <v>140429.88</v>
      </c>
      <c r="F79" s="114">
        <f t="shared" si="1"/>
        <v>140429.88</v>
      </c>
    </row>
    <row r="80" spans="1:6">
      <c r="A80" s="125" t="s">
        <v>362</v>
      </c>
      <c r="B80" s="126"/>
      <c r="C80" s="127"/>
      <c r="D80" s="128">
        <v>0</v>
      </c>
      <c r="E80" s="128">
        <v>30520.299999999996</v>
      </c>
      <c r="F80" s="114">
        <f t="shared" si="1"/>
        <v>30520.299999999996</v>
      </c>
    </row>
    <row r="81" spans="1:6">
      <c r="A81" s="125" t="s">
        <v>363</v>
      </c>
      <c r="B81" s="126"/>
      <c r="C81" s="127"/>
      <c r="D81" s="128">
        <v>0</v>
      </c>
      <c r="E81" s="128">
        <v>317.2</v>
      </c>
      <c r="F81" s="114">
        <f t="shared" si="1"/>
        <v>317.2</v>
      </c>
    </row>
    <row r="82" spans="1:6">
      <c r="A82" s="125" t="s">
        <v>364</v>
      </c>
      <c r="B82" s="126"/>
      <c r="C82" s="127"/>
      <c r="D82" s="128">
        <v>0</v>
      </c>
      <c r="E82" s="128">
        <v>0</v>
      </c>
      <c r="F82" s="114">
        <f t="shared" si="1"/>
        <v>0</v>
      </c>
    </row>
    <row r="83" spans="1:6">
      <c r="A83" s="125" t="s">
        <v>365</v>
      </c>
      <c r="B83" s="126"/>
      <c r="C83" s="127"/>
      <c r="D83" s="128">
        <v>0</v>
      </c>
      <c r="E83" s="128">
        <v>1969.91</v>
      </c>
      <c r="F83" s="114">
        <f t="shared" si="1"/>
        <v>1969.91</v>
      </c>
    </row>
    <row r="84" spans="1:6">
      <c r="A84" s="125" t="s">
        <v>366</v>
      </c>
      <c r="B84" s="126"/>
      <c r="C84" s="127"/>
      <c r="D84" s="128">
        <v>0</v>
      </c>
      <c r="E84" s="128">
        <v>588958.88</v>
      </c>
      <c r="F84" s="114">
        <f t="shared" si="1"/>
        <v>588958.88</v>
      </c>
    </row>
    <row r="85" spans="1:6">
      <c r="A85" s="125" t="s">
        <v>367</v>
      </c>
      <c r="B85" s="126"/>
      <c r="C85" s="127"/>
      <c r="D85" s="128">
        <v>0</v>
      </c>
      <c r="E85" s="128">
        <v>135925.59</v>
      </c>
      <c r="F85" s="114">
        <f t="shared" si="1"/>
        <v>135925.59</v>
      </c>
    </row>
    <row r="86" spans="1:6">
      <c r="A86" s="125" t="s">
        <v>368</v>
      </c>
      <c r="B86" s="126"/>
      <c r="C86" s="127"/>
      <c r="D86" s="128">
        <v>0</v>
      </c>
      <c r="E86" s="128">
        <v>0</v>
      </c>
      <c r="F86" s="114">
        <f t="shared" si="1"/>
        <v>0</v>
      </c>
    </row>
    <row r="87" spans="1:6">
      <c r="A87" s="125" t="s">
        <v>369</v>
      </c>
      <c r="B87" s="126"/>
      <c r="C87" s="127"/>
      <c r="D87" s="128">
        <v>0</v>
      </c>
      <c r="E87" s="128">
        <v>0</v>
      </c>
      <c r="F87" s="114">
        <f t="shared" si="1"/>
        <v>0</v>
      </c>
    </row>
    <row r="88" spans="1:6">
      <c r="A88" s="125" t="s">
        <v>370</v>
      </c>
      <c r="B88" s="126"/>
      <c r="C88" s="127"/>
      <c r="D88" s="128">
        <v>0</v>
      </c>
      <c r="E88" s="128">
        <v>1950</v>
      </c>
      <c r="F88" s="114">
        <f t="shared" si="1"/>
        <v>1950</v>
      </c>
    </row>
    <row r="89" spans="1:6">
      <c r="A89" s="125" t="s">
        <v>371</v>
      </c>
      <c r="B89" s="126"/>
      <c r="C89" s="127"/>
      <c r="D89" s="128">
        <v>0</v>
      </c>
      <c r="E89" s="128">
        <v>0</v>
      </c>
      <c r="F89" s="114">
        <f t="shared" si="1"/>
        <v>0</v>
      </c>
    </row>
    <row r="90" spans="1:6">
      <c r="A90" s="125" t="s">
        <v>372</v>
      </c>
      <c r="B90" s="126"/>
      <c r="C90" s="127"/>
      <c r="D90" s="128">
        <v>0</v>
      </c>
      <c r="E90" s="128">
        <v>0</v>
      </c>
      <c r="F90" s="114">
        <f t="shared" si="1"/>
        <v>0</v>
      </c>
    </row>
    <row r="91" spans="1:6">
      <c r="A91" s="125" t="s">
        <v>373</v>
      </c>
      <c r="B91" s="126"/>
      <c r="C91" s="127"/>
      <c r="D91" s="128">
        <v>0</v>
      </c>
      <c r="E91" s="128">
        <v>38790.629999999997</v>
      </c>
      <c r="F91" s="114">
        <f t="shared" si="1"/>
        <v>38790.629999999997</v>
      </c>
    </row>
    <row r="92" spans="1:6">
      <c r="A92" s="125" t="s">
        <v>374</v>
      </c>
      <c r="B92" s="126"/>
      <c r="C92" s="127"/>
      <c r="D92" s="128">
        <v>0</v>
      </c>
      <c r="E92" s="128">
        <v>85195.94</v>
      </c>
      <c r="F92" s="114">
        <f t="shared" si="1"/>
        <v>85195.94</v>
      </c>
    </row>
    <row r="93" spans="1:6">
      <c r="A93" s="125" t="s">
        <v>375</v>
      </c>
      <c r="B93" s="126"/>
      <c r="C93" s="127"/>
      <c r="D93" s="128">
        <v>0</v>
      </c>
      <c r="E93" s="128">
        <v>375462.37</v>
      </c>
      <c r="F93" s="114">
        <f t="shared" si="1"/>
        <v>375462.37</v>
      </c>
    </row>
    <row r="94" spans="1:6">
      <c r="A94" s="125" t="s">
        <v>376</v>
      </c>
      <c r="B94" s="126"/>
      <c r="C94" s="127"/>
      <c r="D94" s="128">
        <v>0</v>
      </c>
      <c r="E94" s="128">
        <v>0</v>
      </c>
      <c r="F94" s="114">
        <f t="shared" si="1"/>
        <v>0</v>
      </c>
    </row>
    <row r="95" spans="1:6">
      <c r="A95" s="125" t="s">
        <v>377</v>
      </c>
      <c r="B95" s="126"/>
      <c r="C95" s="127"/>
      <c r="D95" s="128">
        <v>0</v>
      </c>
      <c r="E95" s="128">
        <v>43020.66</v>
      </c>
      <c r="F95" s="114">
        <f t="shared" si="1"/>
        <v>43020.66</v>
      </c>
    </row>
    <row r="96" spans="1:6">
      <c r="A96" s="125" t="s">
        <v>378</v>
      </c>
      <c r="B96" s="126"/>
      <c r="C96" s="127"/>
      <c r="D96" s="128">
        <v>0</v>
      </c>
      <c r="E96" s="128">
        <v>14685.65</v>
      </c>
      <c r="F96" s="114">
        <f t="shared" si="1"/>
        <v>14685.65</v>
      </c>
    </row>
    <row r="97" spans="1:6">
      <c r="A97" s="125" t="s">
        <v>379</v>
      </c>
      <c r="B97" s="126"/>
      <c r="C97" s="127"/>
      <c r="D97" s="128">
        <v>0</v>
      </c>
      <c r="E97" s="128">
        <v>10478.720000000001</v>
      </c>
      <c r="F97" s="114">
        <f t="shared" si="1"/>
        <v>10478.720000000001</v>
      </c>
    </row>
    <row r="98" spans="1:6">
      <c r="A98" s="125" t="s">
        <v>380</v>
      </c>
      <c r="B98" s="126"/>
      <c r="C98" s="127"/>
      <c r="D98" s="128">
        <v>0</v>
      </c>
      <c r="E98" s="128">
        <v>0</v>
      </c>
      <c r="F98" s="114">
        <f t="shared" si="1"/>
        <v>0</v>
      </c>
    </row>
    <row r="99" spans="1:6">
      <c r="A99" s="125" t="s">
        <v>381</v>
      </c>
      <c r="B99" s="126"/>
      <c r="C99" s="127"/>
      <c r="D99" s="128">
        <v>0</v>
      </c>
      <c r="E99" s="128">
        <v>163540.25</v>
      </c>
      <c r="F99" s="114">
        <f t="shared" si="1"/>
        <v>163540.25</v>
      </c>
    </row>
    <row r="100" spans="1:6">
      <c r="A100" s="125" t="s">
        <v>382</v>
      </c>
      <c r="B100" s="126"/>
      <c r="C100" s="127"/>
      <c r="D100" s="128">
        <v>0</v>
      </c>
      <c r="E100" s="128">
        <v>-42075.66</v>
      </c>
      <c r="F100" s="114">
        <f t="shared" si="1"/>
        <v>-42075.66</v>
      </c>
    </row>
    <row r="101" spans="1:6">
      <c r="A101" s="125" t="s">
        <v>383</v>
      </c>
      <c r="B101" s="126"/>
      <c r="C101" s="127"/>
      <c r="D101" s="128">
        <v>0</v>
      </c>
      <c r="E101" s="128">
        <v>-14345905.16</v>
      </c>
      <c r="F101" s="114">
        <f t="shared" si="1"/>
        <v>-14345905.16</v>
      </c>
    </row>
    <row r="102" spans="1:6">
      <c r="A102" s="125" t="s">
        <v>384</v>
      </c>
      <c r="B102" s="126"/>
      <c r="C102" s="127"/>
      <c r="D102" s="128">
        <v>0</v>
      </c>
      <c r="E102" s="128">
        <v>-201297.77</v>
      </c>
      <c r="F102" s="114">
        <f t="shared" si="1"/>
        <v>-201297.77</v>
      </c>
    </row>
    <row r="103" spans="1:6">
      <c r="A103" s="125" t="s">
        <v>385</v>
      </c>
      <c r="B103" s="126"/>
      <c r="C103" s="127"/>
      <c r="D103" s="128">
        <v>0</v>
      </c>
      <c r="E103" s="128">
        <v>-1307012.5599999998</v>
      </c>
      <c r="F103" s="114">
        <f t="shared" si="1"/>
        <v>-1307012.5599999998</v>
      </c>
    </row>
    <row r="104" spans="1:6">
      <c r="A104" s="125" t="s">
        <v>386</v>
      </c>
      <c r="B104" s="126"/>
      <c r="C104" s="127"/>
      <c r="D104" s="128">
        <v>0</v>
      </c>
      <c r="E104" s="128">
        <v>40664.279999999992</v>
      </c>
      <c r="F104" s="114">
        <f t="shared" si="1"/>
        <v>40664.279999999992</v>
      </c>
    </row>
    <row r="105" spans="1:6">
      <c r="A105" s="125" t="s">
        <v>387</v>
      </c>
      <c r="B105" s="126"/>
      <c r="C105" s="127"/>
      <c r="D105" s="128">
        <v>0</v>
      </c>
      <c r="E105" s="128">
        <v>-149994.17000000001</v>
      </c>
      <c r="F105" s="114">
        <f t="shared" si="1"/>
        <v>-149994.17000000001</v>
      </c>
    </row>
    <row r="106" spans="1:6">
      <c r="A106" s="125" t="s">
        <v>384</v>
      </c>
      <c r="B106" s="126"/>
      <c r="C106" s="127"/>
      <c r="D106" s="128">
        <v>0</v>
      </c>
      <c r="E106" s="128">
        <v>-169.98</v>
      </c>
      <c r="F106" s="114">
        <f t="shared" si="1"/>
        <v>-169.98</v>
      </c>
    </row>
    <row r="107" spans="1:6">
      <c r="A107" s="125" t="s">
        <v>388</v>
      </c>
      <c r="B107" s="126"/>
      <c r="C107" s="127"/>
      <c r="D107" s="128">
        <v>0</v>
      </c>
      <c r="E107" s="128">
        <v>0</v>
      </c>
      <c r="F107" s="114">
        <f t="shared" si="1"/>
        <v>0</v>
      </c>
    </row>
    <row r="108" spans="1:6">
      <c r="A108" s="125" t="s">
        <v>389</v>
      </c>
      <c r="B108" s="126"/>
      <c r="C108" s="127"/>
      <c r="D108" s="128">
        <v>0</v>
      </c>
      <c r="E108" s="128">
        <v>-589156.63</v>
      </c>
      <c r="F108" s="114">
        <f t="shared" si="1"/>
        <v>-589156.63</v>
      </c>
    </row>
    <row r="109" spans="1:6">
      <c r="A109" s="125" t="s">
        <v>390</v>
      </c>
      <c r="B109" s="126"/>
      <c r="C109" s="127"/>
      <c r="D109" s="128">
        <v>0</v>
      </c>
      <c r="E109" s="128">
        <v>-891633.09</v>
      </c>
      <c r="F109" s="114">
        <f t="shared" si="1"/>
        <v>-891633.09</v>
      </c>
    </row>
    <row r="110" spans="1:6">
      <c r="A110" s="125" t="s">
        <v>391</v>
      </c>
      <c r="B110" s="126"/>
      <c r="C110" s="127"/>
      <c r="D110" s="128">
        <v>0</v>
      </c>
      <c r="E110" s="128">
        <v>0</v>
      </c>
      <c r="F110" s="114">
        <f t="shared" si="1"/>
        <v>0</v>
      </c>
    </row>
    <row r="111" spans="1:6">
      <c r="A111" s="125" t="s">
        <v>392</v>
      </c>
      <c r="B111" s="126"/>
      <c r="C111" s="127"/>
      <c r="D111" s="128">
        <v>0</v>
      </c>
      <c r="E111" s="128">
        <v>-14968.16</v>
      </c>
      <c r="F111" s="114">
        <f t="shared" si="1"/>
        <v>-14968.16</v>
      </c>
    </row>
    <row r="112" spans="1:6">
      <c r="A112" s="125" t="s">
        <v>393</v>
      </c>
      <c r="B112" s="126"/>
      <c r="C112" s="127"/>
      <c r="D112" s="128">
        <v>0</v>
      </c>
      <c r="E112" s="128">
        <v>0</v>
      </c>
      <c r="F112" s="114">
        <f t="shared" si="1"/>
        <v>0</v>
      </c>
    </row>
    <row r="113" spans="1:6">
      <c r="A113" s="125" t="s">
        <v>394</v>
      </c>
      <c r="B113" s="126"/>
      <c r="C113" s="127"/>
      <c r="D113" s="128">
        <v>0</v>
      </c>
      <c r="E113" s="128">
        <v>-8766.9599999999991</v>
      </c>
      <c r="F113" s="114">
        <f t="shared" si="1"/>
        <v>-8766.9599999999991</v>
      </c>
    </row>
    <row r="114" spans="1:6">
      <c r="A114" s="125" t="s">
        <v>395</v>
      </c>
      <c r="B114" s="126"/>
      <c r="C114" s="127"/>
      <c r="D114" s="128">
        <v>0</v>
      </c>
      <c r="E114" s="128">
        <v>-0.7</v>
      </c>
      <c r="F114" s="114">
        <f t="shared" si="1"/>
        <v>-0.7</v>
      </c>
    </row>
    <row r="115" spans="1:6">
      <c r="F115" s="114">
        <f t="shared" si="1"/>
        <v>0</v>
      </c>
    </row>
    <row r="116" spans="1:6">
      <c r="F116" s="114">
        <f t="shared" si="1"/>
        <v>0</v>
      </c>
    </row>
  </sheetData>
  <pageMargins left="0.7" right="0.7" top="0.75" bottom="0.75" header="0.3" footer="0.3"/>
  <customProperties>
    <customPr name="OrphanNamesChecke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final cf vstup</vt:lpstr>
      <vt:lpstr>FINAL CF</vt:lpstr>
      <vt:lpstr>cash flow - cisty</vt:lpstr>
      <vt:lpstr>cash flow - priklad</vt:lpstr>
      <vt:lpstr>Sheet1</vt:lpstr>
      <vt:lpstr>GL 2023</vt:lpstr>
      <vt:lpstr>'cash flow - cisty'!Print_Area</vt:lpstr>
    </vt:vector>
  </TitlesOfParts>
  <Company>Deloitte Touche Tohmatsu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Deloitte Touche Tohmatsu</dc:creator>
  <cp:lastModifiedBy>Miloš Kunský</cp:lastModifiedBy>
  <cp:lastPrinted>2024-03-06T08:14:26Z</cp:lastPrinted>
  <dcterms:created xsi:type="dcterms:W3CDTF">2008-03-04T14:30:23Z</dcterms:created>
  <dcterms:modified xsi:type="dcterms:W3CDTF">2024-03-06T15:47:54Z</dcterms:modified>
</cp:coreProperties>
</file>