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4F4C6F9A-CB96-4872-8513-38F9B462B6CD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VZaS" sheetId="66" r:id="rId43"/>
    <sheet name="VZaSM" sheetId="67" r:id="rId44"/>
    <sheet name="SUA" sheetId="68" r:id="rId45"/>
    <sheet name="SUP" sheetId="69" r:id="rId46"/>
    <sheet name="SUAM" sheetId="70" r:id="rId47"/>
    <sheet name="SUPM" sheetId="71" r:id="rId48"/>
    <sheet name="Info" sheetId="72" r:id="rId4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B4" i="19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10" i="77" s="1"/>
  <c r="D6" i="77"/>
  <c r="D5" i="77"/>
  <c r="B9" i="17"/>
  <c r="F8" i="17"/>
  <c r="B8" i="17"/>
  <c r="F7" i="17"/>
  <c r="B7" i="17"/>
  <c r="F6" i="17"/>
  <c r="B6" i="17"/>
  <c r="F5" i="17"/>
  <c r="F9" i="17" s="1"/>
  <c r="B5" i="17"/>
  <c r="F4" i="17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B6" i="14"/>
  <c r="F5" i="14"/>
  <c r="F12" i="14" s="1"/>
  <c r="B5" i="14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5" i="11"/>
  <c r="F11" i="11"/>
  <c r="F7" i="11"/>
  <c r="I36" i="9"/>
  <c r="J34" i="9"/>
  <c r="J36" i="9" s="1"/>
  <c r="J33" i="9"/>
  <c r="J32" i="9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E51" i="7"/>
  <c r="D51" i="7"/>
  <c r="I48" i="7"/>
  <c r="H48" i="7"/>
  <c r="J46" i="7"/>
  <c r="J45" i="7"/>
  <c r="J44" i="7"/>
  <c r="J48" i="7" s="1"/>
  <c r="H44" i="7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G51" i="7" s="1"/>
  <c r="F36" i="7"/>
  <c r="F51" i="7" s="1"/>
  <c r="E36" i="7"/>
  <c r="D36" i="7"/>
  <c r="C36" i="7"/>
  <c r="B36" i="7"/>
  <c r="B51" i="7" s="1"/>
  <c r="J35" i="7"/>
  <c r="J34" i="7"/>
  <c r="J33" i="7"/>
  <c r="I32" i="7"/>
  <c r="I50" i="7" s="1"/>
  <c r="H32" i="7"/>
  <c r="G32" i="7"/>
  <c r="F32" i="7"/>
  <c r="F50" i="7" s="1"/>
  <c r="E32" i="7"/>
  <c r="E50" i="7" s="1"/>
  <c r="D32" i="7"/>
  <c r="D50" i="7" s="1"/>
  <c r="C32" i="7"/>
  <c r="C50" i="7" s="1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J12" i="7"/>
  <c r="J16" i="7" s="1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G45" i="5"/>
  <c r="I45" i="5" s="1"/>
  <c r="I49" i="5" s="1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H10" i="5"/>
  <c r="G10" i="5"/>
  <c r="F10" i="5"/>
  <c r="E10" i="5"/>
  <c r="D10" i="5"/>
  <c r="C10" i="5"/>
  <c r="B10" i="5"/>
  <c r="I9" i="5"/>
  <c r="I8" i="5"/>
  <c r="I7" i="5"/>
  <c r="I6" i="5"/>
  <c r="H6" i="5"/>
  <c r="G6" i="5"/>
  <c r="F6" i="5"/>
  <c r="E6" i="5"/>
  <c r="D6" i="5"/>
  <c r="C6" i="5"/>
  <c r="B6" i="5"/>
  <c r="C51" i="7" l="1"/>
  <c r="G50" i="7"/>
  <c r="B50" i="7"/>
  <c r="H50" i="7"/>
  <c r="C8" i="19"/>
  <c r="I33" i="5"/>
  <c r="B8" i="19"/>
  <c r="I12" i="5"/>
  <c r="I16" i="5" s="1"/>
  <c r="F19" i="11"/>
  <c r="B12" i="14"/>
  <c r="E12" i="55"/>
  <c r="J24" i="7"/>
  <c r="J10" i="7"/>
  <c r="J25" i="7" s="1"/>
  <c r="I24" i="5"/>
  <c r="J36" i="7"/>
  <c r="J51" i="7" s="1"/>
  <c r="J50" i="7"/>
  <c r="I37" i="5"/>
  <c r="I52" i="5" s="1"/>
  <c r="I51" i="5"/>
  <c r="I10" i="5"/>
  <c r="I25" i="5" l="1"/>
</calcChain>
</file>

<file path=xl/sharedStrings.xml><?xml version="1.0" encoding="utf-8"?>
<sst xmlns="http://schemas.openxmlformats.org/spreadsheetml/2006/main" count="2015" uniqueCount="888">
  <si>
    <t>Stav na konci účtovného obdobia</t>
  </si>
  <si>
    <t>Popis</t>
  </si>
  <si>
    <t>21</t>
  </si>
  <si>
    <t>Pestov. celky trvalých porastov ( 025 ) - / 085, 092A/</t>
  </si>
  <si>
    <t>****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</si>
  <si>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</si>
  <si>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</si>
  <si>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</si>
  <si>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</si>
  <si>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D.</t>
  </si>
  <si>
    <t>Prevod do neuhradenej straty minulých rokov</t>
  </si>
  <si>
    <t>Kurzové straty (563)</t>
  </si>
  <si>
    <t>140</t>
  </si>
  <si>
    <t>Odmeny členom orgánov spoločnosti a družstva ( 523 )</t>
  </si>
  <si>
    <t>VII.</t>
  </si>
  <si>
    <t>Stav OP na začiatku účtovného obdobia</t>
  </si>
  <si>
    <t>056</t>
  </si>
  <si>
    <t>Do splatnosti  od jedného roka do troch rokov vrátane</t>
  </si>
  <si>
    <t>14. Informácie k časti F. písm. r) prílohy č. 3 o vývoji opravnej položky  k pohľadávkam</t>
  </si>
  <si>
    <t>Zákonné rezervy ( 323A, 451A )</t>
  </si>
  <si>
    <t>052</t>
  </si>
  <si>
    <t>Výnosy z cenných papierov a podielov od prepojených ÚJ (665 A)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</si>
  <si>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</si>
  <si>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</si>
  <si>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</si>
  <si>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</si>
  <si>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</si>
  <si>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</si>
  <si>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</si>
  <si>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</si>
  <si>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</si>
  <si>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</si>
  <si>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B.  I. 1.</t>
  </si>
  <si>
    <t>Ostatné fondy zo zisku r. 091 + r. 092</t>
  </si>
  <si>
    <t>Krátkodobé bankové úvery</t>
  </si>
  <si>
    <t>097</t>
  </si>
  <si>
    <t>Presuny</t>
  </si>
  <si>
    <t>Opis predmetu záložného práva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</si>
  <si>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</si>
  <si>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</si>
  <si>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</si>
  <si>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</si>
  <si>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</si>
  <si>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</si>
  <si>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Číslo 
riad.</t>
  </si>
  <si>
    <t>Nehnuteľnosť na predaj</t>
  </si>
  <si>
    <t>062</t>
  </si>
  <si>
    <t>Dlhodobé rezervy, z toho:</t>
  </si>
  <si>
    <t>Splatnosť</t>
  </si>
  <si>
    <t>129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</si>
  <si>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</si>
  <si>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</si>
  <si>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</si>
  <si>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</si>
  <si>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</si>
  <si>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</si>
  <si>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A. III.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</si>
  <si>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</si>
  <si>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</si>
  <si>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</si>
  <si>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</si>
  <si>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</si>
  <si>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</si>
  <si>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</si>
  <si>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</si>
  <si>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038</t>
  </si>
  <si>
    <t>02</t>
  </si>
  <si>
    <t>50</t>
  </si>
  <si>
    <t>Ostatné realizované cenné papiere a podiely (063A) - /096A/</t>
  </si>
  <si>
    <t>Zo zákonného rezervného fondu</t>
  </si>
  <si>
    <t>Tovar</t>
  </si>
  <si>
    <t>Dlhodobé pohľadávky súčet (r.042 + r.046 až r.052)</t>
  </si>
  <si>
    <t>Začiatočný stav</t>
  </si>
  <si>
    <t>Podiel.cenné papiere a podiely v prepojených ÚJ (061A,062A,063A) - /096A/</t>
  </si>
  <si>
    <t>049</t>
  </si>
  <si>
    <t>42</t>
  </si>
  <si>
    <t>Pohľadávky voči spoločníkom, členom a združeniu</t>
  </si>
  <si>
    <t>Daň z príjmov ( r.58+r.59)</t>
  </si>
  <si>
    <t>od jedného roka do piatich rokov vrátane</t>
  </si>
  <si>
    <t>051</t>
  </si>
  <si>
    <t>Záväzky z obch.styku v rámci pod.účasti okrem záv.voči prep.ÚJ (321A,475A,476A)</t>
  </si>
  <si>
    <t>A.</t>
  </si>
  <si>
    <t>100</t>
  </si>
  <si>
    <t>Do splatnosti od jedného roka do troch rokov vrátane</t>
  </si>
  <si>
    <t>Bežné bankové účty</t>
  </si>
  <si>
    <t>Manká a škody</t>
  </si>
  <si>
    <t>Suma prijatých preddavkov</t>
  </si>
  <si>
    <t>101</t>
  </si>
  <si>
    <t>Odpisy dlhodobého NM a dlhodobého HM ( 551 )</t>
  </si>
  <si>
    <t>Dlhodobý finančný majetok spolu</t>
  </si>
  <si>
    <t>VI – vlastné imanie</t>
  </si>
  <si>
    <t>(1) Identifikačné číslo organizácie (IČO) sa vyplňuje podľa Registra organizácií vedeného Štatistickým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</si>
  <si>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</si>
  <si>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</si>
  <si>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</si>
  <si>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</si>
  <si>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</si>
  <si>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</si>
  <si>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</si>
  <si>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</si>
  <si>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</si>
  <si>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</si>
  <si>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</si>
  <si>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</si>
  <si>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</si>
  <si>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</si>
  <si>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</si>
  <si>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</si>
  <si>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</si>
  <si>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</si>
  <si>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</si>
  <si>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náklady za overenie individuálnej účtovnej závierky</t>
  </si>
  <si>
    <t>T E X T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</si>
  <si>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</si>
  <si>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</si>
  <si>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</si>
  <si>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</si>
  <si>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</si>
  <si>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</si>
  <si>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B.IV. 1.</t>
  </si>
  <si>
    <t>Pôžičky a ostatný dlhodobý fin. majetok s dobou splat. najviac 1 rok ( 066A,067A,069A,06XA )-/096A/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</si>
  <si>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</si>
  <si>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</si>
  <si>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</si>
  <si>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</si>
  <si>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Zabezpečovacie deriváty, z toho:</t>
  </si>
  <si>
    <t>A.VI.1.</t>
  </si>
  <si>
    <t>Záväzok vykázaný v súvahe</t>
  </si>
  <si>
    <t>Hodnota</t>
  </si>
  <si>
    <t>Ostatné pôžičky (067A) - /096A/</t>
  </si>
  <si>
    <t>Spolu vlastné imanie a záväzky ( r.080 + r.101 + r.141 )</t>
  </si>
  <si>
    <t>122</t>
  </si>
  <si>
    <t>Dlhodobé zmenky na úhradu ( 478A )</t>
  </si>
  <si>
    <t>Zmena reálnej hodnoty (+/-) s vplyvom na</t>
  </si>
  <si>
    <t>130</t>
  </si>
  <si>
    <t>Názov vydaného dlhopisu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</si>
  <si>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</si>
  <si>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</si>
  <si>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</si>
  <si>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</si>
  <si>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</si>
  <si>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</si>
  <si>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</si>
  <si>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</si>
  <si>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Ostatné výnosové úroky (662A)</t>
  </si>
  <si>
    <t>11</t>
  </si>
  <si>
    <t>064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</si>
  <si>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</si>
  <si>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</si>
  <si>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</si>
  <si>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</si>
  <si>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</si>
  <si>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</si>
  <si>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</si>
  <si>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075</t>
  </si>
  <si>
    <t>Dlhodobý hmotný majetok súčet (r. 012 až 020)</t>
  </si>
  <si>
    <t>Pohľadávky z obchodného styku</t>
  </si>
  <si>
    <t>licencia</t>
  </si>
  <si>
    <t>a počet riadkov v nich uvádzajú podľa potrieb účtovnej jednotky.</t>
  </si>
  <si>
    <t>011</t>
  </si>
  <si>
    <t>28</t>
  </si>
  <si>
    <t>PSČ – poštové smerovacie číslo</t>
  </si>
  <si>
    <t>Ostatné náklady na finančnú činnosť (568,569)</t>
  </si>
  <si>
    <t>Základné imanie súčet (r. 082 až r. 084)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</si>
  <si>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</si>
  <si>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</si>
  <si>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P A S Í V A</t>
  </si>
  <si>
    <t>Úprava nárokov podľa stupňa dokončenia alebo metódou nulového zisku</t>
  </si>
  <si>
    <t>Ostatné pohľadávky z obchodného styku (311A,312A,313A,314A,315A,31XA)-/391A/</t>
  </si>
  <si>
    <t>Úhrada straty spoločníkmi</t>
  </si>
  <si>
    <t>083</t>
  </si>
  <si>
    <t>Pohľadávky z derivátových operácií (373A, 376A)</t>
  </si>
  <si>
    <t>Vydané dlhopisy ( 473A/-/255A )</t>
  </si>
  <si>
    <t>Mena</t>
  </si>
  <si>
    <t>Výnosy budúcich období krátkodobé ( 384A )</t>
  </si>
  <si>
    <t>Daň v %</t>
  </si>
  <si>
    <t>074</t>
  </si>
  <si>
    <t>Stav  OP na konci účtovného obdobia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</si>
  <si>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</si>
  <si>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</si>
  <si>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</si>
  <si>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</si>
  <si>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</si>
  <si>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</si>
  <si>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</si>
  <si>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</si>
  <si>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</si>
  <si>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</si>
  <si>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</si>
  <si>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</si>
  <si>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</si>
  <si>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9.</t>
  </si>
  <si>
    <t>059</t>
  </si>
  <si>
    <t>Skutočnosť v účtovnom
období minulom</t>
  </si>
  <si>
    <t>119</t>
  </si>
  <si>
    <t>9. Informácie k časti F. písm. j) a l) prílohy č. 3 o dlhových CP držaných do splatnosti</t>
  </si>
  <si>
    <t>Prídel do štatutárnych a ostatných fondov</t>
  </si>
  <si>
    <t>084</t>
  </si>
  <si>
    <t>GL,PS,013,MD-D</t>
  </si>
  <si>
    <t>116</t>
  </si>
  <si>
    <t>Sociálne poistenie ( 336A ) - /391A/</t>
  </si>
  <si>
    <t>001</t>
  </si>
  <si>
    <t>Dlhodobé pohľadávky spolu</t>
  </si>
  <si>
    <t>Pridaná hodnota (r.03+r.04+r.05+r.06+r.07)-(r.11+r.12+r.13+r.14)</t>
  </si>
  <si>
    <t>6. Informácie k časti F. písm. j) prílohy č. 3 o  dlhodobom finančnom majetku</t>
  </si>
  <si>
    <t>N.1.</t>
  </si>
  <si>
    <t>30. Informácie k časti G. písm. l) prílohy č. 3 o položkách zabezpečených derivátmi</t>
  </si>
  <si>
    <t>Mzdové náklady ( 521, 522 )</t>
  </si>
  <si>
    <t>L.</t>
  </si>
  <si>
    <t>Ostatné záväzky z obchodného styku (321A,322A,324A,325A,326A,32XA,475A,476A,478A,47XA)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</si>
  <si>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</si>
  <si>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</si>
  <si>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</si>
  <si>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</si>
  <si>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</si>
  <si>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</si>
  <si>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124</t>
  </si>
  <si>
    <t>Odložená daňová pohľadávka (481A)</t>
  </si>
  <si>
    <t>Výnosy z kratkodobého finančného majetku od prepojených ÚJ (666A)</t>
  </si>
  <si>
    <t>Náklady voči audítorovi, audítorskej spoločnosti, z toho:</t>
  </si>
  <si>
    <t>Výsledok hospodárenia z finančnej činnosti (+/-) (r.29 - r.45)</t>
  </si>
  <si>
    <t>B. I.</t>
  </si>
  <si>
    <t>018</t>
  </si>
  <si>
    <t>Výsledok hospodárenia minulých rokov r. 098 + r.099</t>
  </si>
  <si>
    <t>077</t>
  </si>
  <si>
    <t>131</t>
  </si>
  <si>
    <t>Účtovná strata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</si>
  <si>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</si>
  <si>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</si>
  <si>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</si>
  <si>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</si>
  <si>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</si>
  <si>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Hrubý zisk / hrubá strata</t>
  </si>
  <si>
    <t>Deriváty určené na obchodovanie, z toho:</t>
  </si>
  <si>
    <t>Zníženie hodnoty</t>
  </si>
  <si>
    <t>041</t>
  </si>
  <si>
    <t>40</t>
  </si>
  <si>
    <t>VI.</t>
  </si>
  <si>
    <t>Poskytnuté preddavky na zásoby ( 314A ) - /391A/</t>
  </si>
  <si>
    <t>35. Informácie k časti J. písm. a) až e) prílohy č. 3 o daniach z príjmov</t>
  </si>
  <si>
    <t>Krátkodobé záväzky  súčet ( r. 123 + r. 127 až r. 135)</t>
  </si>
  <si>
    <t>070</t>
  </si>
  <si>
    <t>Dlhodobý nehmotný majetok  súčet (r.004 až 010)</t>
  </si>
  <si>
    <t>10.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</si>
  <si>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</si>
  <si>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</si>
  <si>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</si>
  <si>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</si>
  <si>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003</t>
  </si>
  <si>
    <t>013</t>
  </si>
  <si>
    <t>47</t>
  </si>
  <si>
    <t>Poskytnuté preddavky na DFM</t>
  </si>
  <si>
    <t>Spotreba materiálu,energie a ostatných neskladovateľných dodávok (501,502,503)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</si>
  <si>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</si>
  <si>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</si>
  <si>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</si>
  <si>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</si>
  <si>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</si>
  <si>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Výrobky ( 123 ) - /194/</t>
  </si>
  <si>
    <t>Stav v minulom
účtovnom období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</si>
  <si>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</si>
  <si>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</si>
  <si>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</si>
  <si>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</si>
  <si>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</si>
  <si>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</si>
  <si>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</si>
  <si>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</si>
  <si>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</si>
  <si>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</si>
  <si>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Úbytky</t>
  </si>
  <si>
    <t>078</t>
  </si>
  <si>
    <t>záruka</t>
  </si>
  <si>
    <t>Náklady na finančnú činnosť spolu r.46+r.47+r.48+r.49+r.52+r.53+r.54</t>
  </si>
  <si>
    <t>IS,020,S</t>
  </si>
  <si>
    <t>A. IV.</t>
  </si>
  <si>
    <t>R.</t>
  </si>
  <si>
    <t>2. Informácie k časti F. písm. a) prílohy č. 3 o dlhodobom nehmotnom majetku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</si>
  <si>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</si>
  <si>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</si>
  <si>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</si>
  <si>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</si>
  <si>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</si>
  <si>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</si>
  <si>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</si>
  <si>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</si>
  <si>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</si>
  <si>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076</t>
  </si>
  <si>
    <t>DÚJ – dcérska účtovná jednotka</t>
  </si>
  <si>
    <t>B.</t>
  </si>
  <si>
    <t>120</t>
  </si>
  <si>
    <t>V lehote splatnosti</t>
  </si>
  <si>
    <t>Počet</t>
  </si>
  <si>
    <t>Výnosy zo zákazky</t>
  </si>
  <si>
    <t>Zo štatutárnych a ostatných fondov</t>
  </si>
  <si>
    <t>Základné imanie ( 411 alebo +/-491 )</t>
  </si>
  <si>
    <t>Rezervný fond na vlastné akcie a vlastné podiely ( 417A,421A )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</si>
  <si>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</si>
  <si>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</si>
  <si>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</si>
  <si>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</si>
  <si>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</si>
  <si>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</si>
  <si>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</si>
  <si>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</si>
  <si>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</si>
  <si>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</si>
  <si>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</si>
  <si>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</si>
  <si>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</si>
  <si>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</si>
  <si>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</si>
  <si>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</si>
  <si>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Iné</t>
  </si>
  <si>
    <t>Rozdelenie podielu na zisku spoločníkom, členom</t>
  </si>
  <si>
    <t>034</t>
  </si>
  <si>
    <t>Záväzky so zostatkovou dobou splatnosti nad päť rokov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</si>
  <si>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</si>
  <si>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</si>
  <si>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</si>
  <si>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</si>
  <si>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Zaúčtovaná  ako náklad</t>
  </si>
  <si>
    <t>A. II. 1</t>
  </si>
  <si>
    <t>Bankové účty termínované</t>
  </si>
  <si>
    <t>Výsledok hospodárenia ÚJ, v ktorej má ÚJ umiestnený DFM</t>
  </si>
  <si>
    <t>Tržby za vlastné výrobky</t>
  </si>
  <si>
    <t>Peniaze ( 211,213,21X )</t>
  </si>
  <si>
    <t>Dcérske účtovné jednotky</t>
  </si>
  <si>
    <t>Majetkové CP na obchodovanie</t>
  </si>
  <si>
    <t>24. Informácie k časti G. písm. c) a d) prílohy č. 3 o záväzkoch</t>
  </si>
  <si>
    <t>B.  V.</t>
  </si>
  <si>
    <t>Možnosť umorovať daňovú stratu v budúcnosti</t>
  </si>
  <si>
    <t>do jedného roka vrátane</t>
  </si>
  <si>
    <t>Ostatné náklady na hospodársku činnosť (543,544,545,546,548,549,555,557)</t>
  </si>
  <si>
    <t>Dlhodobé rezervy r. 119 + r. 120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</si>
  <si>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</si>
  <si>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</si>
  <si>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</si>
  <si>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Krátkodobý finančný majetok v prepojených ÚJ (251A,253A,256A,257A,25XA) - /291A,29XA)</t>
  </si>
  <si>
    <t>Pohľadávky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</si>
  <si>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</si>
  <si>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</si>
  <si>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</si>
  <si>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</si>
  <si>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</si>
  <si>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</si>
  <si>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</si>
  <si>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</si>
  <si>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</si>
  <si>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071</t>
  </si>
  <si>
    <t>VIII.</t>
  </si>
  <si>
    <t>8.</t>
  </si>
  <si>
    <t>Zákonné rezervy ( 451A )</t>
  </si>
  <si>
    <t>Sociálne poistenie</t>
  </si>
  <si>
    <t>25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</si>
  <si>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</si>
  <si>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</si>
  <si>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</si>
  <si>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</si>
  <si>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</si>
  <si>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</si>
  <si>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</si>
  <si>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</si>
  <si>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</si>
  <si>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</si>
  <si>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</si>
  <si>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Záväzky zo sociálneho poistenia ( 336A )</t>
  </si>
  <si>
    <t>5.</t>
  </si>
  <si>
    <t>Názov položky</t>
  </si>
  <si>
    <t>Zaokrúhlené
(minulé)</t>
  </si>
  <si>
    <t>Kratkodobé finačné výpomoci ( 241, 249, 24X, 473A, /-/255A )</t>
  </si>
  <si>
    <t>Stav OP na konci účtovného obdobia</t>
  </si>
  <si>
    <t>093</t>
  </si>
  <si>
    <t>A. V. 1.</t>
  </si>
  <si>
    <t>099</t>
  </si>
  <si>
    <t>56</t>
  </si>
  <si>
    <t>Za bežné 
účtovné obdobie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</si>
  <si>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</si>
  <si>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</si>
  <si>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</si>
  <si>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</si>
  <si>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</si>
  <si>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Zmena odloženého daňového záväzku</t>
  </si>
  <si>
    <t>Softwér ( 013 ) - /073, 091A/</t>
  </si>
  <si>
    <t>026</t>
  </si>
  <si>
    <t>007</t>
  </si>
  <si>
    <t>20</t>
  </si>
  <si>
    <t>16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</si>
  <si>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</si>
  <si>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</si>
  <si>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</si>
  <si>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</si>
  <si>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</si>
  <si>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028</t>
  </si>
  <si>
    <t>079</t>
  </si>
  <si>
    <t>Pohľadávky kryté záložným právom alebo inou formou zabezpečenia</t>
  </si>
  <si>
    <t>Opravné položky k finančnému majetku (+/-) (565)</t>
  </si>
  <si>
    <t>Obstarávaný  DFM</t>
  </si>
  <si>
    <t>Pôžičky prepojeným ÚJ (066A) - /096A/</t>
  </si>
  <si>
    <t>Výsledok hospodárenia za účtovné obdobie pred zdanením (+/-) (r.27+r.55)</t>
  </si>
  <si>
    <t>33</t>
  </si>
  <si>
    <t>Netto v minulom
účtovnom období</t>
  </si>
  <si>
    <t>A.III. 1.</t>
  </si>
  <si>
    <t>Zrušenie</t>
  </si>
  <si>
    <t>105</t>
  </si>
  <si>
    <t>Obstarávaný krátkodobý finančný majetok (259,314A) - /291A/</t>
  </si>
  <si>
    <t>súvisiace audítorské služby</t>
  </si>
  <si>
    <t>18. Informácie k časti  F. písm. x) prílohy č. 3 o vývoji opravnej položky ku krátkodobému finančnému majetku</t>
  </si>
  <si>
    <t>Zaúčtovaná ako náklad</t>
  </si>
  <si>
    <t>050</t>
  </si>
  <si>
    <t>Tabuľka č. 4</t>
  </si>
  <si>
    <t>**</t>
  </si>
  <si>
    <t>Výnosy zo zákazkovej výroby</t>
  </si>
  <si>
    <t>Dlhodobé prijaté preddavky ( 475A )</t>
  </si>
  <si>
    <t>017</t>
  </si>
  <si>
    <t>Brutto v bežnom
účtovnom období</t>
  </si>
  <si>
    <t>Náklady na obstaranie nehnuteľnosti na predaj od začiatku obstarávania</t>
  </si>
  <si>
    <t>IV.</t>
  </si>
  <si>
    <t>Dočasné rozdiely medzi účtovnou hodnotou záväzkov a daňovou základňou, z toho:</t>
  </si>
  <si>
    <t>091</t>
  </si>
  <si>
    <t>XI.1.</t>
  </si>
  <si>
    <t>080</t>
  </si>
  <si>
    <t>Ostatný dlhodobý hmotný majetok (029,02X,032) - / 089, 08X, 092A/</t>
  </si>
  <si>
    <t>Krátkodobé záväzky spolu</t>
  </si>
  <si>
    <t>Za bežné účtovné obdobie</t>
  </si>
  <si>
    <t>55</t>
  </si>
  <si>
    <t>PS,Z,CO</t>
  </si>
  <si>
    <t>A. V.</t>
  </si>
  <si>
    <t>Stav v bežnom
účtovnom období</t>
  </si>
  <si>
    <t>012</t>
  </si>
  <si>
    <t>Rozdelenie účtovného zisku</t>
  </si>
  <si>
    <t>Pôžičky ÚJ 
v kons. celku</t>
  </si>
  <si>
    <t>Zakladné stádo a ťažné zvieratá ( 026 ) - / 086, 092A/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</si>
  <si>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</si>
  <si>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</si>
  <si>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</si>
  <si>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</si>
  <si>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</si>
  <si>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Menovitá hodnota</t>
  </si>
  <si>
    <t>Zvýšenie hodnoty</t>
  </si>
  <si>
    <t>Iné výnosy súvisiace s bežnou činnosťou</t>
  </si>
  <si>
    <t>Nedokončená výroba a polotovary vlastnej výroby</t>
  </si>
  <si>
    <t>Výdavky budúcich období krátkodobé ( 383A )</t>
  </si>
  <si>
    <t>063</t>
  </si>
  <si>
    <t>053</t>
  </si>
  <si>
    <t>CP – cenný papier</t>
  </si>
  <si>
    <t>Služby (účtovná skupina 51)</t>
  </si>
  <si>
    <t>54</t>
  </si>
  <si>
    <t>34. Informácie k časti I. prílohy č. 3 o nákladoch voči audítorovi, audítorskej spoločnosti</t>
  </si>
  <si>
    <t>141</t>
  </si>
  <si>
    <t>004</t>
  </si>
  <si>
    <t>17. Informácie k časti F. písm. w)  prílohy č. 3 o krátkodobom finančnom majetku</t>
  </si>
  <si>
    <t>Záväzky zo sociálneho fondu (472)</t>
  </si>
  <si>
    <t>Dlhodobé pôžičky spolu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</si>
  <si>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</si>
  <si>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</si>
  <si>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</si>
  <si>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</si>
  <si>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</si>
  <si>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</si>
  <si>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01</t>
  </si>
  <si>
    <t>B.III.</t>
  </si>
  <si>
    <t>Ostatný dlhodobý nehmotný majetok ( 019,01X ) - /079, 07X,091A/</t>
  </si>
  <si>
    <t>31. Informácie k časti G. písm. m) prílohy č. 3 o majetku prenajatom formou finančného prenájmu</t>
  </si>
  <si>
    <t>142</t>
  </si>
  <si>
    <t>121</t>
  </si>
  <si>
    <t>030</t>
  </si>
  <si>
    <t>DHM – dlhodobý hmotný majetok</t>
  </si>
  <si>
    <t>Opravné položky k pohľadávkam (+/-) (547)</t>
  </si>
  <si>
    <t>Ostatné rezervy ( 459A, 45XA )</t>
  </si>
  <si>
    <t>Q.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</si>
  <si>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</si>
  <si>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</si>
  <si>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</si>
  <si>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Goodwill (015) - /075,091A/</t>
  </si>
  <si>
    <t>Neobežný majetok r. 003+r.011+r.021</t>
  </si>
  <si>
    <t>A. VII.</t>
  </si>
  <si>
    <t>Materiál ( 112, 119, 11X ) - / 191, 19X /</t>
  </si>
  <si>
    <t>Vyfakturované nároky za vykonanú prácu na zákazkovej výrobe</t>
  </si>
  <si>
    <t>Dlhodobé pôžičky</t>
  </si>
  <si>
    <t>09</t>
  </si>
  <si>
    <t>033</t>
  </si>
  <si>
    <t>042</t>
  </si>
  <si>
    <t>Ostatné záväzky v rámci podielovej účasti okrem záväzkov voči prep.ÚJ  (471A, 47XA)</t>
  </si>
  <si>
    <t>Do splatnosti do jedného roka vrátane</t>
  </si>
  <si>
    <t>Vlastné akcie a vlastné obchodné podiely (252)</t>
  </si>
  <si>
    <t>17</t>
  </si>
  <si>
    <t>Dohodnutá cena  podkladového nástroja</t>
  </si>
  <si>
    <t>43</t>
  </si>
  <si>
    <t>015</t>
  </si>
  <si>
    <t>110</t>
  </si>
  <si>
    <t>ZI – základné imanie</t>
  </si>
  <si>
    <t>Účty v bankách s dobou viazanosti dhšou ako 1 rok (22XA)</t>
  </si>
  <si>
    <t>29</t>
  </si>
  <si>
    <t>B. II.</t>
  </si>
  <si>
    <t>Goodwill</t>
  </si>
  <si>
    <t>095</t>
  </si>
  <si>
    <t>Tovar ( 132,133,13X,139 ) - /196,19X/</t>
  </si>
  <si>
    <t>073</t>
  </si>
  <si>
    <t>Náklady vynaložené na obstaranie predaného tovaru ( 504, 507)</t>
  </si>
  <si>
    <t>23</t>
  </si>
  <si>
    <t>126</t>
  </si>
  <si>
    <t>Zmena stavu vnútroorganizačných zásob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</si>
  <si>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</si>
  <si>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</si>
  <si>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</si>
  <si>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</si>
  <si>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Výsledok hospodárenia za účtovné obdobie po zdanení (+/-) (r.56 - r.57 - r.60)</t>
  </si>
  <si>
    <t>Podiel ÚJ na ZI v  %</t>
  </si>
  <si>
    <t>Zaokrúhlené
(brutto)</t>
  </si>
  <si>
    <t>Ostatné záväzky voči prepojeným ÚJ (361A,36XA,471A,47XA)</t>
  </si>
  <si>
    <t>040</t>
  </si>
  <si>
    <t>H.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</si>
  <si>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</si>
  <si>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</si>
  <si>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</si>
  <si>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</si>
  <si>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</si>
  <si>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</si>
  <si>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</si>
  <si>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</si>
  <si>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</si>
  <si>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</si>
  <si>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068</t>
  </si>
  <si>
    <t>081</t>
  </si>
  <si>
    <t>1.c.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</si>
  <si>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</si>
  <si>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</si>
  <si>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</si>
  <si>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Obstarávaný dlhodobý nehmotný majetok  ( 041 ) - 093</t>
  </si>
  <si>
    <t>20. Informácie k časti F. písm.  za) prílohy č. 3 o ocenení krátkodobého finančného  majetku, ku dňu ku ktorému sa zostavuje účtovná závierka reálnou hodnotou</t>
  </si>
  <si>
    <t>Tvorba</t>
  </si>
  <si>
    <t>58</t>
  </si>
  <si>
    <t>26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</si>
  <si>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</si>
  <si>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</si>
  <si>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</si>
  <si>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</si>
  <si>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</si>
  <si>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</si>
  <si>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</si>
  <si>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</si>
  <si>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</si>
  <si>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Obchodné meno a sídlo spoločnosti, v ktorej má ÚJ umiestnený DFM</t>
  </si>
  <si>
    <t>048</t>
  </si>
  <si>
    <t>Tvorba OP</t>
  </si>
  <si>
    <t>031</t>
  </si>
  <si>
    <t>Účtovná hodnota DFM</t>
  </si>
  <si>
    <t>Použitie</t>
  </si>
  <si>
    <t>Poskytnuté preddavky na dlhodobý nehmotný majetok ( 051 ) - 095A</t>
  </si>
  <si>
    <t>Ostatné nákladové úroky ( 562A )</t>
  </si>
  <si>
    <t>006</t>
  </si>
  <si>
    <t/>
  </si>
  <si>
    <t>Dočasné rozdiely medzi účtovnou hodnotou majetku a daňovou základňou, z toho:</t>
  </si>
  <si>
    <t>IX.</t>
  </si>
  <si>
    <t>Použité skratky:</t>
  </si>
  <si>
    <t>136</t>
  </si>
  <si>
    <t>058</t>
  </si>
  <si>
    <t>Vplyv ocenenia na vlastné imanie</t>
  </si>
  <si>
    <t>1.b.</t>
  </si>
  <si>
    <t>144</t>
  </si>
  <si>
    <t>transfer</t>
  </si>
  <si>
    <t>019</t>
  </si>
  <si>
    <t xml:space="preserve">Účtovný zisk </t>
  </si>
  <si>
    <t>K.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</si>
  <si>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</si>
  <si>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</si>
  <si>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</si>
  <si>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</si>
  <si>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</si>
  <si>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082</t>
  </si>
  <si>
    <t>Účtovná hodnota</t>
  </si>
  <si>
    <t>Pohľadávky spolu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</si>
  <si>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</si>
  <si>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</si>
  <si>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</si>
  <si>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</si>
  <si>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</si>
  <si>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</si>
  <si>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</si>
  <si>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</si>
  <si>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</si>
  <si>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</si>
  <si>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Dlhové CP držané 
do splatnosti</t>
  </si>
  <si>
    <t>086</t>
  </si>
  <si>
    <t>089</t>
  </si>
  <si>
    <t>Ostatné fondy ( 427, 42X )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</si>
  <si>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</si>
  <si>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</si>
  <si>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</si>
  <si>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</si>
  <si>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</si>
  <si>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Náklady na precenenie cenných papierov a náklady na derivátové operácie (564,567)</t>
  </si>
  <si>
    <t>Dary</t>
  </si>
  <si>
    <t>044</t>
  </si>
  <si>
    <t>34</t>
  </si>
  <si>
    <t>V.</t>
  </si>
  <si>
    <t>Čistá hodnota zákazky (316A)</t>
  </si>
  <si>
    <t>DNM – dlhodobý nehmotný majetok</t>
  </si>
  <si>
    <t>Emisné kvóty (komodity)</t>
  </si>
  <si>
    <t>Náklady na zákazkovú výrobu</t>
  </si>
  <si>
    <t>Spolu</t>
  </si>
  <si>
    <t>Zmena stavu vnútroorga-nizačných zásob vo výkaze ziskov a strát</t>
  </si>
  <si>
    <t>zdaniteľné</t>
  </si>
  <si>
    <t>Oprávky</t>
  </si>
  <si>
    <t>Záväzky voči zamestnancom ( 331,333,33X,479A )</t>
  </si>
  <si>
    <t>Softvér</t>
  </si>
  <si>
    <t xml:space="preserve">Tabuľka č. 1 </t>
  </si>
  <si>
    <t>Výsledok hospodárenia z hospodárskej činnosti (+/-) (r.02 - r. 10)</t>
  </si>
  <si>
    <t>B.III. 1.</t>
  </si>
  <si>
    <t>výpomoc</t>
  </si>
  <si>
    <t>B.  V. 1.</t>
  </si>
  <si>
    <t>Zvieratá ( 124 ) - /195/</t>
  </si>
  <si>
    <t>Odložená daň z príjmov</t>
  </si>
  <si>
    <t>Krátkodobé rezervy r.137 +r.138</t>
  </si>
  <si>
    <t>Stav na začiatku účtovného obdobia</t>
  </si>
  <si>
    <t>Krátkodobé pohľadávky spolu</t>
  </si>
  <si>
    <t>Ostatné záväzky voči prepojeným ÚJ (471A,47XA)</t>
  </si>
  <si>
    <t>Krátkodobé pohľadávky súčet (r. 054 + r. 058 až r. 065)</t>
  </si>
  <si>
    <t>Dlhodobý hmotný majetok</t>
  </si>
  <si>
    <t>Iné dlhodobé záväzky ( 336A, 372A, 474A, 47XA)</t>
  </si>
  <si>
    <t>Časové rozlíšenie súčet (r. 142 až r. 145)</t>
  </si>
  <si>
    <t>x</t>
  </si>
  <si>
    <t>107</t>
  </si>
  <si>
    <t>BS,110,S</t>
  </si>
  <si>
    <t>R.1.</t>
  </si>
  <si>
    <t>Dlhodobý finančný majetok súčet (r. 022 až 032)</t>
  </si>
  <si>
    <t>Skutočnosť v účtovnom 
období sledovanom</t>
  </si>
  <si>
    <t>032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</si>
  <si>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</si>
  <si>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</si>
  <si>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</si>
  <si>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</si>
  <si>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</si>
  <si>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</si>
  <si>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>Vyfakturované nároky za vykonanú prácu na zákazkovej výstavbe nehnuteľnosti určenej na predaj</t>
  </si>
  <si>
    <t>Iné záväzky ( 372A, 379A, 474A, 475A, 479A, 47XA )</t>
  </si>
  <si>
    <t>061</t>
  </si>
  <si>
    <t>065</t>
  </si>
  <si>
    <t>002</t>
  </si>
  <si>
    <t>Daňové pohľadávky a dotácie ( 341,342,343,345,346,347 ) - /391A/</t>
  </si>
  <si>
    <t>Záväzky so zostatkovou dobou splatnosti 
jeden rok až päť rokov</t>
  </si>
  <si>
    <t>Dlhodobé záväzky z derivátových operácií (373A, 377A)</t>
  </si>
  <si>
    <t>Sumár od začiatku zákazkovej výroby až 
do konca bežného účtovného obdobia</t>
  </si>
  <si>
    <t>Bežné účtovné obdobie</t>
  </si>
  <si>
    <t>B. II. 1.</t>
  </si>
  <si>
    <t>060</t>
  </si>
  <si>
    <t>Záväzky po lehote splatnosti</t>
  </si>
  <si>
    <t>Daň z príjmov splatná (591,595)</t>
  </si>
  <si>
    <t>51</t>
  </si>
  <si>
    <t>viac ako päť rokov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</si>
  <si>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</si>
  <si>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</si>
  <si>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</si>
  <si>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</si>
  <si>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109</t>
  </si>
  <si>
    <t>014</t>
  </si>
  <si>
    <t>Oceniteľné práva ( 014 ) - /074, 091A/</t>
  </si>
  <si>
    <t>Emisné kvóty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</si>
  <si>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</si>
  <si>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</si>
  <si>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</si>
  <si>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</si>
  <si>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</si>
  <si>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</si>
  <si>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</si>
  <si>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</si>
  <si>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</si>
  <si>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Pohľadávky voči spoločníkom,členom a združeniu (354A,355A,358A,35XA,398A) -/391A/</t>
  </si>
  <si>
    <t>Dlhodobý finančný majetok</t>
  </si>
  <si>
    <t>59</t>
  </si>
  <si>
    <t>Obstarávaný DNM</t>
  </si>
  <si>
    <t>Ostatné výnosy z kratkodobého finančného majetku (666A)</t>
  </si>
  <si>
    <t>3.</t>
  </si>
  <si>
    <t>38</t>
  </si>
  <si>
    <t>Účty v bankách ( 221A, 22X +/-261 )</t>
  </si>
  <si>
    <t>145</t>
  </si>
  <si>
    <t>Daňovo neuznané náklady</t>
  </si>
  <si>
    <t>Ostatný DFM</t>
  </si>
  <si>
    <t>Tžby z predaja vlastných výrobkov ( 601 )</t>
  </si>
  <si>
    <t>135</t>
  </si>
  <si>
    <t>Opravné položky k zásobám (+/-) (505)</t>
  </si>
  <si>
    <t>Podiel ÚJ na hlasovacích právach v %</t>
  </si>
  <si>
    <t>Zaokrúhlené
(netto)</t>
  </si>
  <si>
    <t>Druh obchodu</t>
  </si>
  <si>
    <t>114</t>
  </si>
  <si>
    <t>Výnosové úroky (r.40 + r.41)</t>
  </si>
  <si>
    <t>57</t>
  </si>
  <si>
    <t>Tržby za tovar</t>
  </si>
  <si>
    <t>Daňové záväzky a dotácie ( 341, 342, 343, 345, 346, 347, 34X )</t>
  </si>
  <si>
    <t>Tabuľka č. 2</t>
  </si>
  <si>
    <t>Pohľadávky voči dcérskej účtovnej jednotke a materskej účtovnej jednotke</t>
  </si>
  <si>
    <t>111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</si>
  <si>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</si>
  <si>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</si>
  <si>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</si>
  <si>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úradom Slovenskej republiky.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</si>
  <si>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</si>
  <si>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</si>
  <si>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</si>
  <si>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</si>
  <si>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029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</si>
  <si>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</si>
  <si>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</si>
  <si>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</si>
  <si>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</si>
  <si>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</si>
  <si>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</si>
  <si>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</si>
  <si>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</si>
  <si>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</si>
  <si>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</si>
  <si>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</si>
  <si>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</si>
  <si>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</si>
  <si>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</si>
  <si>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Poskytnuté preddavky na dlhod. fin. majetok ( 053 ) - /095A/</t>
  </si>
  <si>
    <t>X.</t>
  </si>
  <si>
    <t>Ostatné pohľadávky voči prepojeným ÚJ ( 351A )-/391A/</t>
  </si>
  <si>
    <t>Dlhodobé záväzky súčet (r. 103 + r. 107 až r. 117)</t>
  </si>
  <si>
    <t>Pozemky</t>
  </si>
  <si>
    <t>52</t>
  </si>
  <si>
    <t>X.1.</t>
  </si>
  <si>
    <t>Tabuľka č. 3</t>
  </si>
  <si>
    <t>Dlhodobé pohľadávky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</si>
  <si>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</si>
  <si>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</si>
  <si>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</si>
  <si>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</si>
  <si>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</si>
  <si>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</si>
  <si>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</si>
  <si>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027</t>
  </si>
  <si>
    <t>Opravná položka k nadobudnut.majetku  ( +/-097, +/-098 )</t>
  </si>
  <si>
    <t>143</t>
  </si>
  <si>
    <t>005</t>
  </si>
  <si>
    <t>Zákonné rezervné fondy r. 088 + r. 089</t>
  </si>
  <si>
    <t>127</t>
  </si>
  <si>
    <t>M.</t>
  </si>
  <si>
    <t>Pohľadávky za upísané vlastné imanie ( /-/353 )</t>
  </si>
  <si>
    <t>117</t>
  </si>
  <si>
    <t>G.1.</t>
  </si>
  <si>
    <t>36</t>
  </si>
  <si>
    <t>41</t>
  </si>
  <si>
    <t>iné uisťovacie audítorské služby</t>
  </si>
  <si>
    <t>Zásoby spolu</t>
  </si>
  <si>
    <t>daňové poradenstvo</t>
  </si>
  <si>
    <t>37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</si>
  <si>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</si>
  <si>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</si>
  <si>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</si>
  <si>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</si>
  <si>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</si>
  <si>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 xml:space="preserve">7. Informácie k časti F. písm. m) prílohy č. 3 o dlhodobom finančnom majetku 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</si>
  <si>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</si>
  <si>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</si>
  <si>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</si>
  <si>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</si>
  <si>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</si>
  <si>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</si>
  <si>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</si>
  <si>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</si>
  <si>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Príjmy budúcich období krátkodobé ( 385A )</t>
  </si>
  <si>
    <t>19</t>
  </si>
  <si>
    <t>Pestovateľské celky 
trvalých porastov</t>
  </si>
  <si>
    <t>08</t>
  </si>
  <si>
    <t>024</t>
  </si>
  <si>
    <t>Oceňovacie rozdiely z precenenia súčet (r. 094 až r. 096)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</si>
  <si>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</si>
  <si>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</si>
  <si>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</si>
  <si>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A K T Í V A</t>
  </si>
  <si>
    <t>Predané cenné papiere a podiely (561)</t>
  </si>
  <si>
    <t>Záväzky z obchodného styku voči prepojeným ÚJ (321A,475A,476A)</t>
  </si>
  <si>
    <t>výsledok hospodárenia</t>
  </si>
  <si>
    <t>Záväzky z derivátových operácií (373A, 377A)</t>
  </si>
  <si>
    <t>E.</t>
  </si>
  <si>
    <t>Úhrada straty minulých období</t>
  </si>
  <si>
    <t>Stav na začiatku účtovného obdobia</t>
  </si>
  <si>
    <t>48</t>
  </si>
  <si>
    <t>Názov položky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</si>
  <si>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</si>
  <si>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</si>
  <si>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46</t>
  </si>
  <si>
    <t>Splatná daň z príjmov</t>
  </si>
  <si>
    <t>Zvýšenie/ zníženie hodnoty (+/-)</t>
  </si>
  <si>
    <t>*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</si>
  <si>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</si>
  <si>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</si>
  <si>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</si>
  <si>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</si>
  <si>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</si>
  <si>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043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</si>
  <si>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</si>
  <si>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</si>
  <si>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</si>
  <si>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</si>
  <si>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</si>
  <si>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</si>
  <si>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</si>
  <si>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</si>
  <si>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</si>
  <si>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</si>
  <si>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05</t>
  </si>
  <si>
    <t xml:space="preserve">Spolu </t>
  </si>
  <si>
    <t>Krátkodobé pohľadávky</t>
  </si>
  <si>
    <t>Obežný majetok  r.034 + r.041 + r.053 + r.066 + r.071</t>
  </si>
  <si>
    <t>Iné pohľadávky</t>
  </si>
  <si>
    <t>J.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</si>
  <si>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</si>
  <si>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</si>
  <si>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</si>
  <si>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</si>
  <si>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</si>
  <si>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</si>
  <si>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</si>
  <si>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</si>
  <si>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</si>
  <si>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</si>
  <si>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A.III.</t>
  </si>
  <si>
    <t>134</t>
  </si>
  <si>
    <t xml:space="preserve">Výnosy zo zákazkovej výstavby nehnuteľnosti určenej na predaj </t>
  </si>
  <si>
    <t>Pohľadávky  z obchodného styku</t>
  </si>
  <si>
    <t>Výrobky</t>
  </si>
  <si>
    <r>
      <t>Dlhodobé pôžičky</t>
    </r>
    <r>
      <rPr>
        <sz val="8"/>
        <color theme="1"/>
        <rFont val="Arial"/>
        <family val="2"/>
      </rPr>
      <t> </t>
    </r>
  </si>
  <si>
    <t>Obstarávaný DFM na účely vykonania vplyvu v inej ÚJ</t>
  </si>
  <si>
    <t>Bezprostredne predchádzajúce účtovné obdobie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</si>
  <si>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</si>
  <si>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</si>
  <si>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</si>
  <si>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</si>
  <si>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</si>
  <si>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úver, pôžička</t>
  </si>
  <si>
    <t>A.VIII.</t>
  </si>
  <si>
    <t>24</t>
  </si>
  <si>
    <t>Zostatková hodnota</t>
  </si>
  <si>
    <t>023</t>
  </si>
  <si>
    <t>Výnosy budúcich období dlhodobé ( 384A )</t>
  </si>
  <si>
    <t>Ostatné kapitálové fondy ( 413 )</t>
  </si>
  <si>
    <t>Hodnota predmetu</t>
  </si>
  <si>
    <t>A.  I. 1.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</si>
  <si>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</si>
  <si>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</si>
  <si>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</si>
  <si>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</si>
  <si>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</si>
  <si>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</si>
  <si>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</si>
  <si>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</si>
  <si>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</si>
  <si>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</si>
  <si>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</si>
  <si>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</si>
  <si>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</si>
  <si>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</si>
  <si>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</si>
  <si>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</si>
  <si>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Krátkodobé rezervy, z toho:</t>
  </si>
  <si>
    <t>057</t>
  </si>
  <si>
    <t>Tvorba 
OP</t>
  </si>
  <si>
    <t>Vlastné imanie r.081+r.085+r.086+r.087+r.090+r.093+r.097+r.100</t>
  </si>
  <si>
    <t>06</t>
  </si>
  <si>
    <t>Ostatný DNM</t>
  </si>
  <si>
    <t>Uplatnená daňová pohľadávka</t>
  </si>
  <si>
    <t>055</t>
  </si>
  <si>
    <t>Náklady na hospodársku činnosť spolu r.11+r.12+r.13+r.14+r15+r.20+r.21+r.24+r.25+r.26</t>
  </si>
  <si>
    <t>Sociálne náklady ( 527, 528 )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</si>
  <si>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</si>
  <si>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</si>
  <si>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</si>
  <si>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</si>
  <si>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</si>
  <si>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</si>
  <si>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</si>
  <si>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</si>
  <si>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</si>
  <si>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</si>
  <si>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</si>
  <si>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ÚJ – účtovná jednotka</t>
  </si>
  <si>
    <t>103</t>
  </si>
  <si>
    <t>Stav OP  na začiatku účtovného obdobia</t>
  </si>
  <si>
    <t>Výnosy z finančnej činnosti spolu r.30+r.31+r.35+r.39+r.42+r.43+r.44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</si>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</sst>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279</v>
      </c>
    </row>
    <row r="2" spans="1:2" x14ac:dyDescent="0.25">
      <c r="A2" t="s">
        <v>91</v>
      </c>
    </row>
    <row r="3" spans="1:2" x14ac:dyDescent="0.25">
      <c r="A3" t="s">
        <v>696</v>
      </c>
    </row>
    <row r="4" spans="1:2" x14ac:dyDescent="0.25">
      <c r="A4" t="s">
        <v>337</v>
      </c>
    </row>
    <row r="5" spans="1:2" x14ac:dyDescent="0.25">
      <c r="A5" t="s">
        <v>309</v>
      </c>
    </row>
    <row r="6" spans="1:2" x14ac:dyDescent="0.25">
      <c r="A6" t="s">
        <v>875</v>
      </c>
    </row>
    <row r="7" spans="1:2" x14ac:dyDescent="0.25">
      <c r="A7" t="s">
        <v>38</v>
      </c>
    </row>
    <row r="8" spans="1:2" x14ac:dyDescent="0.25">
      <c r="A8" t="s">
        <v>28</v>
      </c>
    </row>
    <row r="9" spans="1:2" x14ac:dyDescent="0.25">
      <c r="A9" t="s">
        <v>158</v>
      </c>
    </row>
    <row r="10" spans="1:2" x14ac:dyDescent="0.25">
      <c r="A10" t="s">
        <v>847</v>
      </c>
    </row>
    <row r="11" spans="1:2" x14ac:dyDescent="0.25">
      <c r="A11" s="39" t="s">
        <v>253</v>
      </c>
      <c r="B11" s="39" t="s">
        <v>684</v>
      </c>
    </row>
    <row r="12" spans="1:2" x14ac:dyDescent="0.25">
      <c r="A12" s="144">
        <v>1</v>
      </c>
      <c r="B12" s="52" t="s">
        <v>214</v>
      </c>
    </row>
    <row r="13" spans="1:2" x14ac:dyDescent="0.25">
      <c r="A13" s="144">
        <v>2</v>
      </c>
      <c r="B13" s="52" t="s">
        <v>814</v>
      </c>
    </row>
    <row r="14" spans="1:2" x14ac:dyDescent="0.25">
      <c r="A14" s="144">
        <v>3</v>
      </c>
      <c r="B14" s="52" t="s">
        <v>697</v>
      </c>
    </row>
    <row r="15" spans="1:2" x14ac:dyDescent="0.25">
      <c r="A15" s="144">
        <v>4</v>
      </c>
      <c r="B15" s="52" t="s">
        <v>55</v>
      </c>
    </row>
    <row r="16" spans="1:2" x14ac:dyDescent="0.25">
      <c r="A16" s="144">
        <v>5</v>
      </c>
      <c r="B16" s="52" t="s">
        <v>157</v>
      </c>
    </row>
    <row r="17" spans="1:2" x14ac:dyDescent="0.25">
      <c r="A17" s="144">
        <v>6</v>
      </c>
      <c r="B17" s="52" t="s">
        <v>561</v>
      </c>
    </row>
    <row r="18" spans="1:2" x14ac:dyDescent="0.25">
      <c r="A18" s="144">
        <v>7</v>
      </c>
      <c r="B18" s="52" t="s">
        <v>29</v>
      </c>
    </row>
    <row r="19" spans="1:2" x14ac:dyDescent="0.25">
      <c r="A19" s="144">
        <v>8</v>
      </c>
      <c r="B19" s="52" t="s">
        <v>832</v>
      </c>
    </row>
    <row r="20" spans="1:2" x14ac:dyDescent="0.25">
      <c r="A20" s="144">
        <v>9</v>
      </c>
      <c r="B20" s="52" t="s">
        <v>610</v>
      </c>
    </row>
    <row r="21" spans="1:2" x14ac:dyDescent="0.25">
      <c r="A21" s="144">
        <v>10</v>
      </c>
      <c r="B21" s="52" t="s">
        <v>272</v>
      </c>
    </row>
    <row r="22" spans="1:2" x14ac:dyDescent="0.25">
      <c r="A22" s="144">
        <v>11</v>
      </c>
      <c r="B22" s="52" t="s">
        <v>795</v>
      </c>
    </row>
    <row r="24" spans="1:2" x14ac:dyDescent="0.25">
      <c r="A24" t="s">
        <v>555</v>
      </c>
    </row>
    <row r="25" spans="1:2" x14ac:dyDescent="0.25">
      <c r="A25" t="s">
        <v>796</v>
      </c>
    </row>
    <row r="26" spans="1:2" x14ac:dyDescent="0.25">
      <c r="A26" t="s">
        <v>445</v>
      </c>
    </row>
    <row r="27" spans="1:2" x14ac:dyDescent="0.25">
      <c r="A27" t="s">
        <v>758</v>
      </c>
    </row>
    <row r="28" spans="1:2" x14ac:dyDescent="0.25">
      <c r="A28" t="s">
        <v>467</v>
      </c>
    </row>
    <row r="29" spans="1:2" x14ac:dyDescent="0.25">
      <c r="A29" t="s">
        <v>704</v>
      </c>
    </row>
    <row r="30" spans="1:2" x14ac:dyDescent="0.25">
      <c r="A30" t="s">
        <v>598</v>
      </c>
    </row>
    <row r="31" spans="1:2" x14ac:dyDescent="0.25">
      <c r="A31" t="s">
        <v>288</v>
      </c>
    </row>
    <row r="32" spans="1:2" x14ac:dyDescent="0.25">
      <c r="A32" t="s">
        <v>789</v>
      </c>
    </row>
    <row r="33" spans="1:1" x14ac:dyDescent="0.25">
      <c r="A33" t="s">
        <v>96</v>
      </c>
    </row>
    <row r="34" spans="1:1" x14ac:dyDescent="0.25">
      <c r="A34" t="s">
        <v>161</v>
      </c>
    </row>
    <row r="35" spans="1:1" x14ac:dyDescent="0.25">
      <c r="A35" t="s">
        <v>878</v>
      </c>
    </row>
    <row r="36" spans="1:1" x14ac:dyDescent="0.25">
      <c r="A36" t="s">
        <v>90</v>
      </c>
    </row>
    <row r="37" spans="1:1" x14ac:dyDescent="0.25">
      <c r="A37" t="s">
        <v>491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195</v>
      </c>
    </row>
    <row r="2" spans="1:10" ht="74.25" customHeight="1" thickTop="1" thickBot="1" x14ac:dyDescent="0.3">
      <c r="A2" s="204" t="s">
        <v>583</v>
      </c>
      <c r="B2" s="204" t="s">
        <v>380</v>
      </c>
      <c r="C2" s="47" t="s">
        <v>615</v>
      </c>
      <c r="D2" s="204" t="s">
        <v>439</v>
      </c>
      <c r="E2" s="204" t="s">
        <v>234</v>
      </c>
      <c r="F2" s="47" t="s">
        <v>30</v>
      </c>
      <c r="G2" s="204" t="s">
        <v>0</v>
      </c>
    </row>
    <row r="3" spans="1:10" ht="27" customHeight="1" thickTop="1" thickBot="1" x14ac:dyDescent="0.3">
      <c r="A3" s="169" t="s">
        <v>433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210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83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484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756</v>
      </c>
      <c r="B7" s="197" t="s">
        <v>622</v>
      </c>
      <c r="C7" s="14"/>
      <c r="D7" s="14"/>
      <c r="E7" s="14"/>
      <c r="F7" s="14"/>
      <c r="G7" s="63" t="e">
        <f>SUMIF(#REF!,"065*",#REF!)-SUMIF(#REF!,"065*",#REF!)</f>
        <v>#REF!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94</v>
      </c>
    </row>
    <row r="2" spans="1:6" ht="58.5" customHeight="1" thickTop="1" thickBot="1" x14ac:dyDescent="0.3">
      <c r="A2" s="204" t="s">
        <v>479</v>
      </c>
      <c r="B2" s="47" t="s">
        <v>615</v>
      </c>
      <c r="C2" s="204" t="s">
        <v>439</v>
      </c>
      <c r="D2" s="204" t="s">
        <v>234</v>
      </c>
      <c r="E2" s="204" t="s">
        <v>653</v>
      </c>
      <c r="F2" s="47" t="s">
        <v>298</v>
      </c>
    </row>
    <row r="3" spans="1:6" ht="27" customHeight="1" thickTop="1" thickBot="1" x14ac:dyDescent="0.3">
      <c r="A3" s="169" t="s">
        <v>433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150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17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484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453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569</v>
      </c>
    </row>
    <row r="2" spans="1:8" ht="17.25" thickBot="1" x14ac:dyDescent="0.35">
      <c r="A2" s="239" t="s">
        <v>801</v>
      </c>
    </row>
    <row r="3" spans="1:8" ht="16.5" thickTop="1" thickBot="1" x14ac:dyDescent="0.3">
      <c r="A3" s="240" t="s">
        <v>104</v>
      </c>
      <c r="B3" s="245" t="s">
        <v>644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693</v>
      </c>
      <c r="C4" s="179" t="s">
        <v>859</v>
      </c>
      <c r="D4" s="182" t="s">
        <v>107</v>
      </c>
      <c r="E4" s="179" t="s">
        <v>343</v>
      </c>
      <c r="F4" s="182" t="s">
        <v>371</v>
      </c>
    </row>
    <row r="5" spans="1:8" ht="23.25" customHeight="1" thickTop="1" thickBot="1" x14ac:dyDescent="0.3">
      <c r="A5" s="169" t="s">
        <v>633</v>
      </c>
      <c r="B5" s="135" t="e">
        <f>SUMIF(#REF!,"191*",#REF!)-SUMIF(#REF!,"191*",#REF!)</f>
        <v>#REF!</v>
      </c>
      <c r="C5" s="41"/>
      <c r="D5" s="41"/>
      <c r="E5" s="41"/>
      <c r="F5" s="135" t="e">
        <f>SUMIF(#REF!,"191*",#REF!)-SUMIF(#REF!,"191*",#REF!)</f>
        <v>#REF!</v>
      </c>
      <c r="H5" s="151"/>
    </row>
    <row r="6" spans="1:8" ht="34.5" thickBot="1" x14ac:dyDescent="0.3">
      <c r="A6" s="169" t="s">
        <v>540</v>
      </c>
      <c r="B6" s="135" t="e">
        <f>SUMIF(#REF!,"192*",#REF!)-SUMIF(#REF!,"192*",#REF!)+SUMIF(#REF!,"193*",#REF!)-SUMIF(#REF!,"193*",#REF!)</f>
        <v>#REF!</v>
      </c>
      <c r="C6" s="41"/>
      <c r="D6" s="41"/>
      <c r="E6" s="41"/>
      <c r="F6" s="135" t="e">
        <f>SUMIF(#REF!,"192*",#REF!)-SUMIF(#REF!,"192*",#REF!)+SUMIF(#REF!,"193*",#REF!)-SUMIF(#REF!,"193*",#REF!)</f>
        <v>#REF!</v>
      </c>
      <c r="H6" s="151"/>
    </row>
    <row r="7" spans="1:8" ht="23.25" customHeight="1" thickBot="1" x14ac:dyDescent="0.3">
      <c r="A7" s="169" t="s">
        <v>823</v>
      </c>
      <c r="B7" s="135" t="e">
        <f>SUMIF(#REF!,"194*",#REF!)-SUMIF(#REF!,"194*",#REF!)</f>
        <v>#REF!</v>
      </c>
      <c r="C7" s="231"/>
      <c r="D7" s="231"/>
      <c r="E7" s="231"/>
      <c r="F7" s="135" t="e">
        <f>SUMIF(#REF!,"194*",#REF!)-SUMIF(#REF!,"194*",#REF!)</f>
        <v>#REF!</v>
      </c>
      <c r="H7" s="151"/>
    </row>
    <row r="8" spans="1:8" ht="23.25" customHeight="1" thickBot="1" x14ac:dyDescent="0.3">
      <c r="A8" s="169" t="s">
        <v>750</v>
      </c>
      <c r="B8" s="135" t="e">
        <f>SUMIF(#REF!,"195*",#REF!)-SUMIF(#REF!,"195*",#REF!)</f>
        <v>#REF!</v>
      </c>
      <c r="C8" s="231"/>
      <c r="D8" s="231"/>
      <c r="E8" s="231"/>
      <c r="F8" s="135" t="e">
        <f>SUMIF(#REF!,"195*",#REF!)-SUMIF(#REF!,"195*",#REF!)</f>
        <v>#REF!</v>
      </c>
      <c r="H8" s="151"/>
    </row>
    <row r="9" spans="1:8" ht="23.25" customHeight="1" thickBot="1" x14ac:dyDescent="0.3">
      <c r="A9" s="169" t="s">
        <v>70</v>
      </c>
      <c r="B9" s="135" t="e">
        <f>SUMIF(#REF!,"196*",#REF!)-SUMIF(#REF!,"196*",#REF!)</f>
        <v>#REF!</v>
      </c>
      <c r="C9" s="231"/>
      <c r="D9" s="231"/>
      <c r="E9" s="231"/>
      <c r="F9" s="135" t="e">
        <f>SUMIF(#REF!,"196*",#REF!)-SUMIF(#REF!,"196*",#REF!)</f>
        <v>#REF!</v>
      </c>
      <c r="H9" s="151"/>
    </row>
    <row r="10" spans="1:8" ht="23.25" customHeight="1" thickBot="1" x14ac:dyDescent="0.3">
      <c r="A10" s="169" t="s">
        <v>45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255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745</v>
      </c>
      <c r="B12" s="14" t="e">
        <f>SUM(B5:B11)</f>
        <v>#REF!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 t="e">
        <f>SUM(F5:F11)</f>
        <v>#REF!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569</v>
      </c>
    </row>
    <row r="2" spans="1:2" ht="16.5" x14ac:dyDescent="0.3">
      <c r="A2" s="239"/>
    </row>
    <row r="3" spans="1:2" ht="17.25" thickBot="1" x14ac:dyDescent="0.35">
      <c r="A3" s="239" t="s">
        <v>690</v>
      </c>
    </row>
    <row r="4" spans="1:2" ht="24" customHeight="1" thickTop="1" thickBot="1" x14ac:dyDescent="0.3">
      <c r="A4" s="191" t="s">
        <v>45</v>
      </c>
      <c r="B4" s="32" t="s">
        <v>128</v>
      </c>
    </row>
    <row r="5" spans="1:2" ht="24" thickTop="1" thickBot="1" x14ac:dyDescent="0.3">
      <c r="A5" s="190" t="s">
        <v>714</v>
      </c>
      <c r="B5" s="221"/>
    </row>
    <row r="6" spans="1:2" ht="24.75" customHeight="1" thickBot="1" x14ac:dyDescent="0.3">
      <c r="A6" s="37" t="s">
        <v>416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456</v>
      </c>
    </row>
    <row r="2" spans="1:2" ht="16.5" thickTop="1" thickBot="1" x14ac:dyDescent="0.3">
      <c r="A2" s="191" t="s">
        <v>104</v>
      </c>
      <c r="B2" s="32" t="s">
        <v>108</v>
      </c>
    </row>
    <row r="3" spans="1:2" ht="24" customHeight="1" thickTop="1" thickBot="1" x14ac:dyDescent="0.3">
      <c r="A3" s="190" t="s">
        <v>568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390</v>
      </c>
    </row>
    <row r="2" spans="1:7" ht="17.25" thickBot="1" x14ac:dyDescent="0.35">
      <c r="A2" s="239" t="s">
        <v>801</v>
      </c>
    </row>
    <row r="3" spans="1:7" ht="45" customHeight="1" thickTop="1" thickBot="1" x14ac:dyDescent="0.3">
      <c r="A3" s="204" t="s">
        <v>368</v>
      </c>
      <c r="B3" s="47" t="s">
        <v>376</v>
      </c>
      <c r="C3" s="47" t="s">
        <v>841</v>
      </c>
      <c r="D3" s="47" t="s">
        <v>643</v>
      </c>
    </row>
    <row r="4" spans="1:7" ht="20.25" customHeight="1" thickTop="1" thickBot="1" x14ac:dyDescent="0.3">
      <c r="A4" s="169" t="s">
        <v>412</v>
      </c>
      <c r="B4" s="135" t="e">
        <f>SUMIF(#REF!,"606*",#REF!)-SUMIF(#REF!,"606*",#REF!)</f>
        <v>#REF!</v>
      </c>
      <c r="C4" s="135" t="e">
        <f>SUMIF(#REF!,"606*",#REF!)-SUMIF(#REF!,"606*",#REF!)</f>
        <v>#REF!</v>
      </c>
      <c r="D4" s="124"/>
      <c r="G4" s="151"/>
    </row>
    <row r="5" spans="1:7" ht="20.25" customHeight="1" thickBot="1" x14ac:dyDescent="0.3">
      <c r="A5" s="169" t="s">
        <v>600</v>
      </c>
      <c r="B5" s="124"/>
      <c r="C5" s="124"/>
      <c r="D5" s="124"/>
    </row>
    <row r="6" spans="1:7" ht="20.25" customHeight="1" thickBot="1" x14ac:dyDescent="0.3">
      <c r="A6" s="37" t="s">
        <v>232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723</v>
      </c>
      <c r="B9" s="142"/>
      <c r="C9" s="142"/>
      <c r="D9" s="142"/>
    </row>
    <row r="10" spans="1:7" ht="45" customHeight="1" thickTop="1" thickBot="1" x14ac:dyDescent="0.3">
      <c r="A10" s="204" t="s">
        <v>368</v>
      </c>
      <c r="B10" s="47" t="s">
        <v>376</v>
      </c>
      <c r="C10" s="47" t="s">
        <v>841</v>
      </c>
      <c r="D10" s="47" t="s">
        <v>5</v>
      </c>
    </row>
    <row r="11" spans="1:7" ht="35.25" thickTop="1" thickBot="1" x14ac:dyDescent="0.3">
      <c r="A11" s="169" t="s">
        <v>821</v>
      </c>
      <c r="B11" s="124"/>
      <c r="C11" s="124"/>
      <c r="D11" s="124"/>
    </row>
    <row r="12" spans="1:7" ht="34.5" thickBot="1" x14ac:dyDescent="0.3">
      <c r="A12" s="169" t="s">
        <v>846</v>
      </c>
      <c r="B12" s="124"/>
      <c r="C12" s="124"/>
      <c r="D12" s="124"/>
    </row>
    <row r="13" spans="1:7" ht="15.75" thickBot="1" x14ac:dyDescent="0.3">
      <c r="A13" s="37" t="s">
        <v>232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390</v>
      </c>
    </row>
    <row r="2" spans="1:3" ht="16.5" x14ac:dyDescent="0.3">
      <c r="A2" s="239"/>
    </row>
    <row r="3" spans="1:3" ht="15.75" thickBot="1" x14ac:dyDescent="0.3">
      <c r="A3" s="142" t="s">
        <v>690</v>
      </c>
      <c r="B3" s="142"/>
      <c r="C3" s="142"/>
    </row>
    <row r="4" spans="1:3" ht="45" customHeight="1" thickTop="1" thickBot="1" x14ac:dyDescent="0.3">
      <c r="A4" s="204" t="s">
        <v>59</v>
      </c>
      <c r="B4" s="47" t="s">
        <v>424</v>
      </c>
      <c r="C4" s="47" t="s">
        <v>342</v>
      </c>
    </row>
    <row r="5" spans="1:3" ht="24" thickTop="1" thickBot="1" x14ac:dyDescent="0.3">
      <c r="A5" s="169" t="s">
        <v>478</v>
      </c>
      <c r="B5" s="124"/>
      <c r="C5" s="124"/>
    </row>
    <row r="6" spans="1:3" ht="34.5" thickBot="1" x14ac:dyDescent="0.3">
      <c r="A6" s="169" t="s">
        <v>167</v>
      </c>
      <c r="B6" s="124"/>
      <c r="C6" s="124"/>
    </row>
    <row r="7" spans="1:3" ht="20.25" customHeight="1" thickBot="1" x14ac:dyDescent="0.3">
      <c r="A7" s="169" t="s">
        <v>818</v>
      </c>
      <c r="B7" s="124"/>
      <c r="C7" s="124"/>
    </row>
    <row r="8" spans="1:3" ht="20.25" customHeight="1" thickBot="1" x14ac:dyDescent="0.3">
      <c r="A8" s="37" t="s">
        <v>761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410</v>
      </c>
      <c r="B11" s="142"/>
      <c r="C11" s="142"/>
    </row>
    <row r="12" spans="1:3" ht="45" customHeight="1" thickTop="1" thickBot="1" x14ac:dyDescent="0.3">
      <c r="A12" s="204" t="s">
        <v>283</v>
      </c>
      <c r="B12" s="47" t="s">
        <v>424</v>
      </c>
      <c r="C12" s="47" t="s">
        <v>5</v>
      </c>
    </row>
    <row r="13" spans="1:3" ht="35.25" thickTop="1" thickBot="1" x14ac:dyDescent="0.3">
      <c r="A13" s="169" t="s">
        <v>635</v>
      </c>
      <c r="B13" s="124"/>
      <c r="C13" s="124"/>
    </row>
    <row r="14" spans="1:3" ht="34.5" thickBot="1" x14ac:dyDescent="0.3">
      <c r="A14" s="169" t="s">
        <v>167</v>
      </c>
      <c r="B14" s="124"/>
      <c r="C14" s="124"/>
    </row>
    <row r="15" spans="1:3" ht="20.25" customHeight="1" thickBot="1" x14ac:dyDescent="0.3">
      <c r="A15" s="169" t="s">
        <v>86</v>
      </c>
      <c r="B15" s="124"/>
      <c r="C15" s="124"/>
    </row>
    <row r="16" spans="1:3" ht="20.25" customHeight="1" thickBot="1" x14ac:dyDescent="0.3">
      <c r="A16" s="37" t="s">
        <v>761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18</v>
      </c>
    </row>
    <row r="2" spans="1:11" ht="16.5" thickTop="1" thickBot="1" x14ac:dyDescent="0.3">
      <c r="A2" s="240" t="s">
        <v>339</v>
      </c>
      <c r="B2" s="245" t="s">
        <v>644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15</v>
      </c>
      <c r="C3" s="155" t="s">
        <v>40</v>
      </c>
      <c r="D3" s="165" t="s">
        <v>107</v>
      </c>
      <c r="E3" s="155" t="s">
        <v>343</v>
      </c>
      <c r="F3" s="165" t="s">
        <v>371</v>
      </c>
    </row>
    <row r="4" spans="1:11" s="168" customFormat="1" ht="33" customHeight="1" thickTop="1" thickBot="1" x14ac:dyDescent="0.3">
      <c r="A4" s="110" t="s">
        <v>526</v>
      </c>
      <c r="B4" s="80">
        <f>SUMIF(SUAM!C:C,"042",SUAM!E:E)+SUMIF(SUAM!C:C,"054",SUAM!E:E)</f>
        <v>25653.7</v>
      </c>
      <c r="C4" s="29"/>
      <c r="D4" s="29"/>
      <c r="E4" s="29"/>
      <c r="F4" s="194">
        <f>SUMIF(SUA!C:C,"042",SUA!E:E)+SUMIF(SUA!C:C,"054",SUA!E:E)</f>
        <v>22430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691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882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76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807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572</v>
      </c>
      <c r="B9" s="90">
        <f>SUM(D4:D8)</f>
        <v>0</v>
      </c>
      <c r="C9" s="202"/>
      <c r="D9" s="202"/>
      <c r="E9" s="202"/>
      <c r="F9" s="202">
        <f>SUM(F4:F8)</f>
        <v>22430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307</v>
      </c>
    </row>
    <row r="2" spans="1:6" ht="17.25" thickBot="1" x14ac:dyDescent="0.35">
      <c r="A2" s="239" t="s">
        <v>801</v>
      </c>
    </row>
    <row r="3" spans="1:6" ht="22.5" customHeight="1" thickTop="1" thickBot="1" x14ac:dyDescent="0.3">
      <c r="A3" s="191" t="s">
        <v>780</v>
      </c>
      <c r="B3" s="32" t="s">
        <v>291</v>
      </c>
      <c r="C3" s="32" t="s">
        <v>391</v>
      </c>
      <c r="D3" s="32" t="s">
        <v>572</v>
      </c>
    </row>
    <row r="4" spans="1:6" ht="22.5" customHeight="1" thickTop="1" thickBot="1" x14ac:dyDescent="0.3">
      <c r="A4" s="104" t="s">
        <v>724</v>
      </c>
      <c r="B4" s="8"/>
      <c r="C4" s="8"/>
      <c r="D4" s="20"/>
    </row>
    <row r="5" spans="1:6" ht="22.5" customHeight="1" thickTop="1" thickBot="1" x14ac:dyDescent="0.3">
      <c r="A5" s="169" t="s">
        <v>822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691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882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76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807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202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805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156</v>
      </c>
      <c r="B12" s="41"/>
      <c r="C12" s="41"/>
      <c r="D12" s="228">
        <f>SUMIF(SUA!C:C,"054",SUA!F:F)</f>
        <v>70954.080000000002</v>
      </c>
      <c r="E12" s="56"/>
      <c r="F12" s="24"/>
    </row>
    <row r="13" spans="1:6" ht="22.5" customHeight="1" thickBot="1" x14ac:dyDescent="0.3">
      <c r="A13" s="169" t="s">
        <v>691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882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76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353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118</v>
      </c>
      <c r="B17" s="41"/>
      <c r="C17" s="41"/>
      <c r="D17" s="228">
        <f>SUMIF(SUA!C:C,"063",SUA!F:F)</f>
        <v>1086.96</v>
      </c>
      <c r="E17" s="56"/>
      <c r="F17" s="24"/>
    </row>
    <row r="18" spans="1:6" ht="22.5" customHeight="1" thickBot="1" x14ac:dyDescent="0.3">
      <c r="A18" s="169" t="s">
        <v>807</v>
      </c>
      <c r="B18" s="41"/>
      <c r="C18" s="41"/>
      <c r="D18" s="228">
        <f>SUMIF(SUA!C:C,"065",SUA!F:F)</f>
        <v>0</v>
      </c>
      <c r="E18" s="56"/>
      <c r="F18" s="24"/>
    </row>
    <row r="19" spans="1:6" ht="22.5" customHeight="1" thickBot="1" x14ac:dyDescent="0.3">
      <c r="A19" s="125" t="s">
        <v>616</v>
      </c>
      <c r="B19" s="14">
        <f>SUM(B12:B18)</f>
        <v>0</v>
      </c>
      <c r="C19" s="14">
        <f>SUM(C12:C18)</f>
        <v>0</v>
      </c>
      <c r="D19" s="118">
        <f>SUM(D12:D18)</f>
        <v>72041.040000000008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142</v>
      </c>
      <c r="B1" s="258"/>
      <c r="C1" s="258"/>
    </row>
    <row r="2" spans="1:3" ht="16.5" thickTop="1" thickBot="1" x14ac:dyDescent="0.3">
      <c r="A2" s="240" t="s">
        <v>37</v>
      </c>
      <c r="B2" s="259" t="s">
        <v>644</v>
      </c>
      <c r="C2" s="260"/>
    </row>
    <row r="3" spans="1:3" ht="16.5" thickTop="1" thickBot="1" x14ac:dyDescent="0.3">
      <c r="A3" s="254"/>
      <c r="B3" s="32" t="s">
        <v>839</v>
      </c>
      <c r="C3" s="204" t="s">
        <v>516</v>
      </c>
    </row>
    <row r="4" spans="1:3" ht="24" thickTop="1" thickBot="1" x14ac:dyDescent="0.3">
      <c r="A4" s="190" t="s">
        <v>395</v>
      </c>
      <c r="B4" s="22"/>
      <c r="C4" s="221"/>
    </row>
    <row r="5" spans="1:3" ht="23.25" thickBot="1" x14ac:dyDescent="0.3">
      <c r="A5" s="169" t="s">
        <v>711</v>
      </c>
      <c r="B5" s="9" t="s">
        <v>622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695</v>
      </c>
    </row>
    <row r="2" spans="1:3" ht="21.75" customHeight="1" thickTop="1" thickBot="1" x14ac:dyDescent="0.3">
      <c r="A2" s="191" t="s">
        <v>368</v>
      </c>
      <c r="B2" s="32" t="s">
        <v>644</v>
      </c>
      <c r="C2" s="32" t="s">
        <v>826</v>
      </c>
    </row>
    <row r="3" spans="1:3" ht="22.5" customHeight="1" thickTop="1" thickBot="1" x14ac:dyDescent="0.3">
      <c r="A3" s="190" t="s">
        <v>95</v>
      </c>
      <c r="B3" s="221"/>
      <c r="C3" s="221"/>
    </row>
    <row r="4" spans="1:3" ht="22.5" customHeight="1" thickBot="1" x14ac:dyDescent="0.3">
      <c r="A4" s="169" t="s">
        <v>381</v>
      </c>
      <c r="B4" s="124"/>
      <c r="C4" s="124"/>
    </row>
    <row r="5" spans="1:3" ht="22.5" customHeight="1" thickBot="1" x14ac:dyDescent="0.3">
      <c r="A5" s="37" t="s">
        <v>802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451</v>
      </c>
    </row>
    <row r="2" spans="1:3" ht="17.25" thickBot="1" x14ac:dyDescent="0.35">
      <c r="A2" s="70" t="s">
        <v>607</v>
      </c>
    </row>
    <row r="3" spans="1:3" ht="24" thickTop="1" thickBot="1" x14ac:dyDescent="0.3">
      <c r="A3" s="191" t="s">
        <v>780</v>
      </c>
      <c r="B3" s="32" t="s">
        <v>644</v>
      </c>
      <c r="C3" s="32" t="s">
        <v>826</v>
      </c>
    </row>
    <row r="4" spans="1:3" ht="16.5" thickTop="1" thickBot="1" x14ac:dyDescent="0.3">
      <c r="A4" s="123" t="s">
        <v>61</v>
      </c>
      <c r="B4" s="116">
        <f>SUMIF(SUA!C:C,"072",SUA!F:F)</f>
        <v>52549.97</v>
      </c>
      <c r="C4" s="195">
        <f>SUMIF(SUA!C:C,"072",SUA!G:G)</f>
        <v>16499.09</v>
      </c>
    </row>
    <row r="5" spans="1:3" ht="15.75" thickBot="1" x14ac:dyDescent="0.3">
      <c r="A5" s="110" t="s">
        <v>84</v>
      </c>
      <c r="B5" s="235" t="e">
        <f>SUMIF(SUA!C:C,"073",SUA!F:F)-(SUMIF(#REF!,"261*",#REF!)+SUMIF(#REF!,"261*",#REF!))</f>
        <v>#REF!</v>
      </c>
      <c r="C5" s="59" t="e">
        <f>SUMIF(SUA!C:C,"073",SUA!G:G)-(SUMIF(#REF!,"261*",#REF!)+SUMIF(#REF!,"261*",#REF!))</f>
        <v>#REF!</v>
      </c>
    </row>
    <row r="6" spans="1:3" ht="15.75" thickBot="1" x14ac:dyDescent="0.3">
      <c r="A6" s="110" t="s">
        <v>323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102</v>
      </c>
      <c r="B7" s="235" t="e">
        <f>SUMIF(#REF!,"261*",#REF!)-SUMIF(#REF!,"261*",#REF!)</f>
        <v>#REF!</v>
      </c>
      <c r="C7" s="59" t="e">
        <f>SUMIF(#REF!,"261*",#REF!)-SUMIF(#REF!,"261*",#REF!)</f>
        <v>#REF!</v>
      </c>
    </row>
    <row r="8" spans="1:3" ht="15.75" thickBot="1" x14ac:dyDescent="0.3">
      <c r="A8" s="122" t="s">
        <v>601</v>
      </c>
      <c r="B8" s="138" t="e">
        <f>SUM(B4:B7)</f>
        <v>#REF!</v>
      </c>
      <c r="C8" s="118" t="e">
        <f>SUM(C4:C7)</f>
        <v>#REF!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451</v>
      </c>
    </row>
    <row r="2" spans="1:7" ht="17.25" thickBot="1" x14ac:dyDescent="0.35">
      <c r="A2" s="70" t="s">
        <v>690</v>
      </c>
    </row>
    <row r="3" spans="1:7" ht="16.5" thickTop="1" thickBot="1" x14ac:dyDescent="0.3">
      <c r="A3" s="240" t="s">
        <v>264</v>
      </c>
      <c r="B3" s="245" t="s">
        <v>644</v>
      </c>
      <c r="C3" s="246"/>
      <c r="D3" s="246"/>
      <c r="E3" s="247"/>
    </row>
    <row r="4" spans="1:7" ht="18" customHeight="1" thickTop="1" x14ac:dyDescent="0.25">
      <c r="A4" s="241"/>
      <c r="B4" s="241" t="s">
        <v>778</v>
      </c>
      <c r="C4" s="241" t="s">
        <v>178</v>
      </c>
      <c r="D4" s="241" t="s">
        <v>270</v>
      </c>
      <c r="E4" s="241" t="s">
        <v>298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328</v>
      </c>
      <c r="B6" s="135" t="e">
        <f>SUMIF(#REF!,"251*",#REF!)-SUMIF(#REF!,"251*",#REF!)</f>
        <v>#REF!</v>
      </c>
      <c r="C6" s="231"/>
      <c r="D6" s="231"/>
      <c r="E6" s="228" t="e">
        <f>SUMIF(#REF!,"251*",#REF!)-SUMIF(#REF!,"251*",#REF!)</f>
        <v>#REF!</v>
      </c>
      <c r="F6" s="56"/>
      <c r="G6" s="24"/>
    </row>
    <row r="7" spans="1:7" ht="21.75" customHeight="1" thickBot="1" x14ac:dyDescent="0.3">
      <c r="A7" s="169" t="s">
        <v>781</v>
      </c>
      <c r="B7" s="135" t="e">
        <f>SUMIF(#REF!,"253*",#REF!)-SUMIF(#REF!,"253*",#REF!)</f>
        <v>#REF!</v>
      </c>
      <c r="C7" s="231"/>
      <c r="D7" s="231"/>
      <c r="E7" s="228" t="e">
        <f>SUMIF(#REF!,"253*",#REF!)-SUMIF(#REF!,"253*",#REF!)</f>
        <v>#REF!</v>
      </c>
      <c r="F7" s="56"/>
      <c r="G7" s="24"/>
    </row>
    <row r="8" spans="1:7" ht="21.75" customHeight="1" thickBot="1" x14ac:dyDescent="0.3">
      <c r="A8" s="169" t="s">
        <v>658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471</v>
      </c>
      <c r="B9" s="135" t="e">
        <f>SUMIF(#REF!,"256*",#REF!)-SUMIF(#REF!,"256*",#REF!)</f>
        <v>#REF!</v>
      </c>
      <c r="C9" s="231"/>
      <c r="D9" s="231"/>
      <c r="E9" s="228" t="e">
        <f>SUMIF(#REF!,"256*",#REF!)-SUMIF(#REF!,"256*",#REF!)</f>
        <v>#REF!</v>
      </c>
      <c r="F9" s="56"/>
      <c r="G9" s="24"/>
    </row>
    <row r="10" spans="1:7" ht="21.75" customHeight="1" thickBot="1" x14ac:dyDescent="0.3">
      <c r="A10" s="169" t="s">
        <v>578</v>
      </c>
      <c r="B10" s="135" t="e">
        <f>SUMIF(#REF!,"257*",#REF!)-SUMIF(#REF!,"257*",#REF!)</f>
        <v>#REF!</v>
      </c>
      <c r="C10" s="231"/>
      <c r="D10" s="231"/>
      <c r="E10" s="228" t="e">
        <f>SUMIF(#REF!,"257*",#REF!)-SUMIF(#REF!,"257*",#REF!)</f>
        <v>#REF!</v>
      </c>
      <c r="F10" s="56"/>
      <c r="G10" s="24"/>
    </row>
    <row r="11" spans="1:7" ht="21.75" customHeight="1" thickBot="1" x14ac:dyDescent="0.3">
      <c r="A11" s="169" t="s">
        <v>538</v>
      </c>
      <c r="B11" s="135" t="e">
        <f>SUMIF(#REF!,"259*",#REF!)-SUMIF(#REF!,"259*",#REF!)</f>
        <v>#REF!</v>
      </c>
      <c r="C11" s="231"/>
      <c r="D11" s="231"/>
      <c r="E11" s="228" t="e">
        <f>SUMIF(#REF!,"259*",#REF!)-SUMIF(#REF!,"259*",#REF!)</f>
        <v>#REF!</v>
      </c>
      <c r="F11" s="56"/>
      <c r="G11" s="24"/>
    </row>
    <row r="12" spans="1:7" ht="21.75" customHeight="1" thickBot="1" x14ac:dyDescent="0.3">
      <c r="A12" s="125" t="s">
        <v>149</v>
      </c>
      <c r="B12" s="14" t="e">
        <f>SUM(B6:B11)</f>
        <v>#REF!</v>
      </c>
      <c r="C12" s="14">
        <f>SUM(C6:C11)</f>
        <v>0</v>
      </c>
      <c r="D12" s="14">
        <f>SUM(D6:D11)</f>
        <v>0</v>
      </c>
      <c r="E12" s="118" t="e">
        <f>SUM(E6:E11)</f>
        <v>#REF!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407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110</v>
      </c>
      <c r="B2" s="204" t="s">
        <v>880</v>
      </c>
      <c r="C2" s="204" t="s">
        <v>545</v>
      </c>
      <c r="D2" s="204" t="s">
        <v>458</v>
      </c>
      <c r="E2" s="204" t="s">
        <v>343</v>
      </c>
      <c r="F2" s="204" t="s">
        <v>177</v>
      </c>
    </row>
    <row r="3" spans="1:10" ht="23.25" customHeight="1" thickTop="1" thickBot="1" x14ac:dyDescent="0.3">
      <c r="A3" s="17" t="s">
        <v>578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538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149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472</v>
      </c>
      <c r="B1" s="258"/>
      <c r="C1" s="168"/>
    </row>
    <row r="2" spans="1:3" ht="16.5" thickTop="1" thickBot="1" x14ac:dyDescent="0.3">
      <c r="A2" s="95" t="s">
        <v>780</v>
      </c>
      <c r="B2" s="196" t="s">
        <v>108</v>
      </c>
    </row>
    <row r="3" spans="1:3" ht="24" thickTop="1" thickBot="1" x14ac:dyDescent="0.3">
      <c r="A3" s="190" t="s">
        <v>798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530</v>
      </c>
      <c r="B1" s="258"/>
      <c r="C1" s="258"/>
      <c r="D1" s="258"/>
    </row>
    <row r="2" spans="1:4" ht="44.25" customHeight="1" thickTop="1" thickBot="1" x14ac:dyDescent="0.3">
      <c r="A2" s="106" t="s">
        <v>110</v>
      </c>
      <c r="B2" s="47" t="s">
        <v>785</v>
      </c>
      <c r="C2" s="47" t="s">
        <v>377</v>
      </c>
      <c r="D2" s="47" t="s">
        <v>558</v>
      </c>
    </row>
    <row r="3" spans="1:4" ht="16.5" thickTop="1" thickBot="1" x14ac:dyDescent="0.3">
      <c r="A3" s="17" t="s">
        <v>328</v>
      </c>
      <c r="B3" s="201"/>
      <c r="C3" s="201"/>
      <c r="D3" s="35"/>
    </row>
    <row r="4" spans="1:4" ht="15.75" thickBot="1" x14ac:dyDescent="0.3">
      <c r="A4" s="17" t="s">
        <v>781</v>
      </c>
      <c r="B4" s="201"/>
      <c r="C4" s="201"/>
      <c r="D4" s="35"/>
    </row>
    <row r="5" spans="1:4" ht="15.75" thickBot="1" x14ac:dyDescent="0.3">
      <c r="A5" s="17" t="s">
        <v>599</v>
      </c>
      <c r="B5" s="201"/>
      <c r="C5" s="201"/>
      <c r="D5" s="35"/>
    </row>
    <row r="6" spans="1:4" ht="15.75" thickBot="1" x14ac:dyDescent="0.3">
      <c r="A6" s="17" t="s">
        <v>578</v>
      </c>
      <c r="B6" s="201"/>
      <c r="C6" s="201"/>
      <c r="D6" s="35"/>
    </row>
    <row r="7" spans="1:4" ht="26.25" customHeight="1" thickBot="1" x14ac:dyDescent="0.3">
      <c r="A7" s="67" t="s">
        <v>149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140</v>
      </c>
    </row>
    <row r="2" spans="1:7" ht="36.75" customHeight="1" thickTop="1" thickBot="1" x14ac:dyDescent="0.3">
      <c r="A2" s="261" t="s">
        <v>368</v>
      </c>
      <c r="B2" s="264" t="s">
        <v>644</v>
      </c>
      <c r="C2" s="265"/>
      <c r="D2" s="266"/>
      <c r="E2" s="245" t="s">
        <v>703</v>
      </c>
      <c r="F2" s="246"/>
      <c r="G2" s="247"/>
    </row>
    <row r="3" spans="1:7" ht="16.5" thickTop="1" thickBot="1" x14ac:dyDescent="0.3">
      <c r="A3" s="262"/>
      <c r="B3" s="264" t="s">
        <v>48</v>
      </c>
      <c r="C3" s="265"/>
      <c r="D3" s="266"/>
      <c r="E3" s="264" t="s">
        <v>48</v>
      </c>
      <c r="F3" s="265"/>
      <c r="G3" s="266"/>
    </row>
    <row r="4" spans="1:7" ht="46.5" thickTop="1" thickBot="1" x14ac:dyDescent="0.3">
      <c r="A4" s="263"/>
      <c r="B4" s="179" t="s">
        <v>332</v>
      </c>
      <c r="C4" s="179" t="s">
        <v>78</v>
      </c>
      <c r="D4" s="179" t="s">
        <v>650</v>
      </c>
      <c r="E4" s="179" t="s">
        <v>332</v>
      </c>
      <c r="F4" s="179" t="s">
        <v>78</v>
      </c>
      <c r="G4" s="179" t="s">
        <v>650</v>
      </c>
    </row>
    <row r="5" spans="1:7" ht="16.5" customHeight="1" thickTop="1" thickBot="1" x14ac:dyDescent="0.3">
      <c r="A5" s="17" t="s">
        <v>757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148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601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768</v>
      </c>
      <c r="B1" s="267"/>
    </row>
    <row r="2" spans="1:2" ht="15.75" thickBot="1" x14ac:dyDescent="0.3">
      <c r="A2" s="142" t="s">
        <v>801</v>
      </c>
      <c r="B2" s="142"/>
    </row>
    <row r="3" spans="1:2" ht="16.5" thickTop="1" thickBot="1" x14ac:dyDescent="0.3">
      <c r="A3" s="106" t="s">
        <v>780</v>
      </c>
      <c r="B3" s="205" t="s">
        <v>826</v>
      </c>
    </row>
    <row r="4" spans="1:2" ht="16.5" thickTop="1" thickBot="1" x14ac:dyDescent="0.3">
      <c r="A4" s="36" t="s">
        <v>563</v>
      </c>
      <c r="B4" s="23">
        <f>IF(SUMIF(SUP!C:C,"100",SUP!E:E)&gt; 0,SUMIF(SUP!C:C,"100",SUP!E:E), 0)</f>
        <v>72352.289999999994</v>
      </c>
    </row>
    <row r="5" spans="1:2" ht="16.5" thickTop="1" thickBot="1" x14ac:dyDescent="0.3">
      <c r="A5" s="36" t="s">
        <v>430</v>
      </c>
      <c r="B5" s="137" t="s">
        <v>644</v>
      </c>
    </row>
    <row r="6" spans="1:2" ht="16.5" thickTop="1" thickBot="1" x14ac:dyDescent="0.3">
      <c r="A6" s="17" t="s">
        <v>869</v>
      </c>
      <c r="B6" s="227"/>
    </row>
    <row r="7" spans="1:2" ht="15.75" thickBot="1" x14ac:dyDescent="0.3">
      <c r="A7" s="17" t="s">
        <v>196</v>
      </c>
      <c r="B7" s="227"/>
    </row>
    <row r="8" spans="1:2" ht="15.75" thickBot="1" x14ac:dyDescent="0.3">
      <c r="A8" s="17" t="s">
        <v>43</v>
      </c>
      <c r="B8" s="227"/>
    </row>
    <row r="9" spans="1:2" ht="15.75" thickBot="1" x14ac:dyDescent="0.3">
      <c r="A9" s="17" t="s">
        <v>189</v>
      </c>
      <c r="B9" s="227"/>
    </row>
    <row r="10" spans="1:2" ht="15.75" thickBot="1" x14ac:dyDescent="0.3">
      <c r="A10" s="17" t="s">
        <v>777</v>
      </c>
      <c r="B10" s="227"/>
    </row>
    <row r="11" spans="1:2" ht="15.75" thickBot="1" x14ac:dyDescent="0.3">
      <c r="A11" s="17" t="s">
        <v>319</v>
      </c>
      <c r="B11" s="227"/>
    </row>
    <row r="12" spans="1:2" ht="15.75" thickBot="1" x14ac:dyDescent="0.3">
      <c r="A12" s="17" t="s">
        <v>314</v>
      </c>
      <c r="B12" s="227"/>
    </row>
    <row r="13" spans="1:2" ht="15.75" thickBot="1" x14ac:dyDescent="0.3">
      <c r="A13" s="17" t="s">
        <v>115</v>
      </c>
      <c r="B13" s="227"/>
    </row>
    <row r="14" spans="1:2" ht="15.75" thickBot="1" x14ac:dyDescent="0.3">
      <c r="A14" s="36" t="s">
        <v>601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690</v>
      </c>
      <c r="B16" s="7"/>
    </row>
    <row r="17" spans="1:2" ht="16.5" thickTop="1" thickBot="1" x14ac:dyDescent="0.3">
      <c r="A17" s="106" t="s">
        <v>780</v>
      </c>
      <c r="B17" s="10" t="s">
        <v>826</v>
      </c>
    </row>
    <row r="18" spans="1:2" ht="16.5" thickTop="1" thickBot="1" x14ac:dyDescent="0.3">
      <c r="A18" s="36" t="s">
        <v>226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301</v>
      </c>
      <c r="B19" s="137" t="s">
        <v>644</v>
      </c>
    </row>
    <row r="20" spans="1:2" ht="16.5" thickTop="1" thickBot="1" x14ac:dyDescent="0.3">
      <c r="A20" s="17" t="s">
        <v>69</v>
      </c>
      <c r="B20" s="227"/>
    </row>
    <row r="21" spans="1:2" ht="15.75" thickBot="1" x14ac:dyDescent="0.3">
      <c r="A21" s="17" t="s">
        <v>294</v>
      </c>
      <c r="B21" s="35"/>
    </row>
    <row r="22" spans="1:2" ht="15.75" thickBot="1" x14ac:dyDescent="0.3">
      <c r="A22" s="17" t="s">
        <v>712</v>
      </c>
      <c r="B22" s="35"/>
    </row>
    <row r="23" spans="1:2" ht="15.75" thickBot="1" x14ac:dyDescent="0.3">
      <c r="A23" s="17" t="s">
        <v>169</v>
      </c>
      <c r="B23" s="35"/>
    </row>
    <row r="24" spans="1:2" ht="15.75" thickBot="1" x14ac:dyDescent="0.3">
      <c r="A24" s="17" t="s">
        <v>10</v>
      </c>
      <c r="B24" s="35"/>
    </row>
    <row r="25" spans="1:2" ht="15.75" thickBot="1" x14ac:dyDescent="0.3">
      <c r="A25" s="17" t="s">
        <v>115</v>
      </c>
      <c r="B25" s="35"/>
    </row>
    <row r="26" spans="1:2" ht="15.75" thickBot="1" x14ac:dyDescent="0.3">
      <c r="A26" s="36" t="s">
        <v>804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799</v>
      </c>
      <c r="B1" s="142"/>
      <c r="C1" s="142"/>
      <c r="D1" s="142"/>
      <c r="E1" s="142"/>
      <c r="F1" s="142"/>
    </row>
    <row r="2" spans="1:9" ht="15.75" thickBot="1" x14ac:dyDescent="0.3">
      <c r="A2" s="142" t="s">
        <v>801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780</v>
      </c>
      <c r="B3" s="264" t="s">
        <v>644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778</v>
      </c>
      <c r="C4" s="179" t="s">
        <v>531</v>
      </c>
      <c r="D4" s="192" t="s">
        <v>548</v>
      </c>
      <c r="E4" s="182" t="s">
        <v>403</v>
      </c>
      <c r="F4" s="179" t="s">
        <v>298</v>
      </c>
    </row>
    <row r="5" spans="1:9" ht="21" customHeight="1" thickTop="1" thickBot="1" x14ac:dyDescent="0.3">
      <c r="A5" s="67" t="s">
        <v>47</v>
      </c>
      <c r="B5" s="26" t="e">
        <f>SUMIF(#REF!,"459*",#REF!)-SUMIF(#REF!,"459*",#REF!)</f>
        <v>#REF!</v>
      </c>
      <c r="C5" s="218">
        <f>SUM(C6:C10)</f>
        <v>0</v>
      </c>
      <c r="D5" s="218">
        <f>SUM(D6:D10)</f>
        <v>0</v>
      </c>
      <c r="E5" s="218">
        <f>SUM(E6:E10)</f>
        <v>0</v>
      </c>
      <c r="F5" s="40" t="e">
        <f>SUMIF(#REF!,"459*",#REF!)-SUMIF(#REF!,"459*",#REF!)</f>
        <v>#REF!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857</v>
      </c>
      <c r="B11" s="178" t="e">
        <f>SUMIF(#REF!,"323*",#REF!)-SUMIF(#REF!,"323*",#REF!)</f>
        <v>#REF!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 t="e">
        <f>SUMIF(#REF!,"323*",#REF!)-SUMIF(#REF!,"323*",#REF!)</f>
        <v>#REF!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690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780</v>
      </c>
      <c r="B21" s="264" t="s">
        <v>826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778</v>
      </c>
      <c r="C22" s="179" t="s">
        <v>531</v>
      </c>
      <c r="D22" s="192" t="s">
        <v>548</v>
      </c>
      <c r="E22" s="182" t="s">
        <v>403</v>
      </c>
      <c r="F22" s="179" t="s">
        <v>298</v>
      </c>
    </row>
    <row r="23" spans="1:9" ht="21" customHeight="1" thickTop="1" thickBot="1" x14ac:dyDescent="0.3">
      <c r="A23" s="220" t="s">
        <v>47</v>
      </c>
      <c r="B23" s="26" t="e">
        <f>SUMIF(#REF!,"459*",#REF!)-SUMIF(#REF!,"459*",#REF!)</f>
        <v>#REF!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 t="e">
        <f>SUMIF(#REF!,"459*",#REF!)-SUMIF(#REF!,"459*",#REF!)</f>
        <v>#REF!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857</v>
      </c>
      <c r="B29" s="178" t="e">
        <f>SUMIF(#REF!,"323*",#REF!)-SUMIF(#REF!,"323*",#REF!)</f>
        <v>#REF!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 t="e">
        <f>SUMIF(#REF!,"323*",#REF!)-SUMIF(#REF!,"323*",#REF!)</f>
        <v>#REF!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329</v>
      </c>
    </row>
    <row r="2" spans="1:3" ht="26.25" customHeight="1" thickTop="1" thickBot="1" x14ac:dyDescent="0.3">
      <c r="A2" s="106" t="s">
        <v>780</v>
      </c>
      <c r="B2" s="47" t="s">
        <v>644</v>
      </c>
      <c r="C2" s="47" t="s">
        <v>826</v>
      </c>
    </row>
    <row r="3" spans="1:3" ht="26.25" customHeight="1" thickTop="1" thickBot="1" x14ac:dyDescent="0.3">
      <c r="A3" s="125" t="s">
        <v>317</v>
      </c>
      <c r="B3" s="127"/>
      <c r="C3" s="126"/>
    </row>
    <row r="4" spans="1:3" ht="26.25" customHeight="1" thickTop="1" thickBot="1" x14ac:dyDescent="0.3">
      <c r="A4" s="169" t="s">
        <v>316</v>
      </c>
      <c r="B4" s="19"/>
      <c r="C4" s="222"/>
    </row>
    <row r="5" spans="1:3" ht="31.5" customHeight="1" thickBot="1" x14ac:dyDescent="0.3">
      <c r="A5" s="169" t="s">
        <v>641</v>
      </c>
      <c r="B5" s="127"/>
      <c r="C5" s="126"/>
    </row>
    <row r="6" spans="1:3" ht="20.25" customHeight="1" thickBot="1" x14ac:dyDescent="0.3">
      <c r="A6" s="18" t="s">
        <v>423</v>
      </c>
      <c r="B6" s="127"/>
      <c r="C6" s="126"/>
    </row>
    <row r="7" spans="1:3" ht="26.25" customHeight="1" thickBot="1" x14ac:dyDescent="0.3">
      <c r="A7" s="169" t="s">
        <v>842</v>
      </c>
      <c r="B7" s="43"/>
      <c r="C7" s="35"/>
    </row>
    <row r="8" spans="1:3" ht="27.75" customHeight="1" thickBot="1" x14ac:dyDescent="0.3">
      <c r="A8" s="169" t="s">
        <v>647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632</v>
      </c>
      <c r="B1" s="258"/>
      <c r="C1" s="258"/>
    </row>
    <row r="2" spans="1:5" ht="24" thickTop="1" thickBot="1" x14ac:dyDescent="0.3">
      <c r="A2" s="106" t="s">
        <v>780</v>
      </c>
      <c r="B2" s="47" t="s">
        <v>644</v>
      </c>
      <c r="C2" s="47" t="s">
        <v>826</v>
      </c>
    </row>
    <row r="3" spans="1:5" ht="35.25" thickTop="1" thickBot="1" x14ac:dyDescent="0.3">
      <c r="A3" s="18" t="s">
        <v>553</v>
      </c>
      <c r="B3" s="201"/>
      <c r="C3" s="35"/>
    </row>
    <row r="4" spans="1:5" ht="23.25" customHeight="1" thickBot="1" x14ac:dyDescent="0.3">
      <c r="A4" s="169" t="s">
        <v>269</v>
      </c>
      <c r="B4" s="201"/>
      <c r="C4" s="35"/>
    </row>
    <row r="5" spans="1:5" ht="23.25" customHeight="1" thickBot="1" x14ac:dyDescent="0.3">
      <c r="A5" s="169" t="s">
        <v>603</v>
      </c>
      <c r="B5" s="201"/>
      <c r="C5" s="35"/>
    </row>
    <row r="6" spans="1:5" ht="45.75" thickBot="1" x14ac:dyDescent="0.3">
      <c r="A6" s="18" t="s">
        <v>418</v>
      </c>
      <c r="B6" s="201"/>
      <c r="C6" s="35"/>
    </row>
    <row r="7" spans="1:5" ht="23.25" customHeight="1" thickBot="1" x14ac:dyDescent="0.3">
      <c r="A7" s="169" t="s">
        <v>269</v>
      </c>
      <c r="B7" s="201"/>
      <c r="C7" s="35"/>
    </row>
    <row r="8" spans="1:5" ht="23.25" customHeight="1" thickBot="1" x14ac:dyDescent="0.3">
      <c r="A8" s="169" t="s">
        <v>603</v>
      </c>
      <c r="B8" s="201"/>
      <c r="C8" s="35"/>
    </row>
    <row r="9" spans="1:5" ht="23.25" customHeight="1" thickBot="1" x14ac:dyDescent="0.3">
      <c r="A9" s="18" t="s">
        <v>331</v>
      </c>
      <c r="B9" s="201"/>
      <c r="C9" s="35"/>
    </row>
    <row r="10" spans="1:5" ht="23.25" customHeight="1" thickBot="1" x14ac:dyDescent="0.3">
      <c r="A10" s="18" t="s">
        <v>364</v>
      </c>
      <c r="B10" s="201"/>
      <c r="C10" s="35"/>
    </row>
    <row r="11" spans="1:5" ht="23.25" customHeight="1" thickBot="1" x14ac:dyDescent="0.3">
      <c r="A11" s="18" t="s">
        <v>188</v>
      </c>
      <c r="B11" s="149">
        <v>0.22</v>
      </c>
      <c r="C11" s="3">
        <v>0.23</v>
      </c>
    </row>
    <row r="12" spans="1:5" ht="23.25" customHeight="1" thickBot="1" x14ac:dyDescent="0.3">
      <c r="A12" s="18" t="s">
        <v>257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863</v>
      </c>
      <c r="B13" s="136"/>
      <c r="C13" s="227"/>
      <c r="D13" s="56"/>
      <c r="E13" s="56"/>
    </row>
    <row r="14" spans="1:5" ht="23.25" customHeight="1" thickBot="1" x14ac:dyDescent="0.3">
      <c r="A14" s="169" t="s">
        <v>321</v>
      </c>
      <c r="B14" s="136"/>
      <c r="C14" s="227"/>
      <c r="D14" s="56"/>
      <c r="E14" s="56"/>
    </row>
    <row r="15" spans="1:5" ht="23.25" customHeight="1" thickBot="1" x14ac:dyDescent="0.3">
      <c r="A15" s="169" t="s">
        <v>227</v>
      </c>
      <c r="B15" s="136"/>
      <c r="C15" s="227"/>
      <c r="D15" s="56"/>
      <c r="E15" s="56"/>
    </row>
    <row r="16" spans="1:5" ht="23.25" customHeight="1" thickBot="1" x14ac:dyDescent="0.3">
      <c r="A16" s="139" t="s">
        <v>98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382</v>
      </c>
      <c r="B17" s="201"/>
      <c r="C17" s="35"/>
    </row>
    <row r="18" spans="1:3" ht="23.25" customHeight="1" thickBot="1" x14ac:dyDescent="0.3">
      <c r="A18" s="169" t="s">
        <v>408</v>
      </c>
      <c r="B18" s="201"/>
      <c r="C18" s="35"/>
    </row>
    <row r="19" spans="1:3" ht="23.25" customHeight="1" thickBot="1" x14ac:dyDescent="0.3">
      <c r="A19" s="58" t="s">
        <v>227</v>
      </c>
      <c r="B19" s="45"/>
      <c r="C19" s="128"/>
    </row>
    <row r="20" spans="1:3" ht="18.75" customHeight="1" thickBot="1" x14ac:dyDescent="0.3">
      <c r="A20" s="4" t="s">
        <v>313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277</v>
      </c>
    </row>
    <row r="2" spans="1:12" ht="17.25" thickBot="1" x14ac:dyDescent="0.35">
      <c r="A2" s="239" t="s">
        <v>801</v>
      </c>
    </row>
    <row r="3" spans="1:12" ht="15" customHeight="1" thickTop="1" thickBot="1" x14ac:dyDescent="0.3">
      <c r="A3" s="240" t="s">
        <v>455</v>
      </c>
      <c r="B3" s="245" t="s">
        <v>644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567</v>
      </c>
      <c r="C4" s="32" t="s">
        <v>606</v>
      </c>
      <c r="D4" s="32" t="s">
        <v>752</v>
      </c>
      <c r="E4" s="191" t="s">
        <v>495</v>
      </c>
      <c r="F4" s="155" t="s">
        <v>862</v>
      </c>
      <c r="G4" s="32" t="s">
        <v>671</v>
      </c>
      <c r="H4" s="32" t="s">
        <v>827</v>
      </c>
      <c r="I4" s="32" t="s">
        <v>601</v>
      </c>
    </row>
    <row r="5" spans="1:12" ht="15" customHeight="1" thickTop="1" thickBot="1" x14ac:dyDescent="0.3">
      <c r="A5" s="15" t="s">
        <v>731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278</v>
      </c>
      <c r="B6" s="135" t="e">
        <f>SUMIF(#REF!,"012*",#REF!)-SUMIF(#REF!,"012*",#REF!)</f>
        <v>#REF!</v>
      </c>
      <c r="C6" s="135" t="e">
        <f>SUMIF(#REF!,"013*",#REF!)-SUMIF(#REF!,"013*",#REF!)</f>
        <v>#REF!</v>
      </c>
      <c r="D6" s="135" t="e">
        <f>SUMIF(#REF!,"014*",#REF!)-SUMIF(#REF!,"014*",#REF!)</f>
        <v>#REF!</v>
      </c>
      <c r="E6" s="135" t="e">
        <f>SUMIF(#REF!,"015*",#REF!)-SUMIF(#REF!,"015*",#REF!)</f>
        <v>#REF!</v>
      </c>
      <c r="F6" s="135" t="e">
        <f>SUMIF(#REF!,"019*",#REF!)-SUMIF(#REF!,"019*",#REF!)</f>
        <v>#REF!</v>
      </c>
      <c r="G6" s="135" t="e">
        <f>SUMIF(#REF!,"041*",#REF!)-SUMIF(#REF!,"041*",#REF!)</f>
        <v>#REF!</v>
      </c>
      <c r="H6" s="135" t="e">
        <f>SUMIF(#REF!,"051*",#REF!)-SUMIF(#REF!,"051*",#REF!)</f>
        <v>#REF!</v>
      </c>
      <c r="I6" s="71" t="e">
        <f>SUM(B6:H6)</f>
        <v>#REF!</v>
      </c>
      <c r="J6" s="76"/>
      <c r="K6" s="38"/>
      <c r="L6" s="76"/>
    </row>
    <row r="7" spans="1:12" ht="25.5" customHeight="1" thickBot="1" x14ac:dyDescent="0.3">
      <c r="A7" s="169" t="s">
        <v>178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270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36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298</v>
      </c>
      <c r="B10" s="135" t="e">
        <f>SUMIF(#REF!,"012*",#REF!)-SUMIF(#REF!,"012*",#REF!)</f>
        <v>#REF!</v>
      </c>
      <c r="C10" s="135" t="e">
        <f>SUMIF(#REF!,"013*",#REF!)-SUMIF(#REF!,"013*",#REF!)</f>
        <v>#REF!</v>
      </c>
      <c r="D10" s="135" t="e">
        <f>SUMIF(#REF!,"014*",#REF!)-SUMIF(#REF!,"014*",#REF!)</f>
        <v>#REF!</v>
      </c>
      <c r="E10" s="135" t="e">
        <f>SUMIF(#REF!,"015*",#REF!)-SUMIF(#REF!,"015*",#REF!)</f>
        <v>#REF!</v>
      </c>
      <c r="F10" s="135" t="e">
        <f>SUMIF(#REF!,"019*",#REF!)-SUMIF(#REF!,"019*",#REF!)</f>
        <v>#REF!</v>
      </c>
      <c r="G10" s="135" t="e">
        <f>SUMIF(#REF!,"041*",#REF!)-SUMIF(#REF!,"041*",#REF!)</f>
        <v>#REF!</v>
      </c>
      <c r="H10" s="135" t="e">
        <f>SUMIF(#REF!,"051*",#REF!)-SUMIF(#REF!,"051*",#REF!)</f>
        <v>#REF!</v>
      </c>
      <c r="I10" s="147" t="e">
        <f>I6+I7-I8+I9</f>
        <v>#REF!</v>
      </c>
      <c r="J10" s="76"/>
      <c r="K10" s="38"/>
      <c r="L10" s="76"/>
    </row>
    <row r="11" spans="1:12" ht="15" customHeight="1" thickTop="1" thickBot="1" x14ac:dyDescent="0.3">
      <c r="A11" s="15" t="s">
        <v>604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778</v>
      </c>
      <c r="B12" s="135" t="e">
        <f>SUMIF(#REF!,"071*",#REF!)-SUMIF(#REF!,"071*",#REF!)</f>
        <v>#REF!</v>
      </c>
      <c r="C12" s="135" t="e">
        <f>SUMIF(#REF!,"073*",#REF!)-SUMIF(#REF!,"073*",#REF!)</f>
        <v>#REF!</v>
      </c>
      <c r="D12" s="96" t="e">
        <f>SUMIF(#REF!,"074*",#REF!)-SUMIF(#REF!,"074*",#REF!)</f>
        <v>#REF!</v>
      </c>
      <c r="E12" s="135" t="e">
        <f>SUMIF(#REF!,"075*",#REF!)-SUMIF(#REF!,"075*",#REF!)</f>
        <v>#REF!</v>
      </c>
      <c r="F12" s="135" t="e">
        <f>SUMIF(#REF!,"079*",#REF!)-SUMIF(#REF!,"079*",#REF!)</f>
        <v>#REF!</v>
      </c>
      <c r="G12" s="150"/>
      <c r="H12" s="150"/>
      <c r="I12" s="71" t="e">
        <f>SUM(B12:H12)</f>
        <v>#REF!</v>
      </c>
      <c r="J12" s="76"/>
      <c r="K12" s="38"/>
      <c r="L12" s="76"/>
    </row>
    <row r="13" spans="1:12" ht="22.5" customHeight="1" thickBot="1" x14ac:dyDescent="0.3">
      <c r="A13" s="169" t="s">
        <v>178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270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36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298</v>
      </c>
      <c r="B16" s="135" t="e">
        <f>SUMIF(#REF!,"071*",#REF!)-SUMIF(#REF!,"071*",#REF!)</f>
        <v>#REF!</v>
      </c>
      <c r="C16" s="135" t="e">
        <f>SUMIF(#REF!,"073*",#REF!)-SUMIF(#REF!,"073*",#REF!)</f>
        <v>#REF!</v>
      </c>
      <c r="D16" s="135" t="e">
        <f>SUMIF(#REF!,"074*",#REF!)-SUMIF(#REF!,"074*",#REF!)</f>
        <v>#REF!</v>
      </c>
      <c r="E16" s="135" t="e">
        <f>SUMIF(#REF!,"075*",#REF!)-SUMIF(#REF!,"075*",#REF!)</f>
        <v>#REF!</v>
      </c>
      <c r="F16" s="135" t="e">
        <f>SUMIF(#REF!,"079*",#REF!)-SUMIF(#REF!,"079*",#REF!)</f>
        <v>#REF!</v>
      </c>
      <c r="G16" s="49"/>
      <c r="H16" s="49"/>
      <c r="I16" s="147" t="e">
        <f>I12+I13-I14</f>
        <v>#REF!</v>
      </c>
      <c r="J16" s="76"/>
      <c r="K16" s="38"/>
      <c r="L16" s="76"/>
    </row>
    <row r="17" spans="1:13" ht="15" customHeight="1" thickTop="1" thickBot="1" x14ac:dyDescent="0.3">
      <c r="A17" s="15" t="s">
        <v>651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778</v>
      </c>
      <c r="B18" s="135"/>
      <c r="C18" s="135"/>
      <c r="D18" s="135"/>
      <c r="E18" s="135"/>
      <c r="F18" s="135"/>
      <c r="G18" s="135" t="e">
        <f>SUMIF(#REF!,"093*",#REF!)-SUMIF(#REF!,"093*",#REF!)</f>
        <v>#REF!</v>
      </c>
      <c r="H18" s="135">
        <f>SUMIF(SUAM!C:C,"010",SUAM!E:E)</f>
        <v>0</v>
      </c>
      <c r="I18" s="71" t="e">
        <f>SUM(B18:H18)</f>
        <v>#REF!</v>
      </c>
      <c r="J18" s="76"/>
      <c r="K18" s="38"/>
      <c r="L18" s="200"/>
      <c r="M18" s="223"/>
    </row>
    <row r="19" spans="1:13" ht="15" customHeight="1" thickBot="1" x14ac:dyDescent="0.3">
      <c r="A19" s="169" t="s">
        <v>178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270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36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298</v>
      </c>
      <c r="B22" s="135"/>
      <c r="C22" s="135"/>
      <c r="D22" s="135"/>
      <c r="E22" s="135"/>
      <c r="F22" s="135"/>
      <c r="G22" s="135" t="e">
        <f>SUMIF(#REF!,"093*",#REF!)-SUMIF(#REF!,"093*",#REF!)</f>
        <v>#REF!</v>
      </c>
      <c r="H22" s="135">
        <f>SUMIF(SUA!C:C,"010",SUA!E:E)</f>
        <v>0</v>
      </c>
      <c r="I22" s="147" t="e">
        <f>I18+I19-I20</f>
        <v>#REF!</v>
      </c>
      <c r="J22" s="76"/>
      <c r="K22" s="38"/>
      <c r="L22" s="200"/>
      <c r="M22" s="223"/>
    </row>
    <row r="23" spans="1:13" ht="15" customHeight="1" thickTop="1" thickBot="1" x14ac:dyDescent="0.3">
      <c r="A23" s="15" t="s">
        <v>835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778</v>
      </c>
      <c r="B24" s="231"/>
      <c r="C24" s="231"/>
      <c r="D24" s="231"/>
      <c r="E24" s="231"/>
      <c r="F24" s="231"/>
      <c r="G24" s="231"/>
      <c r="H24" s="231"/>
      <c r="I24" s="71" t="e">
        <f>I6-I12-I18</f>
        <v>#REF!</v>
      </c>
      <c r="J24" s="76"/>
      <c r="K24" s="76"/>
      <c r="L24" s="76"/>
    </row>
    <row r="25" spans="1:13" ht="15" customHeight="1" thickBot="1" x14ac:dyDescent="0.3">
      <c r="A25" s="125" t="s">
        <v>298</v>
      </c>
      <c r="B25" s="49"/>
      <c r="C25" s="49"/>
      <c r="D25" s="49"/>
      <c r="E25" s="49"/>
      <c r="F25" s="49"/>
      <c r="G25" s="49"/>
      <c r="H25" s="49"/>
      <c r="I25" s="147" t="e">
        <f>I10-I16-I22</f>
        <v>#REF!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690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455</v>
      </c>
      <c r="B30" s="242" t="s">
        <v>826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567</v>
      </c>
      <c r="C31" s="87" t="s">
        <v>606</v>
      </c>
      <c r="D31" s="87" t="s">
        <v>752</v>
      </c>
      <c r="E31" s="236" t="s">
        <v>495</v>
      </c>
      <c r="F31" s="216" t="s">
        <v>862</v>
      </c>
      <c r="G31" s="87" t="s">
        <v>671</v>
      </c>
      <c r="H31" s="87" t="s">
        <v>827</v>
      </c>
      <c r="I31" s="87" t="s">
        <v>601</v>
      </c>
      <c r="J31" s="76"/>
      <c r="K31" s="76"/>
      <c r="L31" s="76"/>
    </row>
    <row r="32" spans="1:13" ht="15" customHeight="1" thickTop="1" thickBot="1" x14ac:dyDescent="0.3">
      <c r="A32" s="15" t="s">
        <v>731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278</v>
      </c>
      <c r="B33" s="135" t="e">
        <f>SUMIF(#REF!,"012*",#REF!)-SUMIF(#REF!,"012*",#REF!)</f>
        <v>#REF!</v>
      </c>
      <c r="C33" s="135" t="e">
        <f>SUMIF(#REF!,"013*",#REF!)-SUMIF(#REF!,"013*",#REF!)</f>
        <v>#REF!</v>
      </c>
      <c r="D33" s="135" t="e">
        <f>SUMIF(#REF!,"014*",#REF!)-SUMIF(#REF!,"014*",#REF!)</f>
        <v>#REF!</v>
      </c>
      <c r="E33" s="135" t="e">
        <f>SUMIF(#REF!,"015*",#REF!)-SUMIF(#REF!,"015*",#REF!)</f>
        <v>#REF!</v>
      </c>
      <c r="F33" s="135" t="e">
        <f>SUMIF(#REF!,"019*",#REF!)-SUMIF(#REF!,"019*",#REF!)</f>
        <v>#REF!</v>
      </c>
      <c r="G33" s="135" t="e">
        <f>SUMIF(#REF!,"041*",#REF!)-SUMIF(#REF!,"041*",#REF!)</f>
        <v>#REF!</v>
      </c>
      <c r="H33" s="135" t="e">
        <f>SUMIF(#REF!,"051*",#REF!)-SUMIF(#REF!,"051*",#REF!)</f>
        <v>#REF!</v>
      </c>
      <c r="I33" s="71" t="e">
        <f>SUM(B33:H33)</f>
        <v>#REF!</v>
      </c>
      <c r="J33" s="76"/>
      <c r="K33" s="38"/>
      <c r="L33" s="76"/>
    </row>
    <row r="34" spans="1:13" ht="15" customHeight="1" thickBot="1" x14ac:dyDescent="0.3">
      <c r="A34" s="169" t="s">
        <v>178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270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36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298</v>
      </c>
      <c r="B37" s="135" t="e">
        <f>SUMIF(#REF!,"012*",#REF!)-SUMIF(#REF!,"012*",#REF!)</f>
        <v>#REF!</v>
      </c>
      <c r="C37" s="135" t="e">
        <f>SUMIF(#REF!,"013*",#REF!)-SUMIF(#REF!,"013*",#REF!)</f>
        <v>#REF!</v>
      </c>
      <c r="D37" s="135" t="e">
        <f>SUMIF(#REF!,"014*",#REF!)-SUMIF(#REF!,"014*",#REF!)</f>
        <v>#REF!</v>
      </c>
      <c r="E37" s="135" t="e">
        <f>SUMIF(#REF!,"015*",#REF!)-SUMIF(#REF!,"015*",#REF!)</f>
        <v>#REF!</v>
      </c>
      <c r="F37" s="135" t="e">
        <f>SUMIF(#REF!,"019*",#REF!)-SUMIF(#REF!,"019*",#REF!)</f>
        <v>#REF!</v>
      </c>
      <c r="G37" s="135" t="e">
        <f>SUMIF(#REF!,"041*",#REF!)-SUMIF(#REF!,"041*",#REF!)</f>
        <v>#REF!</v>
      </c>
      <c r="H37" s="135" t="e">
        <f>SUMIF(#REF!,"051*",#REF!)-SUMIF(#REF!,"051*",#REF!)</f>
        <v>#REF!</v>
      </c>
      <c r="I37" s="147" t="e">
        <f>I33+I34-I35+I36</f>
        <v>#REF!</v>
      </c>
      <c r="J37" s="76"/>
      <c r="K37" s="38"/>
      <c r="L37" s="76"/>
    </row>
    <row r="38" spans="1:13" ht="15" customHeight="1" thickTop="1" thickBot="1" x14ac:dyDescent="0.3">
      <c r="A38" s="15" t="s">
        <v>604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778</v>
      </c>
      <c r="B39" s="135" t="e">
        <f>SUMIF(#REF!,"071*",#REF!)-SUMIF(#REF!,"071*",#REF!)</f>
        <v>#REF!</v>
      </c>
      <c r="C39" s="135" t="e">
        <f>SUMIF(#REF!,"073*",#REF!)-SUMIF(#REF!,"073*",#REF!)</f>
        <v>#REF!</v>
      </c>
      <c r="D39" s="135" t="e">
        <f>SUMIF(#REF!,"074*",#REF!)-SUMIF(#REF!,"074*",#REF!)</f>
        <v>#REF!</v>
      </c>
      <c r="E39" s="135" t="e">
        <f>SUMIF(#REF!,"075*",#REF!)-SUMIF(#REF!,"075*",#REF!)</f>
        <v>#REF!</v>
      </c>
      <c r="F39" s="135" t="e">
        <f>SUMIF(#REF!,"079*",#REF!)-SUMIF(#REF!,"079*",#REF!)</f>
        <v>#REF!</v>
      </c>
      <c r="G39" s="135"/>
      <c r="H39" s="135"/>
      <c r="I39" s="71" t="e">
        <f>SUM(B39:H39)</f>
        <v>#REF!</v>
      </c>
      <c r="J39" s="76"/>
      <c r="K39" s="38"/>
      <c r="L39" s="76"/>
    </row>
    <row r="40" spans="1:13" ht="15" customHeight="1" thickBot="1" x14ac:dyDescent="0.3">
      <c r="A40" s="169" t="s">
        <v>178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270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36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298</v>
      </c>
      <c r="B43" s="135" t="e">
        <f>SUMIF(#REF!,"071*",#REF!)-SUMIF(#REF!,"071*",#REF!)</f>
        <v>#REF!</v>
      </c>
      <c r="C43" s="135" t="e">
        <f>SUMIF(#REF!,"073*",#REF!)-SUMIF(#REF!,"073*",#REF!)</f>
        <v>#REF!</v>
      </c>
      <c r="D43" s="135" t="e">
        <f>SUMIF(#REF!,"074*",#REF!)-SUMIF(#REF!,"074*",#REF!)</f>
        <v>#REF!</v>
      </c>
      <c r="E43" s="135" t="e">
        <f>SUMIF(#REF!,"075*",#REF!)-SUMIF(#REF!,"075*",#REF!)</f>
        <v>#REF!</v>
      </c>
      <c r="F43" s="135" t="e">
        <f>SUMIF(#REF!,"079*",#REF!)-SUMIF(#REF!,"079*",#REF!)</f>
        <v>#REF!</v>
      </c>
      <c r="G43" s="49"/>
      <c r="H43" s="49"/>
      <c r="I43" s="147" t="e">
        <f>I39+I40-I41</f>
        <v>#REF!</v>
      </c>
      <c r="J43" s="76"/>
      <c r="K43" s="38"/>
      <c r="L43" s="76"/>
    </row>
    <row r="44" spans="1:13" ht="15" customHeight="1" thickTop="1" thickBot="1" x14ac:dyDescent="0.3">
      <c r="A44" s="15" t="s">
        <v>651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778</v>
      </c>
      <c r="B45" s="135"/>
      <c r="C45" s="135"/>
      <c r="D45" s="135"/>
      <c r="E45" s="135"/>
      <c r="F45" s="135"/>
      <c r="G45" s="135" t="e">
        <f>SUMIF(#REF!,"093*",#REF!)-SUMIF(#REF!,"093*",#REF!)</f>
        <v>#REF!</v>
      </c>
      <c r="H45" s="135"/>
      <c r="I45" s="71" t="e">
        <f>SUM(B45:H45)</f>
        <v>#REF!</v>
      </c>
      <c r="J45" s="76"/>
      <c r="K45" s="38"/>
      <c r="L45" s="206"/>
      <c r="M45" s="223"/>
    </row>
    <row r="46" spans="1:13" ht="15" customHeight="1" thickBot="1" x14ac:dyDescent="0.3">
      <c r="A46" s="169" t="s">
        <v>178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270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36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298</v>
      </c>
      <c r="B49" s="135"/>
      <c r="C49" s="135"/>
      <c r="D49" s="135"/>
      <c r="E49" s="135"/>
      <c r="F49" s="135"/>
      <c r="G49" s="135" t="e">
        <f>SUMIF(#REF!,"093*",#REF!)-SUMIF(#REF!,"093*",#REF!)</f>
        <v>#REF!</v>
      </c>
      <c r="H49" s="135">
        <f>SUMIF(SUAM!C:C,"010",SUAM!E:E)</f>
        <v>0</v>
      </c>
      <c r="I49" s="147" t="e">
        <f>I45+I46-I47</f>
        <v>#REF!</v>
      </c>
      <c r="J49" s="76"/>
      <c r="K49" s="38"/>
      <c r="L49" s="200"/>
      <c r="M49" s="223"/>
    </row>
    <row r="50" spans="1:13" ht="15" customHeight="1" thickTop="1" thickBot="1" x14ac:dyDescent="0.3">
      <c r="A50" s="15" t="s">
        <v>835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778</v>
      </c>
      <c r="B51" s="231"/>
      <c r="C51" s="231"/>
      <c r="D51" s="231"/>
      <c r="E51" s="231"/>
      <c r="F51" s="231"/>
      <c r="G51" s="231"/>
      <c r="H51" s="231"/>
      <c r="I51" s="71" t="e">
        <f>I33-I39-I45</f>
        <v>#REF!</v>
      </c>
      <c r="J51" s="76"/>
      <c r="K51" s="76"/>
      <c r="L51" s="76"/>
    </row>
    <row r="52" spans="1:13" ht="15" customHeight="1" thickBot="1" x14ac:dyDescent="0.3">
      <c r="A52" s="125" t="s">
        <v>298</v>
      </c>
      <c r="B52" s="49"/>
      <c r="C52" s="49"/>
      <c r="D52" s="49"/>
      <c r="E52" s="49"/>
      <c r="F52" s="49"/>
      <c r="G52" s="49"/>
      <c r="H52" s="49"/>
      <c r="I52" s="147" t="e">
        <f>I37-I43-I49</f>
        <v>#REF!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260</v>
      </c>
    </row>
    <row r="2" spans="1:6" ht="21.75" customHeight="1" thickTop="1" thickBot="1" x14ac:dyDescent="0.3">
      <c r="A2" s="204" t="s">
        <v>780</v>
      </c>
      <c r="B2" s="47" t="s">
        <v>644</v>
      </c>
      <c r="C2" s="47" t="s">
        <v>826</v>
      </c>
    </row>
    <row r="3" spans="1:6" ht="21.75" customHeight="1" thickTop="1" thickBot="1" x14ac:dyDescent="0.3">
      <c r="A3" s="170" t="s">
        <v>505</v>
      </c>
      <c r="B3" s="232" t="e">
        <f>SUMIF(#REF!,"472*",#REF!)-SUMIF(#REF!,"472*",#REF!)</f>
        <v>#REF!</v>
      </c>
      <c r="C3" s="73" t="e">
        <f>SUMIF(#REF!,"472*",#REF!)-SUMIF(#REF!,"472*",#REF!)</f>
        <v>#REF!</v>
      </c>
      <c r="D3" s="56"/>
      <c r="E3" s="184"/>
      <c r="F3" s="56"/>
    </row>
    <row r="4" spans="1:6" ht="21.75" customHeight="1" thickBot="1" x14ac:dyDescent="0.3">
      <c r="A4" s="17" t="s">
        <v>517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788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856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378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710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665</v>
      </c>
      <c r="B9" s="50" t="e">
        <f>SUMIF(#REF!,"472*",#REF!)-SUMIF(#REF!,"472*",#REF!)</f>
        <v>#REF!</v>
      </c>
      <c r="C9" s="148" t="e">
        <f>SUMIF(#REF!,"472*",#REF!)-SUMIF(#REF!,"472*",#REF!)</f>
        <v>#REF!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700</v>
      </c>
    </row>
    <row r="2" spans="1:6" s="168" customFormat="1" ht="21.75" customHeight="1" thickTop="1" thickBot="1" x14ac:dyDescent="0.3">
      <c r="A2" s="204" t="s">
        <v>135</v>
      </c>
      <c r="B2" s="47" t="s">
        <v>438</v>
      </c>
      <c r="C2" s="47" t="s">
        <v>292</v>
      </c>
      <c r="D2" s="47" t="s">
        <v>574</v>
      </c>
      <c r="E2" s="47" t="s">
        <v>348</v>
      </c>
      <c r="F2" s="47" t="s">
        <v>48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528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801</v>
      </c>
    </row>
    <row r="3" spans="1:9" ht="66.75" customHeight="1" thickTop="1" thickBot="1" x14ac:dyDescent="0.3">
      <c r="A3" s="191" t="s">
        <v>780</v>
      </c>
      <c r="B3" s="191" t="s">
        <v>173</v>
      </c>
      <c r="C3" s="32" t="s">
        <v>136</v>
      </c>
      <c r="D3" s="191" t="s">
        <v>715</v>
      </c>
      <c r="E3" s="191" t="s">
        <v>504</v>
      </c>
      <c r="F3" s="191" t="s">
        <v>812</v>
      </c>
    </row>
    <row r="4" spans="1:9" ht="21.75" customHeight="1" thickTop="1" thickBot="1" x14ac:dyDescent="0.3">
      <c r="A4" s="16" t="s">
        <v>280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34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0</v>
      </c>
      <c r="F11" s="148">
        <f>SUMIF(SUP!C:C,"139",SUP!E:E)</f>
        <v>0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690</v>
      </c>
    </row>
    <row r="14" spans="1:9" ht="66.75" customHeight="1" thickTop="1" thickBot="1" x14ac:dyDescent="0.3">
      <c r="A14" s="191" t="s">
        <v>780</v>
      </c>
      <c r="B14" s="191" t="s">
        <v>173</v>
      </c>
      <c r="C14" s="32" t="s">
        <v>136</v>
      </c>
      <c r="D14" s="191" t="s">
        <v>715</v>
      </c>
      <c r="E14" s="191" t="s">
        <v>504</v>
      </c>
      <c r="F14" s="191" t="s">
        <v>812</v>
      </c>
    </row>
    <row r="15" spans="1:9" ht="21.75" customHeight="1" thickTop="1" thickBot="1" x14ac:dyDescent="0.3">
      <c r="A15" s="16" t="s">
        <v>824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164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57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0</v>
      </c>
      <c r="F25" s="148">
        <f>SUMIF(SUP!C:C,"140",SUP!E:E)</f>
        <v>0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713</v>
      </c>
      <c r="B1" s="269"/>
      <c r="C1" s="269"/>
      <c r="D1" s="269"/>
    </row>
    <row r="2" spans="1:4" ht="24" customHeight="1" thickBot="1" x14ac:dyDescent="0.3">
      <c r="A2" s="142" t="s">
        <v>801</v>
      </c>
      <c r="B2" s="142"/>
      <c r="C2" s="142"/>
      <c r="D2" s="142"/>
    </row>
    <row r="3" spans="1:4" ht="16.5" thickTop="1" thickBot="1" x14ac:dyDescent="0.3">
      <c r="A3" s="261" t="s">
        <v>780</v>
      </c>
      <c r="B3" s="245" t="s">
        <v>571</v>
      </c>
      <c r="C3" s="246"/>
      <c r="D3" s="240" t="s">
        <v>487</v>
      </c>
    </row>
    <row r="4" spans="1:4" ht="16.5" thickTop="1" thickBot="1" x14ac:dyDescent="0.3">
      <c r="A4" s="263"/>
      <c r="B4" s="179" t="s">
        <v>54</v>
      </c>
      <c r="C4" s="210" t="s">
        <v>58</v>
      </c>
      <c r="D4" s="254"/>
    </row>
    <row r="5" spans="1:4" ht="24" thickTop="1" thickBot="1" x14ac:dyDescent="0.3">
      <c r="A5" s="125" t="s">
        <v>233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125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713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690</v>
      </c>
      <c r="B3" s="142"/>
      <c r="C3" s="142"/>
      <c r="D3" s="142"/>
      <c r="E3" s="142"/>
    </row>
    <row r="4" spans="1:5" ht="24" customHeight="1" thickTop="1" thickBot="1" x14ac:dyDescent="0.3">
      <c r="A4" s="261" t="s">
        <v>780</v>
      </c>
      <c r="B4" s="245" t="s">
        <v>644</v>
      </c>
      <c r="C4" s="247"/>
      <c r="D4" s="245" t="s">
        <v>826</v>
      </c>
      <c r="E4" s="247"/>
    </row>
    <row r="5" spans="1:5" ht="16.5" thickTop="1" thickBot="1" x14ac:dyDescent="0.3">
      <c r="A5" s="262"/>
      <c r="B5" s="245" t="s">
        <v>133</v>
      </c>
      <c r="C5" s="247"/>
      <c r="D5" s="245" t="s">
        <v>133</v>
      </c>
      <c r="E5" s="247"/>
    </row>
    <row r="6" spans="1:5" ht="24" thickTop="1" thickBot="1" x14ac:dyDescent="0.3">
      <c r="A6" s="263"/>
      <c r="B6" s="179" t="s">
        <v>774</v>
      </c>
      <c r="C6" s="179" t="s">
        <v>306</v>
      </c>
      <c r="D6" s="179" t="s">
        <v>774</v>
      </c>
      <c r="E6" s="179" t="s">
        <v>306</v>
      </c>
    </row>
    <row r="7" spans="1:5" ht="24" thickTop="1" thickBot="1" x14ac:dyDescent="0.3">
      <c r="A7" s="125" t="s">
        <v>233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125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206</v>
      </c>
    </row>
    <row r="2" spans="1:3" ht="16.5" thickTop="1" thickBot="1" x14ac:dyDescent="0.3">
      <c r="A2" s="261" t="s">
        <v>359</v>
      </c>
      <c r="B2" s="245" t="s">
        <v>212</v>
      </c>
      <c r="C2" s="247"/>
    </row>
    <row r="3" spans="1:3" ht="24" thickTop="1" thickBot="1" x14ac:dyDescent="0.3">
      <c r="A3" s="263"/>
      <c r="B3" s="47" t="s">
        <v>644</v>
      </c>
      <c r="C3" s="47" t="s">
        <v>826</v>
      </c>
    </row>
    <row r="4" spans="1:3" ht="20.25" customHeight="1" thickTop="1" thickBot="1" x14ac:dyDescent="0.3">
      <c r="A4" s="169" t="s">
        <v>215</v>
      </c>
      <c r="B4" s="201"/>
      <c r="C4" s="35"/>
    </row>
    <row r="5" spans="1:3" ht="20.25" customHeight="1" thickBot="1" x14ac:dyDescent="0.3">
      <c r="A5" s="169" t="s">
        <v>127</v>
      </c>
      <c r="B5" s="201"/>
      <c r="C5" s="35"/>
    </row>
    <row r="6" spans="1:3" ht="26.25" customHeight="1" thickBot="1" x14ac:dyDescent="0.3">
      <c r="A6" s="169" t="s">
        <v>749</v>
      </c>
      <c r="B6" s="201"/>
      <c r="C6" s="35"/>
    </row>
    <row r="7" spans="1:3" ht="24.75" customHeight="1" thickBot="1" x14ac:dyDescent="0.3">
      <c r="A7" s="169" t="s">
        <v>702</v>
      </c>
      <c r="B7" s="201"/>
      <c r="C7" s="35"/>
    </row>
    <row r="8" spans="1:3" ht="20.25" customHeight="1" thickBot="1" x14ac:dyDescent="0.3">
      <c r="A8" s="125" t="s">
        <v>601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463</v>
      </c>
    </row>
    <row r="2" spans="1:7" ht="30.75" customHeight="1" thickTop="1" thickBot="1" x14ac:dyDescent="0.3">
      <c r="A2" s="261" t="s">
        <v>368</v>
      </c>
      <c r="B2" s="264" t="s">
        <v>644</v>
      </c>
      <c r="C2" s="265"/>
      <c r="D2" s="266"/>
      <c r="E2" s="245" t="s">
        <v>826</v>
      </c>
      <c r="F2" s="246"/>
      <c r="G2" s="247"/>
    </row>
    <row r="3" spans="1:7" ht="16.5" thickTop="1" thickBot="1" x14ac:dyDescent="0.3">
      <c r="A3" s="262"/>
      <c r="B3" s="264" t="s">
        <v>48</v>
      </c>
      <c r="C3" s="265"/>
      <c r="D3" s="266"/>
      <c r="E3" s="264" t="s">
        <v>48</v>
      </c>
      <c r="F3" s="265"/>
      <c r="G3" s="266"/>
    </row>
    <row r="4" spans="1:7" ht="46.5" thickTop="1" thickBot="1" x14ac:dyDescent="0.3">
      <c r="A4" s="263"/>
      <c r="B4" s="179" t="s">
        <v>332</v>
      </c>
      <c r="C4" s="179" t="s">
        <v>78</v>
      </c>
      <c r="D4" s="179" t="s">
        <v>650</v>
      </c>
      <c r="E4" s="179" t="s">
        <v>332</v>
      </c>
      <c r="F4" s="179" t="s">
        <v>78</v>
      </c>
      <c r="G4" s="179" t="s">
        <v>650</v>
      </c>
    </row>
    <row r="5" spans="1:7" ht="16.5" thickTop="1" thickBot="1" x14ac:dyDescent="0.3">
      <c r="A5" s="27" t="s">
        <v>757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843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601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335</v>
      </c>
    </row>
    <row r="2" spans="1:10" ht="33" customHeight="1" thickTop="1" thickBot="1" x14ac:dyDescent="0.3">
      <c r="A2" s="261" t="s">
        <v>780</v>
      </c>
      <c r="B2" s="47" t="s">
        <v>644</v>
      </c>
      <c r="C2" s="245" t="s">
        <v>826</v>
      </c>
      <c r="D2" s="247"/>
      <c r="E2" s="245" t="s">
        <v>502</v>
      </c>
      <c r="F2" s="247"/>
    </row>
    <row r="3" spans="1:10" ht="45" customHeight="1" thickTop="1" thickBot="1" x14ac:dyDescent="0.3">
      <c r="A3" s="263"/>
      <c r="B3" s="179" t="s">
        <v>848</v>
      </c>
      <c r="C3" s="179" t="s">
        <v>848</v>
      </c>
      <c r="D3" s="179" t="s">
        <v>72</v>
      </c>
      <c r="E3" s="179" t="s">
        <v>644</v>
      </c>
      <c r="F3" s="179" t="s">
        <v>852</v>
      </c>
    </row>
    <row r="4" spans="1:10" ht="35.25" thickTop="1" thickBot="1" x14ac:dyDescent="0.3">
      <c r="A4" s="58" t="s">
        <v>441</v>
      </c>
      <c r="B4" s="228" t="e">
        <f>SUMIF(#REF!,"121*",#REF!)-SUMIF(#REF!,"121*",#REF!)+SUMIF(#REF!,"122*",#REF!)-SUMIF(#REF!,"122*",#REF!)</f>
        <v>#REF!</v>
      </c>
      <c r="C4" s="228" t="e">
        <f>SUMIF(#REF!,"121*",#REF!)-SUMIF(#REF!,"121*",#REF!)+SUMIF(#REF!,"122*",#REF!)-SUMIF(#REF!,"122*",#REF!)</f>
        <v>#REF!</v>
      </c>
      <c r="D4" s="228" t="e">
        <f>SUMIF(#REF!,"121*",#REF!)-SUMIF(#REF!,"121*",#REF!)+SUMIF(#REF!,"122*",#REF!)-SUMIF(#REF!,"122*",#REF!)</f>
        <v>#REF!</v>
      </c>
      <c r="E4" s="228" t="e">
        <f>SUMIF(#REF!,"611*",#REF!)-SUMIF(#REF!,"611*",#REF!)+SUMIF(#REF!,"612*",#REF!)-SUMIF(#REF!,"611*",#REF!)</f>
        <v>#REF!</v>
      </c>
      <c r="F4" s="228" t="e">
        <f>SUMIF(#REF!,"611*",#REF!)-SUMIF(#REF!,"611*",#REF!)+SUMIF(#REF!,"612*",#REF!)-SUMIF(#REF!,"612*",#REF!)</f>
        <v>#REF!</v>
      </c>
      <c r="G4" s="56"/>
      <c r="H4" s="24"/>
      <c r="I4" s="56"/>
      <c r="J4" s="56"/>
    </row>
    <row r="5" spans="1:10" ht="15.75" thickBot="1" x14ac:dyDescent="0.3">
      <c r="A5" s="233" t="s">
        <v>823</v>
      </c>
      <c r="B5" s="228" t="e">
        <f>SUMIF(#REF!,"123*",#REF!)-SUMIF(#REF!,"123*",#REF!)</f>
        <v>#REF!</v>
      </c>
      <c r="C5" s="228" t="e">
        <f>SUMIF(#REF!,"123*",#REF!)-SUMIF(#REF!,"123*",#REF!)</f>
        <v>#REF!</v>
      </c>
      <c r="D5" s="228" t="e">
        <f>SUMIF(#REF!,"123*",#REF!)</f>
        <v>#REF!</v>
      </c>
      <c r="E5" s="228" t="e">
        <f>SUMIF(#REF!,"613*",#REF!)-SUMIF(#REF!,"613*",#REF!)</f>
        <v>#REF!</v>
      </c>
      <c r="F5" s="228" t="e">
        <f>SUMIF(#REF!,"613*",#REF!)-SUMIF(#REF!,"613*",#REF!)</f>
        <v>#REF!</v>
      </c>
      <c r="G5" s="56"/>
      <c r="H5" s="24"/>
      <c r="I5" s="56"/>
      <c r="J5" s="56"/>
    </row>
    <row r="6" spans="1:10" ht="15.75" thickBot="1" x14ac:dyDescent="0.3">
      <c r="A6" s="169" t="s">
        <v>311</v>
      </c>
      <c r="B6" s="228" t="e">
        <f>SUMIF(#REF!,"124*",#REF!)-SUMIF(#REF!,"124*",#REF!)</f>
        <v>#REF!</v>
      </c>
      <c r="C6" s="228" t="e">
        <f>SUMIF(#REF!,"124*",#REF!)-SUMIF(#REF!,"124*",#REF!)</f>
        <v>#REF!</v>
      </c>
      <c r="D6" s="228" t="e">
        <f>SUMIF(#REF!,"124*",#REF!)-SUMIF(#REF!,"124*",#REF!)</f>
        <v>#REF!</v>
      </c>
      <c r="E6" s="228" t="e">
        <f>SUMIF(#REF!,"614*",#REF!)-SUMIF(#REF!,"614*",#REF!)</f>
        <v>#REF!</v>
      </c>
      <c r="F6" s="228" t="e">
        <f>SUMIF(#REF!,"614*",#REF!)-SUMIF(#REF!,"614*",#REF!)</f>
        <v>#REF!</v>
      </c>
      <c r="G6" s="56"/>
      <c r="H6" s="24"/>
      <c r="I6" s="56"/>
      <c r="J6" s="56"/>
    </row>
    <row r="7" spans="1:10" ht="19.5" customHeight="1" thickBot="1" x14ac:dyDescent="0.3">
      <c r="A7" s="169" t="s">
        <v>601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85</v>
      </c>
      <c r="B8" s="146" t="s">
        <v>622</v>
      </c>
      <c r="C8" s="146" t="s">
        <v>622</v>
      </c>
      <c r="D8" s="65" t="s">
        <v>622</v>
      </c>
      <c r="E8" s="228" t="e">
        <f>SUMIF(#REF!,"549*",#REF!)-SUMIF(#REF!,"549*",#REF!)</f>
        <v>#REF!</v>
      </c>
      <c r="F8" s="228" t="e">
        <f>SUMIF(#REF!,"549*",#REF!)-SUMIF(#REF!,"549*",#REF!)</f>
        <v>#REF!</v>
      </c>
      <c r="G8" s="56"/>
      <c r="H8" s="24"/>
      <c r="I8" s="56"/>
      <c r="J8" s="56"/>
    </row>
    <row r="9" spans="1:10" ht="15.75" thickBot="1" x14ac:dyDescent="0.3">
      <c r="A9" s="169" t="s">
        <v>138</v>
      </c>
      <c r="B9" s="146" t="s">
        <v>622</v>
      </c>
      <c r="C9" s="146" t="s">
        <v>622</v>
      </c>
      <c r="D9" s="65" t="s">
        <v>622</v>
      </c>
      <c r="E9" s="228" t="e">
        <f>SUMIF(#REF!,"513*",#REF!)-SUMIF(#REF!,"513*",#REF!)</f>
        <v>#REF!</v>
      </c>
      <c r="F9" s="228" t="e">
        <f>SUMIF(#REF!,"513*",#REF!)-SUMIF(#REF!,"513*",#REF!)</f>
        <v>#REF!</v>
      </c>
      <c r="G9" s="56"/>
      <c r="H9" s="24"/>
      <c r="I9" s="56"/>
      <c r="J9" s="56"/>
    </row>
    <row r="10" spans="1:10" ht="15.75" thickBot="1" x14ac:dyDescent="0.3">
      <c r="A10" s="169" t="s">
        <v>593</v>
      </c>
      <c r="B10" s="146" t="s">
        <v>622</v>
      </c>
      <c r="C10" s="146" t="s">
        <v>622</v>
      </c>
      <c r="D10" s="65" t="s">
        <v>622</v>
      </c>
      <c r="E10" s="228" t="e">
        <f>SUMIF(#REF!,"543*",#REF!)-SUMIF(#REF!,"543*",#REF!)</f>
        <v>#REF!</v>
      </c>
      <c r="F10" s="228" t="e">
        <f>SUMIF(#REF!,"543*",#REF!)-SUMIF(#REF!,"543*",#REF!)</f>
        <v>#REF!</v>
      </c>
      <c r="G10" s="56"/>
      <c r="H10" s="24"/>
      <c r="I10" s="56"/>
      <c r="J10" s="56"/>
    </row>
    <row r="11" spans="1:10" ht="19.5" customHeight="1" thickBot="1" x14ac:dyDescent="0.3">
      <c r="A11" s="37" t="s">
        <v>313</v>
      </c>
      <c r="B11" s="93" t="s">
        <v>622</v>
      </c>
      <c r="C11" s="93" t="s">
        <v>622</v>
      </c>
      <c r="D11" s="230" t="s">
        <v>622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602</v>
      </c>
      <c r="B12" s="93" t="s">
        <v>622</v>
      </c>
      <c r="C12" s="93" t="s">
        <v>622</v>
      </c>
      <c r="D12" s="230" t="s">
        <v>622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355</v>
      </c>
    </row>
    <row r="2" spans="1:7" ht="26.25" customHeight="1" thickTop="1" thickBot="1" x14ac:dyDescent="0.3">
      <c r="A2" s="204" t="s">
        <v>780</v>
      </c>
      <c r="B2" s="47" t="s">
        <v>644</v>
      </c>
      <c r="C2" s="47" t="s">
        <v>826</v>
      </c>
    </row>
    <row r="3" spans="1:7" ht="18.75" customHeight="1" thickTop="1" thickBot="1" x14ac:dyDescent="0.3">
      <c r="A3" s="17" t="s">
        <v>325</v>
      </c>
      <c r="B3" s="73" t="e">
        <f>SUMIF(#REF!,"601*",#REF!)-SUMIF(#REF!,"601*",#REF!)</f>
        <v>#REF!</v>
      </c>
      <c r="C3" s="73" t="e">
        <f>SUMIF(#REF!,"601*",#REF!)-SUMIF(#REF!,"601*",#REF!)</f>
        <v>#REF!</v>
      </c>
      <c r="D3" s="56"/>
      <c r="E3" s="184"/>
      <c r="G3" s="42"/>
    </row>
    <row r="4" spans="1:7" ht="18.75" customHeight="1" thickBot="1" x14ac:dyDescent="0.3">
      <c r="A4" s="17" t="s">
        <v>93</v>
      </c>
      <c r="B4" s="73" t="e">
        <f>SUMIF(#REF!,"602*",#REF!)-SUMIF(#REF!,"602*",#REF!)</f>
        <v>#REF!</v>
      </c>
      <c r="C4" s="73" t="e">
        <f>SUMIF(#REF!,"602*",#REF!)-SUMIF(#REF!,"602*",#REF!)</f>
        <v>#REF!</v>
      </c>
      <c r="D4" s="56"/>
      <c r="E4" s="184"/>
      <c r="G4" s="42"/>
    </row>
    <row r="5" spans="1:7" ht="18.75" customHeight="1" thickBot="1" x14ac:dyDescent="0.3">
      <c r="A5" s="17" t="s">
        <v>688</v>
      </c>
      <c r="B5" s="73" t="e">
        <f>SUMIF(#REF!,"604*",#REF!)-SUMIF(#REF!,"604*",#REF!)</f>
        <v>#REF!</v>
      </c>
      <c r="C5" s="73" t="e">
        <f>SUMIF(#REF!,"604*",#REF!)-SUMIF(#REF!,"604*",#REF!)</f>
        <v>#REF!</v>
      </c>
      <c r="D5" s="56"/>
      <c r="E5" s="184"/>
      <c r="G5" s="42"/>
    </row>
    <row r="6" spans="1:7" ht="18.75" customHeight="1" thickBot="1" x14ac:dyDescent="0.3">
      <c r="A6" s="17" t="s">
        <v>293</v>
      </c>
      <c r="B6" s="73" t="e">
        <f>SUMIF(#REF!,"606*",#REF!)-SUMIF(#REF!,"606*",#REF!)</f>
        <v>#REF!</v>
      </c>
      <c r="C6" s="73" t="e">
        <f>SUMIF(#REF!,"606*",#REF!)-SUMIF(#REF!,"606*",#REF!)</f>
        <v>#REF!</v>
      </c>
      <c r="D6" s="56"/>
      <c r="E6" s="184"/>
      <c r="G6" s="42"/>
    </row>
    <row r="7" spans="1:7" ht="18.75" customHeight="1" thickBot="1" x14ac:dyDescent="0.3">
      <c r="A7" s="17" t="s">
        <v>518</v>
      </c>
      <c r="B7" s="73"/>
      <c r="C7" s="73"/>
      <c r="D7" s="56"/>
      <c r="E7" s="184"/>
      <c r="G7" s="115"/>
    </row>
    <row r="8" spans="1:7" ht="23.25" thickBot="1" x14ac:dyDescent="0.3">
      <c r="A8" s="169" t="s">
        <v>440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434</v>
      </c>
      <c r="B9" s="117" t="e">
        <f>SUM(B3:B8)</f>
        <v>#REF!</v>
      </c>
      <c r="C9" s="117" t="e">
        <f>SUM(C3:C8)</f>
        <v>#REF!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448</v>
      </c>
      <c r="D1" s="56"/>
      <c r="E1" s="56"/>
    </row>
    <row r="2" spans="1:5" ht="24" thickTop="1" thickBot="1" x14ac:dyDescent="0.3">
      <c r="A2" s="204" t="s">
        <v>780</v>
      </c>
      <c r="B2" s="47" t="s">
        <v>644</v>
      </c>
      <c r="C2" s="47" t="s">
        <v>826</v>
      </c>
      <c r="D2" s="56"/>
      <c r="E2" s="56"/>
    </row>
    <row r="3" spans="1:5" ht="30.75" customHeight="1" thickTop="1" thickBot="1" x14ac:dyDescent="0.3">
      <c r="A3" s="18" t="s">
        <v>219</v>
      </c>
      <c r="B3" s="73"/>
      <c r="C3" s="73"/>
    </row>
    <row r="4" spans="1:5" ht="23.25" thickBot="1" x14ac:dyDescent="0.3">
      <c r="A4" s="169" t="s">
        <v>111</v>
      </c>
      <c r="B4" s="227"/>
      <c r="C4" s="227"/>
    </row>
    <row r="5" spans="1:5" ht="15.75" thickBot="1" x14ac:dyDescent="0.3">
      <c r="A5" s="169" t="s">
        <v>744</v>
      </c>
      <c r="B5" s="227"/>
      <c r="C5" s="227"/>
    </row>
    <row r="6" spans="1:5" ht="15.75" thickBot="1" x14ac:dyDescent="0.3">
      <c r="A6" s="169" t="s">
        <v>406</v>
      </c>
      <c r="B6" s="227"/>
      <c r="C6" s="227"/>
    </row>
    <row r="7" spans="1:5" ht="15.75" thickBot="1" x14ac:dyDescent="0.3">
      <c r="A7" s="169" t="s">
        <v>746</v>
      </c>
      <c r="B7" s="227"/>
      <c r="C7" s="227"/>
    </row>
    <row r="8" spans="1:5" ht="15.75" thickBot="1" x14ac:dyDescent="0.3">
      <c r="A8" s="37" t="s">
        <v>576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229</v>
      </c>
    </row>
    <row r="2" spans="1:2" ht="21" customHeight="1" thickTop="1" thickBot="1" x14ac:dyDescent="0.3">
      <c r="A2" s="191" t="s">
        <v>455</v>
      </c>
      <c r="B2" s="32" t="s">
        <v>108</v>
      </c>
    </row>
    <row r="3" spans="1:2" ht="32.25" customHeight="1" thickTop="1" thickBot="1" x14ac:dyDescent="0.3">
      <c r="A3" s="190" t="s">
        <v>513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239</v>
      </c>
    </row>
    <row r="2" spans="1:3" ht="35.25" thickTop="1" thickBot="1" x14ac:dyDescent="0.3">
      <c r="A2" s="204" t="s">
        <v>780</v>
      </c>
      <c r="B2" s="47" t="s">
        <v>644</v>
      </c>
      <c r="C2" s="47" t="s">
        <v>826</v>
      </c>
    </row>
    <row r="3" spans="1:3" ht="35.25" thickTop="1" thickBot="1" x14ac:dyDescent="0.3">
      <c r="A3" s="58" t="s">
        <v>845</v>
      </c>
      <c r="B3" s="124"/>
      <c r="C3" s="124"/>
    </row>
    <row r="4" spans="1:3" ht="34.5" thickBot="1" x14ac:dyDescent="0.3">
      <c r="A4" s="111" t="s">
        <v>246</v>
      </c>
      <c r="B4" s="124"/>
      <c r="C4" s="124"/>
    </row>
    <row r="5" spans="1:3" ht="79.5" thickBot="1" x14ac:dyDescent="0.3">
      <c r="A5" s="233" t="s">
        <v>782</v>
      </c>
      <c r="B5" s="124"/>
      <c r="C5" s="124"/>
    </row>
    <row r="6" spans="1:3" ht="57" thickBot="1" x14ac:dyDescent="0.3">
      <c r="A6" s="169" t="s">
        <v>535</v>
      </c>
      <c r="B6" s="124"/>
      <c r="C6" s="124"/>
    </row>
    <row r="7" spans="1:3" ht="57" thickBot="1" x14ac:dyDescent="0.3">
      <c r="A7" s="58" t="s">
        <v>566</v>
      </c>
      <c r="B7" s="124"/>
      <c r="C7" s="124"/>
    </row>
    <row r="8" spans="1:3" ht="34.5" thickBot="1" x14ac:dyDescent="0.3">
      <c r="A8" s="84" t="s">
        <v>874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53</v>
      </c>
    </row>
    <row r="2" spans="1:10" ht="35.25" customHeight="1" thickTop="1" thickBot="1" x14ac:dyDescent="0.3">
      <c r="A2" s="240" t="s">
        <v>780</v>
      </c>
      <c r="B2" s="245" t="s">
        <v>644</v>
      </c>
      <c r="C2" s="246"/>
      <c r="D2" s="247"/>
      <c r="E2" s="245" t="s">
        <v>826</v>
      </c>
      <c r="F2" s="246"/>
      <c r="G2" s="247"/>
    </row>
    <row r="3" spans="1:10" s="78" customFormat="1" ht="16.5" thickTop="1" thickBot="1" x14ac:dyDescent="0.3">
      <c r="A3" s="254"/>
      <c r="B3" s="179" t="s">
        <v>565</v>
      </c>
      <c r="C3" s="179" t="s">
        <v>698</v>
      </c>
      <c r="D3" s="179" t="s">
        <v>175</v>
      </c>
      <c r="E3" s="179" t="s">
        <v>565</v>
      </c>
      <c r="F3" s="179" t="s">
        <v>698</v>
      </c>
      <c r="G3" s="179" t="s">
        <v>175</v>
      </c>
    </row>
    <row r="4" spans="1:10" ht="24" thickTop="1" thickBot="1" x14ac:dyDescent="0.3">
      <c r="A4" s="169" t="s">
        <v>759</v>
      </c>
      <c r="B4" s="232">
        <f>SUMIF(VZaS!C:C,"056",VZaS!D:D)</f>
        <v>-14453.27</v>
      </c>
      <c r="C4" s="21" t="s">
        <v>622</v>
      </c>
      <c r="D4" s="107" t="s">
        <v>622</v>
      </c>
      <c r="E4" s="232">
        <f>SUMIF(VZaS!C:C,"056",VZaS!E:E)</f>
        <v>69021.289999999994</v>
      </c>
      <c r="F4" s="21" t="s">
        <v>622</v>
      </c>
      <c r="G4" s="107" t="s">
        <v>622</v>
      </c>
      <c r="H4" s="76"/>
      <c r="I4" s="76"/>
      <c r="J4" s="61"/>
    </row>
    <row r="5" spans="1:10" ht="20.25" customHeight="1" thickBot="1" x14ac:dyDescent="0.3">
      <c r="A5" s="169" t="s">
        <v>345</v>
      </c>
      <c r="B5" s="21" t="s">
        <v>622</v>
      </c>
      <c r="C5" s="136"/>
      <c r="D5" s="113"/>
      <c r="E5" s="21" t="s">
        <v>622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677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153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360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313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601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784</v>
      </c>
      <c r="B11" s="21" t="s">
        <v>622</v>
      </c>
      <c r="C11" s="232">
        <f>SUMIF(VZaS!C:C,"058",VZaS!D:D)</f>
        <v>0</v>
      </c>
      <c r="D11" s="113"/>
      <c r="E11" s="21" t="s">
        <v>622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">
      <c r="A12" s="169" t="s">
        <v>613</v>
      </c>
      <c r="B12" s="21" t="s">
        <v>622</v>
      </c>
      <c r="C12" s="232">
        <f>SUMIF(VZaS!C:C,"059",VZaS!D:D)</f>
        <v>0</v>
      </c>
      <c r="D12" s="113"/>
      <c r="E12" s="21" t="s">
        <v>622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577</v>
      </c>
      <c r="B13" s="134" t="s">
        <v>622</v>
      </c>
      <c r="C13" s="13"/>
      <c r="D13" s="188"/>
      <c r="E13" s="134" t="s">
        <v>622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198</v>
      </c>
      <c r="B1" t="s">
        <v>426</v>
      </c>
    </row>
    <row r="2" spans="1:2" x14ac:dyDescent="0.25">
      <c r="A2" t="s">
        <v>754</v>
      </c>
      <c r="B2" t="s">
        <v>8</v>
      </c>
    </row>
    <row r="3" spans="1:2" x14ac:dyDescent="0.25">
      <c r="A3" t="s">
        <v>624</v>
      </c>
      <c r="B3" t="s">
        <v>64</v>
      </c>
    </row>
    <row r="4" spans="1:2" x14ac:dyDescent="0.25">
      <c r="A4" t="s">
        <v>274</v>
      </c>
      <c r="B4" t="s">
        <v>64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tabSelected="1" topLeftCell="A47"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885</v>
      </c>
      <c r="B1" s="11" t="s">
        <v>112</v>
      </c>
      <c r="C1" s="51" t="s">
        <v>44</v>
      </c>
      <c r="D1" s="152" t="s">
        <v>627</v>
      </c>
      <c r="E1" s="152" t="s">
        <v>193</v>
      </c>
      <c r="F1" s="152" t="s">
        <v>791</v>
      </c>
      <c r="G1" s="152" t="s">
        <v>369</v>
      </c>
    </row>
    <row r="2" spans="1:7" x14ac:dyDescent="0.25">
      <c r="A2" s="100" t="s">
        <v>786</v>
      </c>
      <c r="B2" s="100" t="s">
        <v>308</v>
      </c>
      <c r="C2" s="214" t="s">
        <v>460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411</v>
      </c>
      <c r="B3" s="100" t="s">
        <v>109</v>
      </c>
      <c r="C3" s="214" t="s">
        <v>66</v>
      </c>
      <c r="D3" s="140">
        <v>349882.34</v>
      </c>
      <c r="E3" s="140">
        <v>364455.88</v>
      </c>
      <c r="F3" s="140">
        <v>349882.34</v>
      </c>
      <c r="G3" s="140">
        <v>364456</v>
      </c>
    </row>
    <row r="4" spans="1:7" x14ac:dyDescent="0.25">
      <c r="A4" s="100" t="s">
        <v>459</v>
      </c>
      <c r="B4" s="100" t="s">
        <v>810</v>
      </c>
      <c r="C4" s="214" t="s">
        <v>707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24</v>
      </c>
      <c r="B5" s="100" t="s">
        <v>679</v>
      </c>
      <c r="C5" s="214" t="s">
        <v>388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231</v>
      </c>
      <c r="B6" s="100" t="s">
        <v>815</v>
      </c>
      <c r="C6" s="214" t="s">
        <v>803</v>
      </c>
      <c r="D6" s="140">
        <v>341719.03</v>
      </c>
      <c r="E6" s="140">
        <v>357855.88</v>
      </c>
      <c r="F6" s="140">
        <v>341719.03</v>
      </c>
      <c r="G6" s="140">
        <v>357856</v>
      </c>
    </row>
    <row r="7" spans="1:7" x14ac:dyDescent="0.25">
      <c r="A7" s="100" t="s">
        <v>417</v>
      </c>
      <c r="B7" s="100" t="s">
        <v>99</v>
      </c>
      <c r="C7" s="214" t="s">
        <v>861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596</v>
      </c>
      <c r="B8" s="100" t="s">
        <v>769</v>
      </c>
      <c r="C8" s="214" t="s">
        <v>575</v>
      </c>
      <c r="D8" s="131">
        <v>0</v>
      </c>
      <c r="E8" s="140">
        <v>0</v>
      </c>
      <c r="F8" s="131">
        <v>0</v>
      </c>
      <c r="G8" s="140">
        <v>0</v>
      </c>
    </row>
    <row r="9" spans="1:7" x14ac:dyDescent="0.25">
      <c r="A9" s="100" t="s">
        <v>237</v>
      </c>
      <c r="B9" s="100" t="s">
        <v>254</v>
      </c>
      <c r="C9" s="214" t="s">
        <v>765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14</v>
      </c>
      <c r="B10" s="100" t="s">
        <v>60</v>
      </c>
      <c r="C10" s="214" t="s">
        <v>480</v>
      </c>
      <c r="D10" s="140">
        <v>8163.31</v>
      </c>
      <c r="E10" s="140">
        <v>6600</v>
      </c>
      <c r="F10" s="140">
        <v>8163.31</v>
      </c>
      <c r="G10" s="140">
        <v>6600</v>
      </c>
    </row>
    <row r="11" spans="1:7" x14ac:dyDescent="0.25">
      <c r="A11" s="100" t="s">
        <v>411</v>
      </c>
      <c r="B11" s="100" t="s">
        <v>865</v>
      </c>
      <c r="C11" s="214" t="s">
        <v>303</v>
      </c>
      <c r="D11" s="140">
        <v>361846.99</v>
      </c>
      <c r="E11" s="140">
        <v>362633.94</v>
      </c>
      <c r="F11" s="140">
        <v>361846.99</v>
      </c>
      <c r="G11" s="140">
        <v>362634</v>
      </c>
    </row>
    <row r="12" spans="1:7" x14ac:dyDescent="0.25">
      <c r="A12" s="100" t="s">
        <v>81</v>
      </c>
      <c r="B12" s="100" t="s">
        <v>499</v>
      </c>
      <c r="C12" s="214" t="s">
        <v>145</v>
      </c>
      <c r="D12" s="131">
        <v>0</v>
      </c>
      <c r="E12" s="140">
        <v>0</v>
      </c>
      <c r="F12" s="131">
        <v>0</v>
      </c>
      <c r="G12" s="140">
        <v>0</v>
      </c>
    </row>
    <row r="13" spans="1:7" x14ac:dyDescent="0.25">
      <c r="A13" s="100" t="s">
        <v>289</v>
      </c>
      <c r="B13" s="100" t="s">
        <v>252</v>
      </c>
      <c r="C13" s="214" t="s">
        <v>41</v>
      </c>
      <c r="D13" s="140">
        <v>19383.2</v>
      </c>
      <c r="E13" s="140">
        <v>19537.169999999998</v>
      </c>
      <c r="F13" s="140">
        <v>19383.2</v>
      </c>
      <c r="G13" s="140">
        <v>19537</v>
      </c>
    </row>
    <row r="14" spans="1:7" x14ac:dyDescent="0.25">
      <c r="A14" s="100" t="s">
        <v>855</v>
      </c>
      <c r="B14" s="100" t="s">
        <v>681</v>
      </c>
      <c r="C14" s="214" t="s">
        <v>51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9</v>
      </c>
      <c r="B15" s="100" t="s">
        <v>446</v>
      </c>
      <c r="C15" s="214" t="s">
        <v>256</v>
      </c>
      <c r="D15" s="140">
        <v>190912.15</v>
      </c>
      <c r="E15" s="140">
        <v>139566.9</v>
      </c>
      <c r="F15" s="140">
        <v>190912.15</v>
      </c>
      <c r="G15" s="140">
        <v>139567</v>
      </c>
    </row>
    <row r="16" spans="1:7" x14ac:dyDescent="0.25">
      <c r="A16" s="100" t="s">
        <v>776</v>
      </c>
      <c r="B16" s="100" t="s">
        <v>6</v>
      </c>
      <c r="C16" s="214" t="s">
        <v>7</v>
      </c>
      <c r="D16" s="140">
        <v>137337.34</v>
      </c>
      <c r="E16" s="140">
        <v>137580.74</v>
      </c>
      <c r="F16" s="140">
        <v>137337.34</v>
      </c>
      <c r="G16" s="140">
        <v>137581</v>
      </c>
    </row>
    <row r="17" spans="1:7" x14ac:dyDescent="0.25">
      <c r="A17" s="100" t="s">
        <v>809</v>
      </c>
      <c r="B17" s="100" t="s">
        <v>207</v>
      </c>
      <c r="C17" s="214" t="s">
        <v>387</v>
      </c>
      <c r="D17" s="140">
        <v>100045.2</v>
      </c>
      <c r="E17" s="140">
        <v>101722.7</v>
      </c>
      <c r="F17" s="140">
        <v>100045.2</v>
      </c>
      <c r="G17" s="140">
        <v>101723</v>
      </c>
    </row>
    <row r="18" spans="1:7" x14ac:dyDescent="0.25">
      <c r="A18" s="100" t="s">
        <v>356</v>
      </c>
      <c r="B18" s="100" t="s">
        <v>13</v>
      </c>
      <c r="C18" s="214" t="s">
        <v>486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673</v>
      </c>
      <c r="B19" s="100" t="s">
        <v>590</v>
      </c>
      <c r="C19" s="214" t="s">
        <v>147</v>
      </c>
      <c r="D19" s="140">
        <v>36921.339999999997</v>
      </c>
      <c r="E19" s="140">
        <v>35487.24</v>
      </c>
      <c r="F19" s="140">
        <v>36921.339999999997</v>
      </c>
      <c r="G19" s="140">
        <v>35487</v>
      </c>
    </row>
    <row r="20" spans="1:7" x14ac:dyDescent="0.25">
      <c r="A20" s="100" t="s">
        <v>184</v>
      </c>
      <c r="B20" s="100" t="s">
        <v>866</v>
      </c>
      <c r="C20" s="214" t="s">
        <v>763</v>
      </c>
      <c r="D20" s="140">
        <v>370.8</v>
      </c>
      <c r="E20" s="140">
        <v>370.8</v>
      </c>
      <c r="F20" s="140">
        <v>370.8</v>
      </c>
      <c r="G20" s="140">
        <v>371</v>
      </c>
    </row>
    <row r="21" spans="1:7" x14ac:dyDescent="0.25">
      <c r="A21" s="100" t="s">
        <v>262</v>
      </c>
      <c r="B21" s="100" t="s">
        <v>92</v>
      </c>
      <c r="C21" s="214" t="s">
        <v>386</v>
      </c>
      <c r="D21" s="140">
        <v>898.87</v>
      </c>
      <c r="E21" s="140">
        <v>610.29999999999995</v>
      </c>
      <c r="F21" s="140">
        <v>898.87</v>
      </c>
      <c r="G21" s="140">
        <v>610</v>
      </c>
    </row>
    <row r="22" spans="1:7" x14ac:dyDescent="0.25">
      <c r="A22" s="100" t="s">
        <v>190</v>
      </c>
      <c r="B22" s="100" t="s">
        <v>790</v>
      </c>
      <c r="C22" s="214" t="s">
        <v>2</v>
      </c>
      <c r="D22" s="140">
        <v>-9402.92</v>
      </c>
      <c r="E22" s="140">
        <v>15752.85</v>
      </c>
      <c r="F22" s="140">
        <v>-9402.92</v>
      </c>
      <c r="G22" s="140">
        <v>15753</v>
      </c>
    </row>
    <row r="23" spans="1:7" x14ac:dyDescent="0.25">
      <c r="A23" s="100" t="s">
        <v>741</v>
      </c>
      <c r="B23" s="100" t="s">
        <v>88</v>
      </c>
      <c r="C23" s="214" t="s">
        <v>151</v>
      </c>
      <c r="D23" s="140">
        <v>-9402.92</v>
      </c>
      <c r="E23" s="140">
        <v>15752.85</v>
      </c>
      <c r="F23" s="140">
        <v>-9402.92</v>
      </c>
      <c r="G23" s="140">
        <v>15753</v>
      </c>
    </row>
    <row r="24" spans="1:7" x14ac:dyDescent="0.25">
      <c r="A24" s="100" t="s">
        <v>356</v>
      </c>
      <c r="B24" s="100" t="s">
        <v>527</v>
      </c>
      <c r="C24" s="214" t="s">
        <v>500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512</v>
      </c>
      <c r="B25" s="100" t="s">
        <v>320</v>
      </c>
      <c r="C25" s="214" t="s">
        <v>834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459</v>
      </c>
      <c r="B26" s="100" t="s">
        <v>468</v>
      </c>
      <c r="C26" s="214" t="s">
        <v>354</v>
      </c>
      <c r="D26" s="140">
        <v>11515</v>
      </c>
      <c r="E26" s="140">
        <v>0</v>
      </c>
      <c r="F26" s="140">
        <v>11515</v>
      </c>
      <c r="G26" s="140">
        <v>0</v>
      </c>
    </row>
    <row r="27" spans="1:7" x14ac:dyDescent="0.25">
      <c r="A27" s="100" t="s">
        <v>808</v>
      </c>
      <c r="B27" s="100" t="s">
        <v>333</v>
      </c>
      <c r="C27" s="214" t="s">
        <v>533</v>
      </c>
      <c r="D27" s="140">
        <v>11203.35</v>
      </c>
      <c r="E27" s="140">
        <v>49585.98</v>
      </c>
      <c r="F27" s="140">
        <v>11203.35</v>
      </c>
      <c r="G27" s="140">
        <v>49586</v>
      </c>
    </row>
    <row r="28" spans="1:7" x14ac:dyDescent="0.25">
      <c r="A28" s="100" t="s">
        <v>850</v>
      </c>
      <c r="B28" s="100" t="s">
        <v>608</v>
      </c>
      <c r="C28" s="214" t="s">
        <v>755</v>
      </c>
      <c r="D28" s="140">
        <v>-11964.65</v>
      </c>
      <c r="E28" s="140">
        <v>1821.94</v>
      </c>
      <c r="F28" s="140">
        <v>-11964.65</v>
      </c>
      <c r="G28" s="140">
        <v>1822</v>
      </c>
    </row>
    <row r="29" spans="1:7" x14ac:dyDescent="0.25">
      <c r="A29" s="100" t="s">
        <v>786</v>
      </c>
      <c r="B29" s="100" t="s">
        <v>203</v>
      </c>
      <c r="C29" s="214" t="s">
        <v>160</v>
      </c>
      <c r="D29" s="140">
        <v>131423.67999999999</v>
      </c>
      <c r="E29" s="140">
        <v>198751.81</v>
      </c>
      <c r="F29" s="140">
        <v>131423.67999999999</v>
      </c>
      <c r="G29" s="140">
        <v>198752</v>
      </c>
    </row>
    <row r="30" spans="1:7" x14ac:dyDescent="0.25">
      <c r="A30" s="100" t="s">
        <v>411</v>
      </c>
      <c r="B30" s="100" t="s">
        <v>881</v>
      </c>
      <c r="C30" s="214" t="s">
        <v>493</v>
      </c>
      <c r="D30" s="140">
        <v>8.51</v>
      </c>
      <c r="E30" s="140">
        <v>70000</v>
      </c>
      <c r="F30" s="140">
        <v>8.51</v>
      </c>
      <c r="G30" s="140">
        <v>70000</v>
      </c>
    </row>
    <row r="31" spans="1:7" x14ac:dyDescent="0.25">
      <c r="A31" s="100" t="s">
        <v>350</v>
      </c>
      <c r="B31" s="100" t="s">
        <v>42</v>
      </c>
      <c r="C31" s="214" t="s">
        <v>873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554</v>
      </c>
      <c r="B32" s="100" t="s">
        <v>363</v>
      </c>
      <c r="C32" s="214" t="s">
        <v>454</v>
      </c>
      <c r="D32" s="140">
        <v>0</v>
      </c>
      <c r="E32" s="140">
        <v>70000</v>
      </c>
      <c r="F32" s="140">
        <v>0</v>
      </c>
      <c r="G32" s="140">
        <v>70000</v>
      </c>
    </row>
    <row r="33" spans="1:7" x14ac:dyDescent="0.25">
      <c r="A33" s="100" t="s">
        <v>282</v>
      </c>
      <c r="B33" s="100" t="s">
        <v>21</v>
      </c>
      <c r="C33" s="214" t="s">
        <v>181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356</v>
      </c>
      <c r="B34" s="100" t="s">
        <v>97</v>
      </c>
      <c r="C34" s="214" t="s">
        <v>400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673</v>
      </c>
      <c r="B35" s="100" t="s">
        <v>634</v>
      </c>
      <c r="C35" s="214" t="s">
        <v>595</v>
      </c>
      <c r="D35" s="140">
        <v>0</v>
      </c>
      <c r="E35" s="140">
        <v>70000</v>
      </c>
      <c r="F35" s="140">
        <v>0</v>
      </c>
      <c r="G35" s="140">
        <v>70000</v>
      </c>
    </row>
    <row r="36" spans="1:7" x14ac:dyDescent="0.25">
      <c r="A36" s="100" t="s">
        <v>717</v>
      </c>
      <c r="B36" s="100" t="s">
        <v>185</v>
      </c>
      <c r="C36" s="214" t="s">
        <v>346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722</v>
      </c>
      <c r="B37" s="100" t="s">
        <v>218</v>
      </c>
      <c r="C37" s="214" t="s">
        <v>742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356</v>
      </c>
      <c r="B38" s="100" t="s">
        <v>39</v>
      </c>
      <c r="C38" s="214" t="s">
        <v>747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673</v>
      </c>
      <c r="B39" s="100" t="s">
        <v>672</v>
      </c>
      <c r="C39" s="214" t="s">
        <v>674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652</v>
      </c>
      <c r="B40" s="100" t="s">
        <v>686</v>
      </c>
      <c r="C40" s="214" t="s">
        <v>302</v>
      </c>
      <c r="D40" s="131">
        <v>0</v>
      </c>
      <c r="E40" s="140">
        <v>0</v>
      </c>
      <c r="F40" s="131">
        <v>0</v>
      </c>
      <c r="G40" s="140">
        <v>0</v>
      </c>
    </row>
    <row r="41" spans="1:7" x14ac:dyDescent="0.25">
      <c r="A41" s="100" t="s">
        <v>420</v>
      </c>
      <c r="B41" s="100" t="s">
        <v>300</v>
      </c>
      <c r="C41" s="214" t="s">
        <v>236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356</v>
      </c>
      <c r="B42" s="100" t="s">
        <v>144</v>
      </c>
      <c r="C42" s="214" t="s">
        <v>743</v>
      </c>
      <c r="D42" s="131">
        <v>0</v>
      </c>
      <c r="E42" s="140">
        <v>0</v>
      </c>
      <c r="F42" s="131">
        <v>0</v>
      </c>
      <c r="G42" s="140">
        <v>0</v>
      </c>
    </row>
    <row r="43" spans="1:7" x14ac:dyDescent="0.25">
      <c r="A43" s="100" t="s">
        <v>589</v>
      </c>
      <c r="B43" s="100" t="s">
        <v>660</v>
      </c>
      <c r="C43" s="214" t="s">
        <v>75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876</v>
      </c>
      <c r="B44" s="100" t="s">
        <v>265</v>
      </c>
      <c r="C44" s="214" t="s">
        <v>488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357</v>
      </c>
      <c r="B45" s="100" t="s">
        <v>113</v>
      </c>
      <c r="C45" s="214" t="s">
        <v>542</v>
      </c>
      <c r="D45" s="140">
        <v>8.51</v>
      </c>
      <c r="E45" s="140">
        <v>0</v>
      </c>
      <c r="F45" s="140">
        <v>8.51</v>
      </c>
      <c r="G45" s="140">
        <v>0</v>
      </c>
    </row>
    <row r="46" spans="1:7" x14ac:dyDescent="0.25">
      <c r="A46" s="100" t="s">
        <v>411</v>
      </c>
      <c r="B46" s="100" t="s">
        <v>273</v>
      </c>
      <c r="C46" s="214" t="s">
        <v>661</v>
      </c>
      <c r="D46" s="140">
        <v>2497.13</v>
      </c>
      <c r="E46" s="140">
        <v>2800.65</v>
      </c>
      <c r="F46" s="140">
        <v>2497.13</v>
      </c>
      <c r="G46" s="140">
        <v>2801</v>
      </c>
    </row>
    <row r="47" spans="1:7" x14ac:dyDescent="0.25">
      <c r="A47" s="100" t="s">
        <v>564</v>
      </c>
      <c r="B47" s="100" t="s">
        <v>772</v>
      </c>
      <c r="C47" s="214" t="s">
        <v>783</v>
      </c>
      <c r="D47" s="140">
        <v>0</v>
      </c>
      <c r="E47" s="140">
        <v>0</v>
      </c>
      <c r="F47" s="140">
        <v>0</v>
      </c>
      <c r="G47" s="140">
        <v>0</v>
      </c>
    </row>
    <row r="48" spans="1:7" x14ac:dyDescent="0.25">
      <c r="A48" s="100" t="s">
        <v>208</v>
      </c>
      <c r="B48" s="100" t="s">
        <v>362</v>
      </c>
      <c r="C48" s="214" t="s">
        <v>250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738</v>
      </c>
      <c r="B49" s="100" t="s">
        <v>396</v>
      </c>
      <c r="C49" s="214" t="s">
        <v>779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25">
      <c r="A50" s="100" t="s">
        <v>515</v>
      </c>
      <c r="B50" s="100" t="s">
        <v>281</v>
      </c>
      <c r="C50" s="214" t="s">
        <v>182</v>
      </c>
      <c r="D50" s="131">
        <v>0</v>
      </c>
      <c r="E50" s="140">
        <v>0</v>
      </c>
      <c r="F50" s="131">
        <v>0</v>
      </c>
      <c r="G50" s="140">
        <v>0</v>
      </c>
    </row>
    <row r="51" spans="1:7" x14ac:dyDescent="0.25">
      <c r="A51" s="100" t="s">
        <v>205</v>
      </c>
      <c r="B51" s="100" t="s">
        <v>105</v>
      </c>
      <c r="C51" s="214" t="s">
        <v>67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356</v>
      </c>
      <c r="B52" s="100" t="s">
        <v>550</v>
      </c>
      <c r="C52" s="214" t="s">
        <v>649</v>
      </c>
      <c r="D52" s="131">
        <v>0</v>
      </c>
      <c r="E52" s="140">
        <v>0</v>
      </c>
      <c r="F52" s="131">
        <v>0</v>
      </c>
      <c r="G52" s="140">
        <v>0</v>
      </c>
    </row>
    <row r="53" spans="1:7" x14ac:dyDescent="0.25">
      <c r="A53" s="100" t="s">
        <v>730</v>
      </c>
      <c r="B53" s="100" t="s">
        <v>11</v>
      </c>
      <c r="C53" s="214" t="s">
        <v>721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244</v>
      </c>
      <c r="B54" s="100" t="s">
        <v>592</v>
      </c>
      <c r="C54" s="214" t="s">
        <v>573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470</v>
      </c>
      <c r="B55" s="100" t="s">
        <v>162</v>
      </c>
      <c r="C55" s="214" t="s">
        <v>447</v>
      </c>
      <c r="D55" s="140">
        <v>2497.13</v>
      </c>
      <c r="E55" s="140">
        <v>2800.65</v>
      </c>
      <c r="F55" s="140">
        <v>2497.13</v>
      </c>
      <c r="G55" s="140">
        <v>2801</v>
      </c>
    </row>
    <row r="56" spans="1:7" x14ac:dyDescent="0.25">
      <c r="A56" s="100" t="s">
        <v>850</v>
      </c>
      <c r="B56" s="100" t="s">
        <v>220</v>
      </c>
      <c r="C56" s="214" t="s">
        <v>425</v>
      </c>
      <c r="D56" s="140">
        <v>-2488.62</v>
      </c>
      <c r="E56" s="140">
        <v>67199.350000000006</v>
      </c>
      <c r="F56" s="140">
        <v>-2488.62</v>
      </c>
      <c r="G56" s="140">
        <v>67199</v>
      </c>
    </row>
    <row r="57" spans="1:7" x14ac:dyDescent="0.25">
      <c r="A57" s="100" t="s">
        <v>4</v>
      </c>
      <c r="B57" s="100" t="s">
        <v>399</v>
      </c>
      <c r="C57" s="214" t="s">
        <v>375</v>
      </c>
      <c r="D57" s="140">
        <v>-14453.27</v>
      </c>
      <c r="E57" s="140">
        <v>69021.289999999994</v>
      </c>
      <c r="F57" s="140">
        <v>-14453.27</v>
      </c>
      <c r="G57" s="140">
        <v>69021</v>
      </c>
    </row>
    <row r="58" spans="1:7" x14ac:dyDescent="0.25">
      <c r="A58" s="100" t="s">
        <v>276</v>
      </c>
      <c r="B58" s="100" t="s">
        <v>77</v>
      </c>
      <c r="C58" s="214" t="s">
        <v>687</v>
      </c>
      <c r="D58" s="131">
        <v>0</v>
      </c>
      <c r="E58" s="140">
        <v>0</v>
      </c>
      <c r="F58" s="131">
        <v>0</v>
      </c>
      <c r="G58" s="140">
        <v>0</v>
      </c>
    </row>
    <row r="59" spans="1:7" x14ac:dyDescent="0.25">
      <c r="A59" s="100" t="s">
        <v>625</v>
      </c>
      <c r="B59" s="100" t="s">
        <v>648</v>
      </c>
      <c r="C59" s="214" t="s">
        <v>532</v>
      </c>
      <c r="D59" s="131">
        <v>0</v>
      </c>
      <c r="E59" s="140">
        <v>0</v>
      </c>
      <c r="F59" s="131">
        <v>0</v>
      </c>
      <c r="G59" s="140">
        <v>0</v>
      </c>
    </row>
    <row r="60" spans="1:7" x14ac:dyDescent="0.25">
      <c r="A60" s="100" t="s">
        <v>356</v>
      </c>
      <c r="B60" s="100" t="s">
        <v>392</v>
      </c>
      <c r="C60" s="214" t="s">
        <v>670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760</v>
      </c>
      <c r="B61" s="100" t="s">
        <v>883</v>
      </c>
      <c r="C61" s="214" t="s">
        <v>341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4</v>
      </c>
      <c r="B62" s="100" t="s">
        <v>507</v>
      </c>
      <c r="C62" s="214" t="s">
        <v>887</v>
      </c>
      <c r="D62" s="140">
        <v>-14453.27</v>
      </c>
      <c r="E62" s="140">
        <v>69021.289999999994</v>
      </c>
      <c r="F62" s="140">
        <v>-14453.27</v>
      </c>
      <c r="G62" s="140">
        <v>69021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885</v>
      </c>
      <c r="B1" s="11" t="s">
        <v>112</v>
      </c>
      <c r="C1" s="51" t="s">
        <v>44</v>
      </c>
      <c r="D1" s="152" t="s">
        <v>627</v>
      </c>
      <c r="E1" s="152" t="s">
        <v>193</v>
      </c>
      <c r="F1" s="152" t="s">
        <v>791</v>
      </c>
      <c r="G1" s="152" t="s">
        <v>369</v>
      </c>
    </row>
    <row r="2" spans="1:7" x14ac:dyDescent="0.25">
      <c r="A2" s="2" t="s">
        <v>786</v>
      </c>
      <c r="B2" s="2" t="s">
        <v>308</v>
      </c>
      <c r="C2" s="57" t="s">
        <v>460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411</v>
      </c>
      <c r="B3" s="2" t="s">
        <v>109</v>
      </c>
      <c r="C3" s="57" t="s">
        <v>66</v>
      </c>
      <c r="D3" s="140">
        <v>364455.88</v>
      </c>
      <c r="E3" s="140">
        <v>286527.55</v>
      </c>
      <c r="F3" s="140">
        <v>364455.88</v>
      </c>
      <c r="G3" s="140">
        <v>286528</v>
      </c>
    </row>
    <row r="4" spans="1:7" x14ac:dyDescent="0.25">
      <c r="A4" s="2" t="s">
        <v>459</v>
      </c>
      <c r="B4" s="2" t="s">
        <v>810</v>
      </c>
      <c r="C4" s="57" t="s">
        <v>707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25">
      <c r="A5" s="2" t="s">
        <v>24</v>
      </c>
      <c r="B5" s="2" t="s">
        <v>679</v>
      </c>
      <c r="C5" s="57" t="s">
        <v>388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25">
      <c r="A6" s="2" t="s">
        <v>231</v>
      </c>
      <c r="B6" s="2" t="s">
        <v>815</v>
      </c>
      <c r="C6" s="57" t="s">
        <v>803</v>
      </c>
      <c r="D6" s="171">
        <v>357855.88</v>
      </c>
      <c r="E6" s="171">
        <v>229086.84</v>
      </c>
      <c r="F6" s="171">
        <v>357855.88</v>
      </c>
      <c r="G6" s="171">
        <v>229087</v>
      </c>
    </row>
    <row r="7" spans="1:7" x14ac:dyDescent="0.25">
      <c r="A7" s="2" t="s">
        <v>417</v>
      </c>
      <c r="B7" s="2" t="s">
        <v>99</v>
      </c>
      <c r="C7" s="57" t="s">
        <v>861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596</v>
      </c>
      <c r="B8" s="2" t="s">
        <v>769</v>
      </c>
      <c r="C8" s="57" t="s">
        <v>575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237</v>
      </c>
      <c r="B9" s="2" t="s">
        <v>254</v>
      </c>
      <c r="C9" s="57" t="s">
        <v>765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14</v>
      </c>
      <c r="B10" s="2" t="s">
        <v>60</v>
      </c>
      <c r="C10" s="57" t="s">
        <v>480</v>
      </c>
      <c r="D10" s="171">
        <v>6600</v>
      </c>
      <c r="E10" s="171">
        <v>57440.71</v>
      </c>
      <c r="F10" s="171">
        <v>6600</v>
      </c>
      <c r="G10" s="171">
        <v>57441</v>
      </c>
    </row>
    <row r="11" spans="1:7" x14ac:dyDescent="0.25">
      <c r="A11" s="2" t="s">
        <v>411</v>
      </c>
      <c r="B11" s="2" t="s">
        <v>865</v>
      </c>
      <c r="C11" s="57" t="s">
        <v>303</v>
      </c>
      <c r="D11" s="171">
        <v>362633.94</v>
      </c>
      <c r="E11" s="171">
        <v>376636.92</v>
      </c>
      <c r="F11" s="171">
        <v>362633.94</v>
      </c>
      <c r="G11" s="171">
        <v>376638</v>
      </c>
    </row>
    <row r="12" spans="1:7" x14ac:dyDescent="0.25">
      <c r="A12" s="2" t="s">
        <v>81</v>
      </c>
      <c r="B12" s="2" t="s">
        <v>499</v>
      </c>
      <c r="C12" s="57" t="s">
        <v>145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289</v>
      </c>
      <c r="B13" s="2" t="s">
        <v>252</v>
      </c>
      <c r="C13" s="57" t="s">
        <v>41</v>
      </c>
      <c r="D13" s="171">
        <v>19537.169999999998</v>
      </c>
      <c r="E13" s="171">
        <v>9022.69</v>
      </c>
      <c r="F13" s="171">
        <v>19537.169999999998</v>
      </c>
      <c r="G13" s="171">
        <v>9023</v>
      </c>
    </row>
    <row r="14" spans="1:7" x14ac:dyDescent="0.25">
      <c r="A14" s="2" t="s">
        <v>855</v>
      </c>
      <c r="B14" s="2" t="s">
        <v>681</v>
      </c>
      <c r="C14" s="57" t="s">
        <v>51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9</v>
      </c>
      <c r="B15" s="2" t="s">
        <v>446</v>
      </c>
      <c r="C15" s="57" t="s">
        <v>256</v>
      </c>
      <c r="D15" s="171">
        <v>139566.9</v>
      </c>
      <c r="E15" s="171">
        <v>161126.5</v>
      </c>
      <c r="F15" s="171">
        <v>139566.9</v>
      </c>
      <c r="G15" s="171">
        <v>161128</v>
      </c>
    </row>
    <row r="16" spans="1:7" x14ac:dyDescent="0.25">
      <c r="A16" s="2" t="s">
        <v>776</v>
      </c>
      <c r="B16" s="2" t="s">
        <v>6</v>
      </c>
      <c r="C16" s="57" t="s">
        <v>7</v>
      </c>
      <c r="D16" s="171">
        <v>137580.74</v>
      </c>
      <c r="E16" s="171">
        <v>141623.67999999999</v>
      </c>
      <c r="F16" s="171">
        <v>137580.74</v>
      </c>
      <c r="G16" s="171">
        <v>141623</v>
      </c>
    </row>
    <row r="17" spans="1:7" x14ac:dyDescent="0.25">
      <c r="A17" s="2" t="s">
        <v>809</v>
      </c>
      <c r="B17" s="2" t="s">
        <v>207</v>
      </c>
      <c r="C17" s="57" t="s">
        <v>387</v>
      </c>
      <c r="D17" s="171">
        <v>101722.7</v>
      </c>
      <c r="E17" s="171">
        <v>104742.46</v>
      </c>
      <c r="F17" s="171">
        <v>101722.7</v>
      </c>
      <c r="G17" s="171">
        <v>104742</v>
      </c>
    </row>
    <row r="18" spans="1:7" x14ac:dyDescent="0.25">
      <c r="A18" s="2" t="s">
        <v>356</v>
      </c>
      <c r="B18" s="2" t="s">
        <v>13</v>
      </c>
      <c r="C18" s="57" t="s">
        <v>486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673</v>
      </c>
      <c r="B19" s="2" t="s">
        <v>590</v>
      </c>
      <c r="C19" s="57" t="s">
        <v>147</v>
      </c>
      <c r="D19" s="171">
        <v>35487.24</v>
      </c>
      <c r="E19" s="171">
        <v>36510.42</v>
      </c>
      <c r="F19" s="171">
        <v>35487.24</v>
      </c>
      <c r="G19" s="171">
        <v>36510</v>
      </c>
    </row>
    <row r="20" spans="1:7" x14ac:dyDescent="0.25">
      <c r="A20" s="2" t="s">
        <v>184</v>
      </c>
      <c r="B20" s="2" t="s">
        <v>866</v>
      </c>
      <c r="C20" s="57" t="s">
        <v>763</v>
      </c>
      <c r="D20" s="171">
        <v>370.8</v>
      </c>
      <c r="E20" s="171">
        <v>370.8</v>
      </c>
      <c r="F20" s="171">
        <v>370.8</v>
      </c>
      <c r="G20" s="171">
        <v>371</v>
      </c>
    </row>
    <row r="21" spans="1:7" x14ac:dyDescent="0.25">
      <c r="A21" s="2" t="s">
        <v>262</v>
      </c>
      <c r="B21" s="2" t="s">
        <v>92</v>
      </c>
      <c r="C21" s="57" t="s">
        <v>386</v>
      </c>
      <c r="D21" s="171">
        <v>610.29999999999995</v>
      </c>
      <c r="E21" s="171">
        <v>2295.02</v>
      </c>
      <c r="F21" s="171">
        <v>610.29999999999995</v>
      </c>
      <c r="G21" s="171">
        <v>2295</v>
      </c>
    </row>
    <row r="22" spans="1:7" x14ac:dyDescent="0.25">
      <c r="A22" s="2" t="s">
        <v>190</v>
      </c>
      <c r="B22" s="2" t="s">
        <v>790</v>
      </c>
      <c r="C22" s="57" t="s">
        <v>2</v>
      </c>
      <c r="D22" s="171">
        <v>15752.85</v>
      </c>
      <c r="E22" s="171">
        <v>18724</v>
      </c>
      <c r="F22" s="171">
        <v>15752.85</v>
      </c>
      <c r="G22" s="171">
        <v>18724</v>
      </c>
    </row>
    <row r="23" spans="1:7" x14ac:dyDescent="0.25">
      <c r="A23" s="2" t="s">
        <v>741</v>
      </c>
      <c r="B23" s="2" t="s">
        <v>88</v>
      </c>
      <c r="C23" s="57" t="s">
        <v>151</v>
      </c>
      <c r="D23" s="171">
        <v>15752.85</v>
      </c>
      <c r="E23" s="171">
        <v>18724</v>
      </c>
      <c r="F23" s="171">
        <v>15752.85</v>
      </c>
      <c r="G23" s="171">
        <v>18724</v>
      </c>
    </row>
    <row r="24" spans="1:7" x14ac:dyDescent="0.25">
      <c r="A24" s="2" t="s">
        <v>356</v>
      </c>
      <c r="B24" s="2" t="s">
        <v>527</v>
      </c>
      <c r="C24" s="57" t="s">
        <v>500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512</v>
      </c>
      <c r="B25" s="2" t="s">
        <v>320</v>
      </c>
      <c r="C25" s="57" t="s">
        <v>834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459</v>
      </c>
      <c r="B26" s="2" t="s">
        <v>468</v>
      </c>
      <c r="C26" s="57" t="s">
        <v>354</v>
      </c>
      <c r="D26" s="157">
        <v>0</v>
      </c>
      <c r="E26" s="171">
        <v>14178.8</v>
      </c>
      <c r="F26" s="157">
        <v>0</v>
      </c>
      <c r="G26" s="171">
        <v>14179</v>
      </c>
    </row>
    <row r="27" spans="1:7" x14ac:dyDescent="0.25">
      <c r="A27" s="2" t="s">
        <v>808</v>
      </c>
      <c r="B27" s="2" t="s">
        <v>333</v>
      </c>
      <c r="C27" s="57" t="s">
        <v>533</v>
      </c>
      <c r="D27" s="171">
        <v>49585.98</v>
      </c>
      <c r="E27" s="171">
        <v>29666.23</v>
      </c>
      <c r="F27" s="171">
        <v>49585.98</v>
      </c>
      <c r="G27" s="171">
        <v>29666</v>
      </c>
    </row>
    <row r="28" spans="1:7" x14ac:dyDescent="0.25">
      <c r="A28" s="2" t="s">
        <v>850</v>
      </c>
      <c r="B28" s="2" t="s">
        <v>608</v>
      </c>
      <c r="C28" s="57" t="s">
        <v>755</v>
      </c>
      <c r="D28" s="171">
        <v>1821.94</v>
      </c>
      <c r="E28" s="171">
        <v>-90109.37</v>
      </c>
      <c r="F28" s="171">
        <v>1821.94</v>
      </c>
      <c r="G28" s="171">
        <v>-90110</v>
      </c>
    </row>
    <row r="29" spans="1:7" x14ac:dyDescent="0.25">
      <c r="A29" s="2" t="s">
        <v>786</v>
      </c>
      <c r="B29" s="2" t="s">
        <v>203</v>
      </c>
      <c r="C29" s="57" t="s">
        <v>160</v>
      </c>
      <c r="D29" s="171">
        <v>198751.81</v>
      </c>
      <c r="E29" s="171">
        <v>58937.65</v>
      </c>
      <c r="F29" s="171">
        <v>198751.81</v>
      </c>
      <c r="G29" s="171">
        <v>58936</v>
      </c>
    </row>
    <row r="30" spans="1:7" x14ac:dyDescent="0.25">
      <c r="A30" s="2" t="s">
        <v>411</v>
      </c>
      <c r="B30" s="2" t="s">
        <v>881</v>
      </c>
      <c r="C30" s="57" t="s">
        <v>493</v>
      </c>
      <c r="D30" s="171">
        <v>70000</v>
      </c>
      <c r="E30" s="171">
        <v>32341.3</v>
      </c>
      <c r="F30" s="171">
        <v>70000</v>
      </c>
      <c r="G30" s="171">
        <v>32341</v>
      </c>
    </row>
    <row r="31" spans="1:7" x14ac:dyDescent="0.25">
      <c r="A31" s="2" t="s">
        <v>350</v>
      </c>
      <c r="B31" s="2" t="s">
        <v>42</v>
      </c>
      <c r="C31" s="57" t="s">
        <v>873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554</v>
      </c>
      <c r="B32" s="2" t="s">
        <v>363</v>
      </c>
      <c r="C32" s="57" t="s">
        <v>454</v>
      </c>
      <c r="D32" s="171">
        <v>70000</v>
      </c>
      <c r="E32" s="171">
        <v>30000</v>
      </c>
      <c r="F32" s="171">
        <v>70000</v>
      </c>
      <c r="G32" s="171">
        <v>30000</v>
      </c>
    </row>
    <row r="33" spans="1:7" x14ac:dyDescent="0.25">
      <c r="A33" s="2" t="s">
        <v>282</v>
      </c>
      <c r="B33" s="2" t="s">
        <v>21</v>
      </c>
      <c r="C33" s="57" t="s">
        <v>181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356</v>
      </c>
      <c r="B34" s="2" t="s">
        <v>97</v>
      </c>
      <c r="C34" s="57" t="s">
        <v>400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673</v>
      </c>
      <c r="B35" s="2" t="s">
        <v>634</v>
      </c>
      <c r="C35" s="57" t="s">
        <v>595</v>
      </c>
      <c r="D35" s="171">
        <v>70000</v>
      </c>
      <c r="E35" s="171">
        <v>30000</v>
      </c>
      <c r="F35" s="171">
        <v>70000</v>
      </c>
      <c r="G35" s="171">
        <v>30000</v>
      </c>
    </row>
    <row r="36" spans="1:7" x14ac:dyDescent="0.25">
      <c r="A36" s="2" t="s">
        <v>717</v>
      </c>
      <c r="B36" s="2" t="s">
        <v>185</v>
      </c>
      <c r="C36" s="57" t="s">
        <v>346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722</v>
      </c>
      <c r="B37" s="2" t="s">
        <v>218</v>
      </c>
      <c r="C37" s="57" t="s">
        <v>742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356</v>
      </c>
      <c r="B38" s="2" t="s">
        <v>39</v>
      </c>
      <c r="C38" s="57" t="s">
        <v>747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673</v>
      </c>
      <c r="B39" s="2" t="s">
        <v>672</v>
      </c>
      <c r="C39" s="57" t="s">
        <v>674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652</v>
      </c>
      <c r="B40" s="2" t="s">
        <v>686</v>
      </c>
      <c r="C40" s="57" t="s">
        <v>302</v>
      </c>
      <c r="D40" s="157">
        <v>0</v>
      </c>
      <c r="E40" s="171">
        <v>2341.3000000000002</v>
      </c>
      <c r="F40" s="157">
        <v>0</v>
      </c>
      <c r="G40" s="171">
        <v>2341</v>
      </c>
    </row>
    <row r="41" spans="1:7" x14ac:dyDescent="0.25">
      <c r="A41" s="2" t="s">
        <v>420</v>
      </c>
      <c r="B41" s="2" t="s">
        <v>300</v>
      </c>
      <c r="C41" s="57" t="s">
        <v>236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356</v>
      </c>
      <c r="B42" s="2" t="s">
        <v>144</v>
      </c>
      <c r="C42" s="57" t="s">
        <v>743</v>
      </c>
      <c r="D42" s="157">
        <v>0</v>
      </c>
      <c r="E42" s="171">
        <v>2341.3000000000002</v>
      </c>
      <c r="F42" s="157">
        <v>0</v>
      </c>
      <c r="G42" s="171">
        <v>2341</v>
      </c>
    </row>
    <row r="43" spans="1:7" x14ac:dyDescent="0.25">
      <c r="A43" s="2" t="s">
        <v>589</v>
      </c>
      <c r="B43" s="2" t="s">
        <v>660</v>
      </c>
      <c r="C43" s="57" t="s">
        <v>75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876</v>
      </c>
      <c r="B44" s="2" t="s">
        <v>265</v>
      </c>
      <c r="C44" s="57" t="s">
        <v>488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357</v>
      </c>
      <c r="B45" s="2" t="s">
        <v>113</v>
      </c>
      <c r="C45" s="57" t="s">
        <v>542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411</v>
      </c>
      <c r="B46" s="2" t="s">
        <v>273</v>
      </c>
      <c r="C46" s="57" t="s">
        <v>661</v>
      </c>
      <c r="D46" s="171">
        <v>2800.65</v>
      </c>
      <c r="E46" s="171">
        <v>9738.75</v>
      </c>
      <c r="F46" s="171">
        <v>2800.65</v>
      </c>
      <c r="G46" s="171">
        <v>9738</v>
      </c>
    </row>
    <row r="47" spans="1:7" x14ac:dyDescent="0.25">
      <c r="A47" s="2" t="s">
        <v>564</v>
      </c>
      <c r="B47" s="2" t="s">
        <v>772</v>
      </c>
      <c r="C47" s="57" t="s">
        <v>783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208</v>
      </c>
      <c r="B48" s="2" t="s">
        <v>362</v>
      </c>
      <c r="C48" s="57" t="s">
        <v>250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738</v>
      </c>
      <c r="B49" s="2" t="s">
        <v>396</v>
      </c>
      <c r="C49" s="57" t="s">
        <v>779</v>
      </c>
      <c r="D49" s="157">
        <v>0</v>
      </c>
      <c r="E49" s="171">
        <v>3331</v>
      </c>
      <c r="F49" s="157">
        <v>0</v>
      </c>
      <c r="G49" s="171">
        <v>3331</v>
      </c>
    </row>
    <row r="50" spans="1:7" x14ac:dyDescent="0.25">
      <c r="A50" s="2" t="s">
        <v>515</v>
      </c>
      <c r="B50" s="2" t="s">
        <v>281</v>
      </c>
      <c r="C50" s="57" t="s">
        <v>182</v>
      </c>
      <c r="D50" s="157">
        <v>0</v>
      </c>
      <c r="E50" s="171">
        <v>494.27</v>
      </c>
      <c r="F50" s="157">
        <v>0</v>
      </c>
      <c r="G50" s="171">
        <v>494</v>
      </c>
    </row>
    <row r="51" spans="1:7" x14ac:dyDescent="0.25">
      <c r="A51" s="2" t="s">
        <v>205</v>
      </c>
      <c r="B51" s="2" t="s">
        <v>105</v>
      </c>
      <c r="C51" s="57" t="s">
        <v>67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356</v>
      </c>
      <c r="B52" s="2" t="s">
        <v>550</v>
      </c>
      <c r="C52" s="57" t="s">
        <v>649</v>
      </c>
      <c r="D52" s="157">
        <v>0</v>
      </c>
      <c r="E52" s="171">
        <v>494.27</v>
      </c>
      <c r="F52" s="157">
        <v>0</v>
      </c>
      <c r="G52" s="171">
        <v>494</v>
      </c>
    </row>
    <row r="53" spans="1:7" x14ac:dyDescent="0.25">
      <c r="A53" s="2" t="s">
        <v>730</v>
      </c>
      <c r="B53" s="2" t="s">
        <v>11</v>
      </c>
      <c r="C53" s="57" t="s">
        <v>721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244</v>
      </c>
      <c r="B54" s="2" t="s">
        <v>592</v>
      </c>
      <c r="C54" s="57" t="s">
        <v>573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470</v>
      </c>
      <c r="B55" s="2" t="s">
        <v>162</v>
      </c>
      <c r="C55" s="57" t="s">
        <v>447</v>
      </c>
      <c r="D55" s="171">
        <v>2800.65</v>
      </c>
      <c r="E55" s="171">
        <v>5913.48</v>
      </c>
      <c r="F55" s="171">
        <v>2800.65</v>
      </c>
      <c r="G55" s="171">
        <v>5913</v>
      </c>
    </row>
    <row r="56" spans="1:7" x14ac:dyDescent="0.25">
      <c r="A56" s="2" t="s">
        <v>850</v>
      </c>
      <c r="B56" s="2" t="s">
        <v>220</v>
      </c>
      <c r="C56" s="57" t="s">
        <v>425</v>
      </c>
      <c r="D56" s="171">
        <v>67199.350000000006</v>
      </c>
      <c r="E56" s="171">
        <v>22602.55</v>
      </c>
      <c r="F56" s="171">
        <v>67199.350000000006</v>
      </c>
      <c r="G56" s="171">
        <v>22603</v>
      </c>
    </row>
    <row r="57" spans="1:7" x14ac:dyDescent="0.25">
      <c r="A57" s="2" t="s">
        <v>4</v>
      </c>
      <c r="B57" s="2" t="s">
        <v>399</v>
      </c>
      <c r="C57" s="57" t="s">
        <v>375</v>
      </c>
      <c r="D57" s="171">
        <v>69021.289999999994</v>
      </c>
      <c r="E57" s="171">
        <v>-67506.820000000007</v>
      </c>
      <c r="F57" s="171">
        <v>69021.289999999994</v>
      </c>
      <c r="G57" s="171">
        <v>-67507</v>
      </c>
    </row>
    <row r="58" spans="1:7" x14ac:dyDescent="0.25">
      <c r="A58" s="2" t="s">
        <v>276</v>
      </c>
      <c r="B58" s="2" t="s">
        <v>77</v>
      </c>
      <c r="C58" s="57" t="s">
        <v>687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25">
      <c r="A59" s="2" t="s">
        <v>625</v>
      </c>
      <c r="B59" s="2" t="s">
        <v>648</v>
      </c>
      <c r="C59" s="57" t="s">
        <v>532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356</v>
      </c>
      <c r="B60" s="2" t="s">
        <v>392</v>
      </c>
      <c r="C60" s="57" t="s">
        <v>670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760</v>
      </c>
      <c r="B61" s="2" t="s">
        <v>883</v>
      </c>
      <c r="C61" s="57" t="s">
        <v>341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4</v>
      </c>
      <c r="B62" s="2" t="s">
        <v>507</v>
      </c>
      <c r="C62" s="57" t="s">
        <v>887</v>
      </c>
      <c r="D62" s="171">
        <v>69021.289999999994</v>
      </c>
      <c r="E62" s="171">
        <v>-67506.820000000007</v>
      </c>
      <c r="F62" s="171">
        <v>69021.289999999994</v>
      </c>
      <c r="G62" s="171">
        <v>-67507</v>
      </c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885</v>
      </c>
      <c r="B1" s="11" t="s">
        <v>771</v>
      </c>
      <c r="C1" s="51" t="s">
        <v>44</v>
      </c>
      <c r="D1" s="152" t="s">
        <v>415</v>
      </c>
      <c r="E1" s="152" t="s">
        <v>211</v>
      </c>
      <c r="F1" s="152" t="s">
        <v>787</v>
      </c>
      <c r="G1" s="152" t="s">
        <v>401</v>
      </c>
      <c r="H1" s="152" t="s">
        <v>509</v>
      </c>
      <c r="I1" s="152" t="s">
        <v>187</v>
      </c>
      <c r="J1" s="152" t="s">
        <v>683</v>
      </c>
      <c r="K1" s="152" t="s">
        <v>369</v>
      </c>
    </row>
    <row r="2" spans="1:11" x14ac:dyDescent="0.25">
      <c r="A2" s="100" t="s">
        <v>552</v>
      </c>
      <c r="B2" s="100" t="s">
        <v>137</v>
      </c>
      <c r="C2" s="214" t="s">
        <v>201</v>
      </c>
      <c r="D2" s="140">
        <v>3450174.92</v>
      </c>
      <c r="E2" s="140">
        <v>942690.5</v>
      </c>
      <c r="F2" s="140">
        <v>2507484.42</v>
      </c>
      <c r="G2" s="140">
        <v>2399167.7999999998</v>
      </c>
      <c r="H2" s="140">
        <v>3450174.92</v>
      </c>
      <c r="I2" s="140">
        <v>942690.5</v>
      </c>
      <c r="J2" s="140">
        <v>2507484.42</v>
      </c>
      <c r="K2" s="140">
        <v>2399166</v>
      </c>
    </row>
    <row r="3" spans="1:11" x14ac:dyDescent="0.25">
      <c r="A3" s="100" t="s">
        <v>81</v>
      </c>
      <c r="B3" s="100" t="s">
        <v>475</v>
      </c>
      <c r="C3" s="214" t="s">
        <v>639</v>
      </c>
      <c r="D3" s="140">
        <v>3192543.92</v>
      </c>
      <c r="E3" s="140">
        <v>920260.5</v>
      </c>
      <c r="F3" s="140">
        <v>2272283.42</v>
      </c>
      <c r="G3" s="140">
        <v>2177558.98</v>
      </c>
      <c r="H3" s="140">
        <v>3192543.92</v>
      </c>
      <c r="I3" s="140">
        <v>920260.5</v>
      </c>
      <c r="J3" s="140">
        <v>2272283.42</v>
      </c>
      <c r="K3" s="140">
        <v>2177558</v>
      </c>
    </row>
    <row r="4" spans="1:11" x14ac:dyDescent="0.25">
      <c r="A4" s="100" t="s">
        <v>26</v>
      </c>
      <c r="B4" s="100" t="s">
        <v>242</v>
      </c>
      <c r="C4" s="214" t="s">
        <v>248</v>
      </c>
      <c r="D4" s="140">
        <v>-169164</v>
      </c>
      <c r="E4" s="140">
        <v>-24166.28</v>
      </c>
      <c r="F4" s="140">
        <v>-144997.72</v>
      </c>
      <c r="G4" s="140">
        <v>0</v>
      </c>
      <c r="H4" s="140">
        <v>-169164</v>
      </c>
      <c r="I4" s="140">
        <v>-24166.28</v>
      </c>
      <c r="J4" s="140">
        <v>-144997.72</v>
      </c>
      <c r="K4" s="140">
        <v>0</v>
      </c>
    </row>
    <row r="5" spans="1:11" x14ac:dyDescent="0.25">
      <c r="A5" s="100" t="s">
        <v>103</v>
      </c>
      <c r="B5" s="100" t="s">
        <v>541</v>
      </c>
      <c r="C5" s="214" t="s">
        <v>450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25">
      <c r="A6" s="100" t="s">
        <v>356</v>
      </c>
      <c r="B6" s="100" t="s">
        <v>383</v>
      </c>
      <c r="C6" s="214" t="s">
        <v>735</v>
      </c>
      <c r="D6" s="131">
        <v>0</v>
      </c>
      <c r="E6" s="131">
        <v>0</v>
      </c>
      <c r="F6" s="131">
        <v>0</v>
      </c>
      <c r="G6" s="140">
        <v>0</v>
      </c>
      <c r="H6" s="131">
        <v>0</v>
      </c>
      <c r="I6" s="131">
        <v>0</v>
      </c>
      <c r="J6" s="131">
        <v>0</v>
      </c>
      <c r="K6" s="140">
        <v>0</v>
      </c>
    </row>
    <row r="7" spans="1:11" x14ac:dyDescent="0.25">
      <c r="A7" s="100" t="s">
        <v>673</v>
      </c>
      <c r="B7" s="100" t="s">
        <v>657</v>
      </c>
      <c r="C7" s="214" t="s">
        <v>551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25">
      <c r="A8" s="100" t="s">
        <v>184</v>
      </c>
      <c r="B8" s="100" t="s">
        <v>474</v>
      </c>
      <c r="C8" s="214" t="s">
        <v>385</v>
      </c>
      <c r="D8" s="140">
        <v>-169164</v>
      </c>
      <c r="E8" s="140">
        <v>-24166.28</v>
      </c>
      <c r="F8" s="140">
        <v>-144997.72</v>
      </c>
      <c r="G8" s="140">
        <v>0</v>
      </c>
      <c r="H8" s="140">
        <v>-169164</v>
      </c>
      <c r="I8" s="140">
        <v>-24166.28</v>
      </c>
      <c r="J8" s="140">
        <v>-144997.72</v>
      </c>
      <c r="K8" s="140">
        <v>0</v>
      </c>
    </row>
    <row r="9" spans="1:11" x14ac:dyDescent="0.25">
      <c r="A9" s="100" t="s">
        <v>367</v>
      </c>
      <c r="B9" s="100" t="s">
        <v>462</v>
      </c>
      <c r="C9" s="214" t="s">
        <v>165</v>
      </c>
      <c r="D9" s="131">
        <v>0</v>
      </c>
      <c r="E9" s="131">
        <v>0</v>
      </c>
      <c r="F9" s="131">
        <v>0</v>
      </c>
      <c r="G9" s="140">
        <v>0</v>
      </c>
      <c r="H9" s="131">
        <v>0</v>
      </c>
      <c r="I9" s="131">
        <v>0</v>
      </c>
      <c r="J9" s="131">
        <v>0</v>
      </c>
      <c r="K9" s="140">
        <v>0</v>
      </c>
    </row>
    <row r="10" spans="1:11" x14ac:dyDescent="0.25">
      <c r="A10" s="100" t="s">
        <v>267</v>
      </c>
      <c r="B10" s="100" t="s">
        <v>529</v>
      </c>
      <c r="C10" s="214" t="s">
        <v>816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25">
      <c r="A11" s="100" t="s">
        <v>100</v>
      </c>
      <c r="B11" s="100" t="s">
        <v>549</v>
      </c>
      <c r="C11" s="214" t="s">
        <v>534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25">
      <c r="A12" s="100" t="s">
        <v>152</v>
      </c>
      <c r="B12" s="100" t="s">
        <v>155</v>
      </c>
      <c r="C12" s="214" t="s">
        <v>159</v>
      </c>
      <c r="D12" s="140">
        <v>1016876.65</v>
      </c>
      <c r="E12" s="140">
        <v>944426.78</v>
      </c>
      <c r="F12" s="140">
        <v>72449.87</v>
      </c>
      <c r="G12" s="140">
        <v>21246.03</v>
      </c>
      <c r="H12" s="140">
        <v>1016876.65</v>
      </c>
      <c r="I12" s="140">
        <v>944426.78</v>
      </c>
      <c r="J12" s="140">
        <v>72449.87</v>
      </c>
      <c r="K12" s="140">
        <v>21245</v>
      </c>
    </row>
    <row r="13" spans="1:11" x14ac:dyDescent="0.25">
      <c r="A13" s="100" t="s">
        <v>322</v>
      </c>
      <c r="B13" s="100" t="s">
        <v>630</v>
      </c>
      <c r="C13" s="214" t="s">
        <v>429</v>
      </c>
      <c r="D13" s="131">
        <v>0</v>
      </c>
      <c r="E13" s="131">
        <v>0</v>
      </c>
      <c r="F13" s="131">
        <v>0</v>
      </c>
      <c r="G13" s="140">
        <v>0</v>
      </c>
      <c r="H13" s="131">
        <v>0</v>
      </c>
      <c r="I13" s="131">
        <v>0</v>
      </c>
      <c r="J13" s="131">
        <v>0</v>
      </c>
      <c r="K13" s="140">
        <v>0</v>
      </c>
    </row>
    <row r="14" spans="1:11" x14ac:dyDescent="0.25">
      <c r="A14" s="100" t="s">
        <v>356</v>
      </c>
      <c r="B14" s="100" t="s">
        <v>141</v>
      </c>
      <c r="C14" s="214" t="s">
        <v>249</v>
      </c>
      <c r="D14" s="140">
        <v>68867.09</v>
      </c>
      <c r="E14" s="140">
        <v>68867.09</v>
      </c>
      <c r="F14" s="140">
        <v>0</v>
      </c>
      <c r="G14" s="140">
        <v>645.36</v>
      </c>
      <c r="H14" s="140">
        <v>68867.09</v>
      </c>
      <c r="I14" s="140">
        <v>68867.09</v>
      </c>
      <c r="J14" s="140">
        <v>0</v>
      </c>
      <c r="K14" s="140">
        <v>645</v>
      </c>
    </row>
    <row r="15" spans="1:11" x14ac:dyDescent="0.25">
      <c r="A15" s="100" t="s">
        <v>673</v>
      </c>
      <c r="B15" s="100" t="s">
        <v>579</v>
      </c>
      <c r="C15" s="214" t="s">
        <v>656</v>
      </c>
      <c r="D15" s="140">
        <v>948009.56</v>
      </c>
      <c r="E15" s="140">
        <v>875559.69</v>
      </c>
      <c r="F15" s="140">
        <v>72449.87</v>
      </c>
      <c r="G15" s="140">
        <v>20600.669999999998</v>
      </c>
      <c r="H15" s="140">
        <v>948009.56</v>
      </c>
      <c r="I15" s="140">
        <v>875559.69</v>
      </c>
      <c r="J15" s="140">
        <v>72449.87</v>
      </c>
      <c r="K15" s="140">
        <v>20600</v>
      </c>
    </row>
    <row r="16" spans="1:11" x14ac:dyDescent="0.25">
      <c r="A16" s="100" t="s">
        <v>184</v>
      </c>
      <c r="B16" s="100" t="s">
        <v>3</v>
      </c>
      <c r="C16" s="214" t="s">
        <v>489</v>
      </c>
      <c r="D16" s="131">
        <v>0</v>
      </c>
      <c r="E16" s="131">
        <v>0</v>
      </c>
      <c r="F16" s="131">
        <v>0</v>
      </c>
      <c r="G16" s="140">
        <v>0</v>
      </c>
      <c r="H16" s="131">
        <v>0</v>
      </c>
      <c r="I16" s="131">
        <v>0</v>
      </c>
      <c r="J16" s="131">
        <v>0</v>
      </c>
      <c r="K16" s="140">
        <v>0</v>
      </c>
    </row>
    <row r="17" spans="1:11" x14ac:dyDescent="0.25">
      <c r="A17" s="100" t="s">
        <v>367</v>
      </c>
      <c r="B17" s="100" t="s">
        <v>432</v>
      </c>
      <c r="C17" s="214" t="s">
        <v>27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25">
      <c r="A18" s="100" t="s">
        <v>267</v>
      </c>
      <c r="B18" s="100" t="s">
        <v>422</v>
      </c>
      <c r="C18" s="214" t="s">
        <v>414</v>
      </c>
      <c r="D18" s="131">
        <v>0</v>
      </c>
      <c r="E18" s="131">
        <v>0</v>
      </c>
      <c r="F18" s="131">
        <v>0</v>
      </c>
      <c r="G18" s="140">
        <v>0</v>
      </c>
      <c r="H18" s="131">
        <v>0</v>
      </c>
      <c r="I18" s="131">
        <v>0</v>
      </c>
      <c r="J18" s="131">
        <v>0</v>
      </c>
      <c r="K18" s="140">
        <v>0</v>
      </c>
    </row>
    <row r="19" spans="1:11" x14ac:dyDescent="0.25">
      <c r="A19" s="100" t="s">
        <v>100</v>
      </c>
      <c r="B19" s="100" t="s">
        <v>263</v>
      </c>
      <c r="C19" s="214" t="s">
        <v>222</v>
      </c>
      <c r="D19" s="140">
        <v>0</v>
      </c>
      <c r="E19" s="131">
        <v>0</v>
      </c>
      <c r="F19" s="140">
        <v>0</v>
      </c>
      <c r="G19" s="140">
        <v>0</v>
      </c>
      <c r="H19" s="140">
        <v>0</v>
      </c>
      <c r="I19" s="131">
        <v>0</v>
      </c>
      <c r="J19" s="140">
        <v>0</v>
      </c>
      <c r="K19" s="140">
        <v>0</v>
      </c>
    </row>
    <row r="20" spans="1:11" x14ac:dyDescent="0.25">
      <c r="A20" s="100" t="s">
        <v>351</v>
      </c>
      <c r="B20" s="100" t="s">
        <v>709</v>
      </c>
      <c r="C20" s="214" t="s">
        <v>562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25">
      <c r="A21" s="100" t="s">
        <v>191</v>
      </c>
      <c r="B21" s="100" t="s">
        <v>733</v>
      </c>
      <c r="C21" s="214" t="s">
        <v>31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25">
      <c r="A22" s="100" t="s">
        <v>819</v>
      </c>
      <c r="B22" s="100" t="s">
        <v>626</v>
      </c>
      <c r="C22" s="214" t="s">
        <v>877</v>
      </c>
      <c r="D22" s="140">
        <v>2344831.27</v>
      </c>
      <c r="E22" s="131">
        <v>0</v>
      </c>
      <c r="F22" s="140">
        <v>2344831.27</v>
      </c>
      <c r="G22" s="140">
        <v>2156312.9500000002</v>
      </c>
      <c r="H22" s="140">
        <v>2344831.27</v>
      </c>
      <c r="I22" s="131">
        <v>0</v>
      </c>
      <c r="J22" s="140">
        <v>2344831.27</v>
      </c>
      <c r="K22" s="140">
        <v>2156313</v>
      </c>
    </row>
    <row r="23" spans="1:11" x14ac:dyDescent="0.25">
      <c r="A23" s="100" t="s">
        <v>402</v>
      </c>
      <c r="B23" s="100" t="s">
        <v>73</v>
      </c>
      <c r="C23" s="214" t="s">
        <v>629</v>
      </c>
      <c r="D23" s="140">
        <v>2272518.21</v>
      </c>
      <c r="E23" s="131">
        <v>0</v>
      </c>
      <c r="F23" s="140">
        <v>2272518.21</v>
      </c>
      <c r="G23" s="140">
        <v>2077604.21</v>
      </c>
      <c r="H23" s="140">
        <v>2272518.21</v>
      </c>
      <c r="I23" s="131">
        <v>0</v>
      </c>
      <c r="J23" s="140">
        <v>2272518.21</v>
      </c>
      <c r="K23" s="140">
        <v>2077604</v>
      </c>
    </row>
    <row r="24" spans="1:11" x14ac:dyDescent="0.25">
      <c r="A24" s="100" t="s">
        <v>356</v>
      </c>
      <c r="B24" s="100" t="s">
        <v>365</v>
      </c>
      <c r="C24" s="214" t="s">
        <v>836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25">
      <c r="A25" s="100" t="s">
        <v>673</v>
      </c>
      <c r="B25" s="100" t="s">
        <v>68</v>
      </c>
      <c r="C25" s="214" t="s">
        <v>766</v>
      </c>
      <c r="D25" s="140">
        <v>0</v>
      </c>
      <c r="E25" s="131">
        <v>0</v>
      </c>
      <c r="F25" s="140">
        <v>0</v>
      </c>
      <c r="G25" s="140">
        <v>750</v>
      </c>
      <c r="H25" s="140">
        <v>0</v>
      </c>
      <c r="I25" s="131">
        <v>0</v>
      </c>
      <c r="J25" s="140">
        <v>0</v>
      </c>
      <c r="K25" s="140">
        <v>750</v>
      </c>
    </row>
    <row r="26" spans="1:11" x14ac:dyDescent="0.25">
      <c r="A26" s="100" t="s">
        <v>184</v>
      </c>
      <c r="B26" s="100" t="s">
        <v>398</v>
      </c>
      <c r="C26" s="214" t="s">
        <v>727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25">
      <c r="A27" s="100" t="s">
        <v>367</v>
      </c>
      <c r="B27" s="100" t="s">
        <v>830</v>
      </c>
      <c r="C27" s="214" t="s">
        <v>384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25">
      <c r="A28" s="100" t="s">
        <v>267</v>
      </c>
      <c r="B28" s="100" t="s">
        <v>129</v>
      </c>
      <c r="C28" s="214" t="s">
        <v>732</v>
      </c>
      <c r="D28" s="140">
        <v>72313.06</v>
      </c>
      <c r="E28" s="131">
        <v>0</v>
      </c>
      <c r="F28" s="140">
        <v>72313.06</v>
      </c>
      <c r="G28" s="140">
        <v>77958.740000000005</v>
      </c>
      <c r="H28" s="140">
        <v>72313.06</v>
      </c>
      <c r="I28" s="131">
        <v>0</v>
      </c>
      <c r="J28" s="140">
        <v>72313.06</v>
      </c>
      <c r="K28" s="140">
        <v>77959</v>
      </c>
    </row>
    <row r="29" spans="1:11" x14ac:dyDescent="0.25">
      <c r="A29" s="100" t="s">
        <v>100</v>
      </c>
      <c r="B29" s="100" t="s">
        <v>853</v>
      </c>
      <c r="C29" s="214" t="s">
        <v>393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25">
      <c r="A30" s="100" t="s">
        <v>351</v>
      </c>
      <c r="B30" s="100" t="s">
        <v>120</v>
      </c>
      <c r="C30" s="214" t="s">
        <v>701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25">
      <c r="A31" s="100" t="s">
        <v>191</v>
      </c>
      <c r="B31" s="100" t="s">
        <v>492</v>
      </c>
      <c r="C31" s="214" t="s">
        <v>466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25">
      <c r="A32" s="100" t="s">
        <v>243</v>
      </c>
      <c r="B32" s="100" t="s">
        <v>705</v>
      </c>
      <c r="C32" s="214" t="s">
        <v>546</v>
      </c>
      <c r="D32" s="140">
        <v>0</v>
      </c>
      <c r="E32" s="131">
        <v>0</v>
      </c>
      <c r="F32" s="140">
        <v>0</v>
      </c>
      <c r="G32" s="140">
        <v>0</v>
      </c>
      <c r="H32" s="140">
        <v>0</v>
      </c>
      <c r="I32" s="131">
        <v>0</v>
      </c>
      <c r="J32" s="140">
        <v>0</v>
      </c>
      <c r="K32" s="140">
        <v>0</v>
      </c>
    </row>
    <row r="33" spans="1:11" x14ac:dyDescent="0.25">
      <c r="A33" s="100" t="s">
        <v>770</v>
      </c>
      <c r="B33" s="100" t="s">
        <v>716</v>
      </c>
      <c r="C33" s="214" t="s">
        <v>628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25">
      <c r="A34" s="100" t="s">
        <v>289</v>
      </c>
      <c r="B34" s="100" t="s">
        <v>806</v>
      </c>
      <c r="C34" s="214" t="s">
        <v>481</v>
      </c>
      <c r="D34" s="140">
        <v>252959.54</v>
      </c>
      <c r="E34" s="140">
        <v>22430</v>
      </c>
      <c r="F34" s="140">
        <v>230529.54</v>
      </c>
      <c r="G34" s="140">
        <v>207923.58</v>
      </c>
      <c r="H34" s="140">
        <v>252959.54</v>
      </c>
      <c r="I34" s="140">
        <v>22430</v>
      </c>
      <c r="J34" s="140">
        <v>230529.54</v>
      </c>
      <c r="K34" s="140">
        <v>207923</v>
      </c>
    </row>
    <row r="35" spans="1:11" x14ac:dyDescent="0.25">
      <c r="A35" s="100" t="s">
        <v>828</v>
      </c>
      <c r="B35" s="100" t="s">
        <v>751</v>
      </c>
      <c r="C35" s="214" t="s">
        <v>315</v>
      </c>
      <c r="D35" s="131">
        <v>0</v>
      </c>
      <c r="E35" s="131">
        <v>0</v>
      </c>
      <c r="F35" s="131">
        <v>0</v>
      </c>
      <c r="G35" s="140">
        <v>0</v>
      </c>
      <c r="H35" s="131">
        <v>0</v>
      </c>
      <c r="I35" s="131">
        <v>0</v>
      </c>
      <c r="J35" s="131">
        <v>0</v>
      </c>
      <c r="K35" s="140">
        <v>0</v>
      </c>
    </row>
    <row r="36" spans="1:11" x14ac:dyDescent="0.25">
      <c r="A36" s="100" t="s">
        <v>32</v>
      </c>
      <c r="B36" s="100" t="s">
        <v>477</v>
      </c>
      <c r="C36" s="214" t="s">
        <v>304</v>
      </c>
      <c r="D36" s="131">
        <v>0</v>
      </c>
      <c r="E36" s="131">
        <v>0</v>
      </c>
      <c r="F36" s="131">
        <v>0</v>
      </c>
      <c r="G36" s="140">
        <v>0</v>
      </c>
      <c r="H36" s="131">
        <v>0</v>
      </c>
      <c r="I36" s="131">
        <v>0</v>
      </c>
      <c r="J36" s="131">
        <v>0</v>
      </c>
      <c r="K36" s="140">
        <v>0</v>
      </c>
    </row>
    <row r="37" spans="1:11" x14ac:dyDescent="0.25">
      <c r="A37" s="100" t="s">
        <v>356</v>
      </c>
      <c r="B37" s="100" t="s">
        <v>662</v>
      </c>
      <c r="C37" s="214" t="s">
        <v>284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25">
      <c r="A38" s="100" t="s">
        <v>673</v>
      </c>
      <c r="B38" s="100" t="s">
        <v>258</v>
      </c>
      <c r="C38" s="214" t="s">
        <v>344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25">
      <c r="A39" s="100" t="s">
        <v>184</v>
      </c>
      <c r="B39" s="100" t="s">
        <v>612</v>
      </c>
      <c r="C39" s="214" t="s">
        <v>65</v>
      </c>
      <c r="D39" s="131">
        <v>0</v>
      </c>
      <c r="E39" s="131">
        <v>0</v>
      </c>
      <c r="F39" s="131">
        <v>0</v>
      </c>
      <c r="G39" s="140">
        <v>0</v>
      </c>
      <c r="H39" s="131">
        <v>0</v>
      </c>
      <c r="I39" s="131">
        <v>0</v>
      </c>
      <c r="J39" s="131">
        <v>0</v>
      </c>
      <c r="K39" s="140">
        <v>0</v>
      </c>
    </row>
    <row r="40" spans="1:11" x14ac:dyDescent="0.25">
      <c r="A40" s="100" t="s">
        <v>367</v>
      </c>
      <c r="B40" s="100" t="s">
        <v>497</v>
      </c>
      <c r="C40" s="214" t="s">
        <v>361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25">
      <c r="A41" s="100" t="s">
        <v>267</v>
      </c>
      <c r="B41" s="100" t="s">
        <v>238</v>
      </c>
      <c r="C41" s="214" t="s">
        <v>511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25">
      <c r="A42" s="100" t="s">
        <v>494</v>
      </c>
      <c r="B42" s="100" t="s">
        <v>71</v>
      </c>
      <c r="C42" s="214" t="s">
        <v>235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25">
      <c r="A43" s="100" t="s">
        <v>645</v>
      </c>
      <c r="B43" s="100" t="s">
        <v>179</v>
      </c>
      <c r="C43" s="214" t="s">
        <v>482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25">
      <c r="A44" s="100" t="s">
        <v>580</v>
      </c>
      <c r="B44" s="100" t="s">
        <v>336</v>
      </c>
      <c r="C44" s="214" t="s">
        <v>792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25">
      <c r="A45" s="100" t="s">
        <v>559</v>
      </c>
      <c r="B45" s="100" t="s">
        <v>506</v>
      </c>
      <c r="C45" s="214" t="s">
        <v>594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25">
      <c r="A46" s="100" t="s">
        <v>525</v>
      </c>
      <c r="B46" s="100" t="s">
        <v>168</v>
      </c>
      <c r="C46" s="214" t="s">
        <v>62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25">
      <c r="A47" s="100" t="s">
        <v>356</v>
      </c>
      <c r="B47" s="100" t="s">
        <v>597</v>
      </c>
      <c r="C47" s="214" t="s">
        <v>143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25">
      <c r="A48" s="100" t="s">
        <v>673</v>
      </c>
      <c r="B48" s="100" t="s">
        <v>718</v>
      </c>
      <c r="C48" s="214" t="s">
        <v>457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25">
      <c r="A49" s="100" t="s">
        <v>184</v>
      </c>
      <c r="B49" s="100" t="s">
        <v>121</v>
      </c>
      <c r="C49" s="214" t="s">
        <v>544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25">
      <c r="A50" s="100" t="s">
        <v>367</v>
      </c>
      <c r="B50" s="100" t="s">
        <v>124</v>
      </c>
      <c r="C50" s="214" t="s">
        <v>74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25">
      <c r="A51" s="100" t="s">
        <v>267</v>
      </c>
      <c r="B51" s="100" t="s">
        <v>171</v>
      </c>
      <c r="C51" s="214" t="s">
        <v>409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25">
      <c r="A52" s="100" t="s">
        <v>100</v>
      </c>
      <c r="B52" s="100" t="s">
        <v>793</v>
      </c>
      <c r="C52" s="214" t="s">
        <v>79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25">
      <c r="A53" s="100" t="s">
        <v>351</v>
      </c>
      <c r="B53" s="100" t="s">
        <v>217</v>
      </c>
      <c r="C53" s="214" t="s">
        <v>20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25">
      <c r="A54" s="100" t="s">
        <v>461</v>
      </c>
      <c r="B54" s="100" t="s">
        <v>618</v>
      </c>
      <c r="C54" s="214" t="s">
        <v>444</v>
      </c>
      <c r="D54" s="140">
        <v>94471.039999999994</v>
      </c>
      <c r="E54" s="140">
        <v>22430</v>
      </c>
      <c r="F54" s="140">
        <v>72041.039999999994</v>
      </c>
      <c r="G54" s="140">
        <v>43268.09</v>
      </c>
      <c r="H54" s="140">
        <v>94471.039999999994</v>
      </c>
      <c r="I54" s="140">
        <v>22430</v>
      </c>
      <c r="J54" s="140">
        <v>72041.039999999994</v>
      </c>
      <c r="K54" s="140">
        <v>43268</v>
      </c>
    </row>
    <row r="55" spans="1:11" x14ac:dyDescent="0.25">
      <c r="A55" s="100" t="s">
        <v>609</v>
      </c>
      <c r="B55" s="100" t="s">
        <v>536</v>
      </c>
      <c r="C55" s="214" t="s">
        <v>437</v>
      </c>
      <c r="D55" s="140">
        <v>93384.08</v>
      </c>
      <c r="E55" s="140">
        <v>22430</v>
      </c>
      <c r="F55" s="140">
        <v>70954.080000000002</v>
      </c>
      <c r="G55" s="140">
        <v>32251.89</v>
      </c>
      <c r="H55" s="140">
        <v>93384.08</v>
      </c>
      <c r="I55" s="140">
        <v>22430</v>
      </c>
      <c r="J55" s="140">
        <v>70954.080000000002</v>
      </c>
      <c r="K55" s="140">
        <v>32252</v>
      </c>
    </row>
    <row r="56" spans="1:11" x14ac:dyDescent="0.25">
      <c r="A56" s="100" t="s">
        <v>580</v>
      </c>
      <c r="B56" s="100" t="s">
        <v>336</v>
      </c>
      <c r="C56" s="214" t="s">
        <v>864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25">
      <c r="A57" s="100" t="s">
        <v>559</v>
      </c>
      <c r="B57" s="100" t="s">
        <v>506</v>
      </c>
      <c r="C57" s="214" t="s">
        <v>16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25">
      <c r="A58" s="100" t="s">
        <v>525</v>
      </c>
      <c r="B58" s="100" t="s">
        <v>168</v>
      </c>
      <c r="C58" s="214" t="s">
        <v>858</v>
      </c>
      <c r="D58" s="140">
        <v>93384.08</v>
      </c>
      <c r="E58" s="140">
        <v>22430</v>
      </c>
      <c r="F58" s="140">
        <v>70954.080000000002</v>
      </c>
      <c r="G58" s="140">
        <v>32251.89</v>
      </c>
      <c r="H58" s="140">
        <v>93384.08</v>
      </c>
      <c r="I58" s="140">
        <v>22430</v>
      </c>
      <c r="J58" s="140">
        <v>70954.080000000002</v>
      </c>
      <c r="K58" s="140">
        <v>32252</v>
      </c>
    </row>
    <row r="59" spans="1:11" x14ac:dyDescent="0.25">
      <c r="A59" s="100" t="s">
        <v>356</v>
      </c>
      <c r="B59" s="100" t="s">
        <v>597</v>
      </c>
      <c r="C59" s="214" t="s">
        <v>557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25">
      <c r="A60" s="100" t="s">
        <v>673</v>
      </c>
      <c r="B60" s="100" t="s">
        <v>718</v>
      </c>
      <c r="C60" s="214" t="s">
        <v>192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25">
      <c r="A61" s="100" t="s">
        <v>184</v>
      </c>
      <c r="B61" s="100" t="s">
        <v>121</v>
      </c>
      <c r="C61" s="214" t="s">
        <v>646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25">
      <c r="A62" s="100" t="s">
        <v>367</v>
      </c>
      <c r="B62" s="100" t="s">
        <v>668</v>
      </c>
      <c r="C62" s="214" t="s">
        <v>637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25">
      <c r="A63" s="100" t="s">
        <v>267</v>
      </c>
      <c r="B63" s="100" t="s">
        <v>200</v>
      </c>
      <c r="C63" s="214" t="s">
        <v>46</v>
      </c>
      <c r="D63" s="140">
        <v>0</v>
      </c>
      <c r="E63" s="131">
        <v>0</v>
      </c>
      <c r="F63" s="140">
        <v>0</v>
      </c>
      <c r="G63" s="140">
        <v>0</v>
      </c>
      <c r="H63" s="140">
        <v>0</v>
      </c>
      <c r="I63" s="131">
        <v>0</v>
      </c>
      <c r="J63" s="140">
        <v>0</v>
      </c>
      <c r="K63" s="140">
        <v>0</v>
      </c>
    </row>
    <row r="64" spans="1:11" x14ac:dyDescent="0.25">
      <c r="A64" s="100" t="s">
        <v>100</v>
      </c>
      <c r="B64" s="100" t="s">
        <v>640</v>
      </c>
      <c r="C64" s="214" t="s">
        <v>443</v>
      </c>
      <c r="D64" s="140">
        <v>1086.96</v>
      </c>
      <c r="E64" s="131">
        <v>0</v>
      </c>
      <c r="F64" s="140">
        <v>1086.96</v>
      </c>
      <c r="G64" s="140">
        <v>1016.2</v>
      </c>
      <c r="H64" s="140">
        <v>1086.96</v>
      </c>
      <c r="I64" s="131">
        <v>0</v>
      </c>
      <c r="J64" s="140">
        <v>1086.96</v>
      </c>
      <c r="K64" s="140">
        <v>1016</v>
      </c>
    </row>
    <row r="65" spans="1:11" x14ac:dyDescent="0.25">
      <c r="A65" s="100" t="s">
        <v>351</v>
      </c>
      <c r="B65" s="100" t="s">
        <v>171</v>
      </c>
      <c r="C65" s="214" t="s">
        <v>146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25">
      <c r="A66" s="100" t="s">
        <v>191</v>
      </c>
      <c r="B66" s="100" t="s">
        <v>186</v>
      </c>
      <c r="C66" s="214" t="s">
        <v>638</v>
      </c>
      <c r="D66" s="140">
        <v>0</v>
      </c>
      <c r="E66" s="131">
        <v>0</v>
      </c>
      <c r="F66" s="140">
        <v>0</v>
      </c>
      <c r="G66" s="140">
        <v>10000</v>
      </c>
      <c r="H66" s="140">
        <v>0</v>
      </c>
      <c r="I66" s="131">
        <v>0</v>
      </c>
      <c r="J66" s="140">
        <v>0</v>
      </c>
      <c r="K66" s="140">
        <v>10000</v>
      </c>
    </row>
    <row r="67" spans="1:11" x14ac:dyDescent="0.25">
      <c r="A67" s="100" t="s">
        <v>247</v>
      </c>
      <c r="B67" s="100" t="s">
        <v>829</v>
      </c>
      <c r="C67" s="214" t="s">
        <v>521</v>
      </c>
      <c r="D67" s="131">
        <v>0</v>
      </c>
      <c r="E67" s="131">
        <v>0</v>
      </c>
      <c r="F67" s="131">
        <v>0</v>
      </c>
      <c r="G67" s="140">
        <v>0</v>
      </c>
      <c r="H67" s="131">
        <v>0</v>
      </c>
      <c r="I67" s="131">
        <v>0</v>
      </c>
      <c r="J67" s="131">
        <v>0</v>
      </c>
      <c r="K67" s="140">
        <v>0</v>
      </c>
    </row>
    <row r="68" spans="1:11" x14ac:dyDescent="0.25">
      <c r="A68" s="100" t="s">
        <v>119</v>
      </c>
      <c r="B68" s="100" t="s">
        <v>338</v>
      </c>
      <c r="C68" s="214" t="s">
        <v>870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25">
      <c r="A69" s="176" t="s">
        <v>356</v>
      </c>
      <c r="B69" s="176" t="s">
        <v>581</v>
      </c>
      <c r="C69" s="82" t="s">
        <v>523</v>
      </c>
      <c r="D69" s="6">
        <v>0</v>
      </c>
      <c r="E69" s="6">
        <v>0</v>
      </c>
      <c r="F69" s="6">
        <v>0</v>
      </c>
      <c r="G69" s="203">
        <v>0</v>
      </c>
      <c r="H69" s="6">
        <v>0</v>
      </c>
      <c r="I69" s="6">
        <v>0</v>
      </c>
      <c r="J69" s="6">
        <v>0</v>
      </c>
      <c r="K69" s="203">
        <v>0</v>
      </c>
    </row>
    <row r="70" spans="1:11" x14ac:dyDescent="0.25">
      <c r="A70" s="176" t="s">
        <v>673</v>
      </c>
      <c r="B70" s="176" t="s">
        <v>485</v>
      </c>
      <c r="C70" s="82" t="s">
        <v>50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25">
      <c r="A71" s="176" t="s">
        <v>184</v>
      </c>
      <c r="B71" s="176" t="s">
        <v>405</v>
      </c>
      <c r="C71" s="82" t="s">
        <v>241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25">
      <c r="A72" s="176" t="s">
        <v>330</v>
      </c>
      <c r="B72" s="176" t="s">
        <v>139</v>
      </c>
      <c r="C72" s="82" t="s">
        <v>349</v>
      </c>
      <c r="D72" s="203">
        <v>158488.5</v>
      </c>
      <c r="E72" s="6">
        <v>0</v>
      </c>
      <c r="F72" s="203">
        <v>158488.5</v>
      </c>
      <c r="G72" s="203">
        <v>164655.49</v>
      </c>
      <c r="H72" s="203">
        <v>158488.5</v>
      </c>
      <c r="I72" s="6">
        <v>0</v>
      </c>
      <c r="J72" s="203">
        <v>158488.5</v>
      </c>
      <c r="K72" s="203">
        <v>164655</v>
      </c>
    </row>
    <row r="73" spans="1:11" x14ac:dyDescent="0.25">
      <c r="A73" s="176" t="s">
        <v>611</v>
      </c>
      <c r="B73" s="176" t="s">
        <v>326</v>
      </c>
      <c r="C73" s="82" t="s">
        <v>503</v>
      </c>
      <c r="D73" s="203">
        <v>52549.97</v>
      </c>
      <c r="E73" s="6">
        <v>0</v>
      </c>
      <c r="F73" s="203">
        <v>52549.97</v>
      </c>
      <c r="G73" s="203">
        <v>16499.09</v>
      </c>
      <c r="H73" s="203">
        <v>52549.97</v>
      </c>
      <c r="I73" s="6">
        <v>0</v>
      </c>
      <c r="J73" s="203">
        <v>52549.97</v>
      </c>
      <c r="K73" s="203">
        <v>16499</v>
      </c>
    </row>
    <row r="74" spans="1:11" x14ac:dyDescent="0.25">
      <c r="A74" s="176" t="s">
        <v>356</v>
      </c>
      <c r="B74" s="176" t="s">
        <v>675</v>
      </c>
      <c r="C74" s="82" t="s">
        <v>498</v>
      </c>
      <c r="D74" s="203">
        <v>105938.53</v>
      </c>
      <c r="E74" s="6">
        <v>0</v>
      </c>
      <c r="F74" s="203">
        <v>105938.53</v>
      </c>
      <c r="G74" s="203">
        <v>148156.4</v>
      </c>
      <c r="H74" s="203">
        <v>105938.53</v>
      </c>
      <c r="I74" s="6">
        <v>0</v>
      </c>
      <c r="J74" s="203">
        <v>105938.53</v>
      </c>
      <c r="K74" s="203">
        <v>148156</v>
      </c>
    </row>
    <row r="75" spans="1:11" x14ac:dyDescent="0.25">
      <c r="A75" s="176" t="s">
        <v>855</v>
      </c>
      <c r="B75" s="176" t="s">
        <v>726</v>
      </c>
      <c r="C75" s="82" t="s">
        <v>176</v>
      </c>
      <c r="D75" s="203">
        <v>4671.46</v>
      </c>
      <c r="E75" s="6">
        <v>0</v>
      </c>
      <c r="F75" s="203">
        <v>4671.46</v>
      </c>
      <c r="G75" s="203">
        <v>13685.24</v>
      </c>
      <c r="H75" s="203">
        <v>4671.46</v>
      </c>
      <c r="I75" s="6">
        <v>0</v>
      </c>
      <c r="J75" s="203">
        <v>4671.46</v>
      </c>
      <c r="K75" s="203">
        <v>13685</v>
      </c>
    </row>
    <row r="76" spans="1:11" x14ac:dyDescent="0.25">
      <c r="A76" s="176" t="s">
        <v>664</v>
      </c>
      <c r="B76" s="176" t="s">
        <v>285</v>
      </c>
      <c r="C76" s="82" t="s">
        <v>154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25">
      <c r="A77" s="176" t="s">
        <v>356</v>
      </c>
      <c r="B77" s="176" t="s">
        <v>694</v>
      </c>
      <c r="C77" s="82" t="s">
        <v>287</v>
      </c>
      <c r="D77" s="203">
        <v>4671.46</v>
      </c>
      <c r="E77" s="6">
        <v>0</v>
      </c>
      <c r="F77" s="203">
        <v>4671.46</v>
      </c>
      <c r="G77" s="203">
        <v>13685.24</v>
      </c>
      <c r="H77" s="203">
        <v>4671.46</v>
      </c>
      <c r="I77" s="6">
        <v>0</v>
      </c>
      <c r="J77" s="203">
        <v>4671.46</v>
      </c>
      <c r="K77" s="203">
        <v>13685</v>
      </c>
    </row>
    <row r="78" spans="1:11" x14ac:dyDescent="0.25">
      <c r="A78" s="176" t="s">
        <v>673</v>
      </c>
      <c r="B78" s="176" t="s">
        <v>797</v>
      </c>
      <c r="C78" s="82" t="s">
        <v>224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25">
      <c r="A79" s="176" t="s">
        <v>184</v>
      </c>
      <c r="B79" s="176" t="s">
        <v>762</v>
      </c>
      <c r="C79" s="82" t="s">
        <v>271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3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885</v>
      </c>
      <c r="B1" s="11" t="s">
        <v>166</v>
      </c>
      <c r="C1" s="51" t="s">
        <v>44</v>
      </c>
      <c r="D1" s="152" t="s">
        <v>428</v>
      </c>
      <c r="E1" s="152" t="s">
        <v>259</v>
      </c>
      <c r="F1" s="152" t="s">
        <v>791</v>
      </c>
      <c r="G1" s="152" t="s">
        <v>369</v>
      </c>
    </row>
    <row r="2" spans="1:7" x14ac:dyDescent="0.25">
      <c r="A2" s="2" t="s">
        <v>552</v>
      </c>
      <c r="B2" s="2" t="s">
        <v>130</v>
      </c>
      <c r="C2" s="57" t="s">
        <v>394</v>
      </c>
      <c r="D2" s="171">
        <v>2507484.42</v>
      </c>
      <c r="E2" s="171">
        <v>2399167.7999999998</v>
      </c>
      <c r="F2" s="171">
        <v>2507484.42</v>
      </c>
      <c r="G2" s="171">
        <v>2399166</v>
      </c>
    </row>
    <row r="3" spans="1:7" x14ac:dyDescent="0.25">
      <c r="A3" s="2" t="s">
        <v>81</v>
      </c>
      <c r="B3" s="2" t="s">
        <v>860</v>
      </c>
      <c r="C3" s="57" t="s">
        <v>421</v>
      </c>
      <c r="D3" s="140">
        <v>2296512.69</v>
      </c>
      <c r="E3" s="140">
        <v>2310965.96</v>
      </c>
      <c r="F3" s="140">
        <v>2296512.69</v>
      </c>
      <c r="G3" s="140">
        <v>2310966</v>
      </c>
    </row>
    <row r="4" spans="1:7" x14ac:dyDescent="0.25">
      <c r="A4" s="2" t="s">
        <v>26</v>
      </c>
      <c r="B4" s="2" t="s">
        <v>163</v>
      </c>
      <c r="C4" s="57" t="s">
        <v>524</v>
      </c>
      <c r="D4" s="171">
        <v>257000</v>
      </c>
      <c r="E4" s="171">
        <v>257000</v>
      </c>
      <c r="F4" s="171">
        <v>257000</v>
      </c>
      <c r="G4" s="171">
        <v>257000</v>
      </c>
    </row>
    <row r="5" spans="1:7" x14ac:dyDescent="0.25">
      <c r="A5" s="2" t="s">
        <v>840</v>
      </c>
      <c r="B5" s="2" t="s">
        <v>295</v>
      </c>
      <c r="C5" s="57" t="s">
        <v>570</v>
      </c>
      <c r="D5" s="171">
        <v>257000</v>
      </c>
      <c r="E5" s="171">
        <v>257000</v>
      </c>
      <c r="F5" s="171">
        <v>257000</v>
      </c>
      <c r="G5" s="171">
        <v>257000</v>
      </c>
    </row>
    <row r="6" spans="1:7" x14ac:dyDescent="0.25">
      <c r="A6" s="2" t="s">
        <v>356</v>
      </c>
      <c r="B6" s="2" t="s">
        <v>436</v>
      </c>
      <c r="C6" s="57" t="s">
        <v>170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673</v>
      </c>
      <c r="B7" s="2" t="s">
        <v>739</v>
      </c>
      <c r="C7" s="57" t="s">
        <v>197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152</v>
      </c>
      <c r="B8" s="2" t="s">
        <v>245</v>
      </c>
      <c r="C8" s="57" t="s">
        <v>379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56</v>
      </c>
      <c r="B9" s="2" t="s">
        <v>838</v>
      </c>
      <c r="C9" s="57" t="s">
        <v>584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275</v>
      </c>
      <c r="B10" s="2" t="s">
        <v>736</v>
      </c>
      <c r="C10" s="57" t="s">
        <v>310</v>
      </c>
      <c r="D10" s="171">
        <v>54538.63</v>
      </c>
      <c r="E10" s="171">
        <v>54538.63</v>
      </c>
      <c r="F10" s="171">
        <v>54538.63</v>
      </c>
      <c r="G10" s="171">
        <v>54539</v>
      </c>
    </row>
    <row r="11" spans="1:7" x14ac:dyDescent="0.25">
      <c r="A11" s="2" t="s">
        <v>340</v>
      </c>
      <c r="B11" s="2" t="s">
        <v>358</v>
      </c>
      <c r="C11" s="57" t="s">
        <v>522</v>
      </c>
      <c r="D11" s="171">
        <v>54538.63</v>
      </c>
      <c r="E11" s="171">
        <v>54538.63</v>
      </c>
      <c r="F11" s="171">
        <v>54538.63</v>
      </c>
      <c r="G11" s="171">
        <v>54539</v>
      </c>
    </row>
    <row r="12" spans="1:7" x14ac:dyDescent="0.25">
      <c r="A12" s="2" t="s">
        <v>356</v>
      </c>
      <c r="B12" s="2" t="s">
        <v>296</v>
      </c>
      <c r="C12" s="57" t="s">
        <v>585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427</v>
      </c>
      <c r="B13" s="2" t="s">
        <v>33</v>
      </c>
      <c r="C13" s="57" t="s">
        <v>180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373</v>
      </c>
      <c r="B14" s="2" t="s">
        <v>849</v>
      </c>
      <c r="C14" s="57" t="s">
        <v>419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52</v>
      </c>
      <c r="B15" s="2" t="s">
        <v>586</v>
      </c>
      <c r="C15" s="57" t="s">
        <v>587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266</v>
      </c>
      <c r="B16" s="2" t="s">
        <v>767</v>
      </c>
      <c r="C16" s="57" t="s">
        <v>372</v>
      </c>
      <c r="D16" s="171">
        <v>1613225</v>
      </c>
      <c r="E16" s="171">
        <v>1613225</v>
      </c>
      <c r="F16" s="171">
        <v>1613225</v>
      </c>
      <c r="G16" s="171">
        <v>1613225</v>
      </c>
    </row>
    <row r="17" spans="1:7" x14ac:dyDescent="0.25">
      <c r="A17" s="2" t="s">
        <v>126</v>
      </c>
      <c r="B17" s="2" t="s">
        <v>23</v>
      </c>
      <c r="C17" s="57" t="s">
        <v>582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356</v>
      </c>
      <c r="B18" s="2" t="s">
        <v>748</v>
      </c>
      <c r="C18" s="57" t="s">
        <v>496</v>
      </c>
      <c r="D18" s="171">
        <v>1613225</v>
      </c>
      <c r="E18" s="171">
        <v>1613225</v>
      </c>
      <c r="F18" s="171">
        <v>1613225</v>
      </c>
      <c r="G18" s="171">
        <v>1613225</v>
      </c>
    </row>
    <row r="19" spans="1:7" x14ac:dyDescent="0.25">
      <c r="A19" s="2" t="s">
        <v>673</v>
      </c>
      <c r="B19" s="2" t="s">
        <v>106</v>
      </c>
      <c r="C19" s="57" t="s">
        <v>867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476</v>
      </c>
      <c r="B20" s="2" t="s">
        <v>223</v>
      </c>
      <c r="C20" s="57" t="s">
        <v>35</v>
      </c>
      <c r="D20" s="171">
        <v>382871.33</v>
      </c>
      <c r="E20" s="171">
        <v>313850.03999999998</v>
      </c>
      <c r="F20" s="171">
        <v>382871.33</v>
      </c>
      <c r="G20" s="171">
        <v>313850</v>
      </c>
    </row>
    <row r="21" spans="1:7" x14ac:dyDescent="0.25">
      <c r="A21" s="2" t="s">
        <v>347</v>
      </c>
      <c r="B21" s="2" t="s">
        <v>22</v>
      </c>
      <c r="C21" s="57" t="s">
        <v>299</v>
      </c>
      <c r="D21" s="171">
        <v>930198.92</v>
      </c>
      <c r="E21" s="171">
        <v>861177.63</v>
      </c>
      <c r="F21" s="171">
        <v>930198.92</v>
      </c>
      <c r="G21" s="171">
        <v>861178</v>
      </c>
    </row>
    <row r="22" spans="1:7" x14ac:dyDescent="0.25">
      <c r="A22" s="2" t="s">
        <v>356</v>
      </c>
      <c r="B22" s="2" t="s">
        <v>261</v>
      </c>
      <c r="C22" s="57" t="s">
        <v>374</v>
      </c>
      <c r="D22" s="171">
        <v>-547327.59</v>
      </c>
      <c r="E22" s="171">
        <v>-547327.59</v>
      </c>
      <c r="F22" s="171">
        <v>-547327.59</v>
      </c>
      <c r="G22" s="171">
        <v>-547328</v>
      </c>
    </row>
    <row r="23" spans="1:7" x14ac:dyDescent="0.25">
      <c r="A23" s="2" t="s">
        <v>833</v>
      </c>
      <c r="B23" s="2" t="s">
        <v>663</v>
      </c>
      <c r="C23" s="57" t="s">
        <v>82</v>
      </c>
      <c r="D23" s="171">
        <v>-11122.27</v>
      </c>
      <c r="E23" s="171">
        <v>72352.289999999994</v>
      </c>
      <c r="F23" s="171">
        <v>-11122.27</v>
      </c>
      <c r="G23" s="171">
        <v>72352</v>
      </c>
    </row>
    <row r="24" spans="1:7" x14ac:dyDescent="0.25">
      <c r="A24" s="2" t="s">
        <v>289</v>
      </c>
      <c r="B24" s="2" t="s">
        <v>854</v>
      </c>
      <c r="C24" s="57" t="s">
        <v>87</v>
      </c>
      <c r="D24" s="171">
        <v>124703.73</v>
      </c>
      <c r="E24" s="171">
        <v>88201.84</v>
      </c>
      <c r="F24" s="171">
        <v>124703.73</v>
      </c>
      <c r="G24" s="171">
        <v>88200</v>
      </c>
    </row>
    <row r="25" spans="1:7" x14ac:dyDescent="0.25">
      <c r="A25" s="2" t="s">
        <v>221</v>
      </c>
      <c r="B25" s="2" t="s">
        <v>719</v>
      </c>
      <c r="C25" s="57" t="s">
        <v>725</v>
      </c>
      <c r="D25" s="171">
        <v>75776.13</v>
      </c>
      <c r="E25" s="171">
        <v>18306.72</v>
      </c>
      <c r="F25" s="171">
        <v>75776.13</v>
      </c>
      <c r="G25" s="171">
        <v>18307</v>
      </c>
    </row>
    <row r="26" spans="1:7" x14ac:dyDescent="0.25">
      <c r="A26" s="2" t="s">
        <v>32</v>
      </c>
      <c r="B26" s="2" t="s">
        <v>25</v>
      </c>
      <c r="C26" s="57" t="s">
        <v>879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580</v>
      </c>
      <c r="B27" s="2" t="s">
        <v>773</v>
      </c>
      <c r="C27" s="57" t="s">
        <v>728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559</v>
      </c>
      <c r="B28" s="2" t="s">
        <v>80</v>
      </c>
      <c r="C28" s="57" t="s">
        <v>404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525</v>
      </c>
      <c r="B29" s="2" t="s">
        <v>183</v>
      </c>
      <c r="C29" s="57" t="s">
        <v>389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356</v>
      </c>
      <c r="B30" s="2" t="s">
        <v>597</v>
      </c>
      <c r="C30" s="57" t="s">
        <v>623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673</v>
      </c>
      <c r="B31" s="2" t="s">
        <v>617</v>
      </c>
      <c r="C31" s="57" t="s">
        <v>588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184</v>
      </c>
      <c r="B32" s="2" t="s">
        <v>483</v>
      </c>
      <c r="C32" s="57" t="s">
        <v>655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367</v>
      </c>
      <c r="B33" s="2" t="s">
        <v>872</v>
      </c>
      <c r="C33" s="57" t="s">
        <v>490</v>
      </c>
      <c r="D33" s="171">
        <v>74000</v>
      </c>
      <c r="E33" s="171">
        <v>14000</v>
      </c>
      <c r="F33" s="171">
        <v>74000</v>
      </c>
      <c r="G33" s="171">
        <v>14000</v>
      </c>
    </row>
    <row r="34" spans="1:7" x14ac:dyDescent="0.25">
      <c r="A34" s="2" t="s">
        <v>267</v>
      </c>
      <c r="B34" s="2" t="s">
        <v>413</v>
      </c>
      <c r="C34" s="57" t="s">
        <v>692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100</v>
      </c>
      <c r="B35" s="2" t="s">
        <v>132</v>
      </c>
      <c r="C35" s="57" t="s">
        <v>312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351</v>
      </c>
      <c r="B36" s="2" t="s">
        <v>172</v>
      </c>
      <c r="C36" s="57" t="s">
        <v>884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191</v>
      </c>
      <c r="B37" s="2" t="s">
        <v>452</v>
      </c>
      <c r="C37" s="57" t="s">
        <v>685</v>
      </c>
      <c r="D37" s="171">
        <v>1606.41</v>
      </c>
      <c r="E37" s="171">
        <v>1235.6099999999999</v>
      </c>
      <c r="F37" s="171">
        <v>1606.41</v>
      </c>
      <c r="G37" s="171">
        <v>1236</v>
      </c>
    </row>
    <row r="38" spans="1:7" x14ac:dyDescent="0.25">
      <c r="A38" s="2" t="s">
        <v>243</v>
      </c>
      <c r="B38" s="2" t="s">
        <v>620</v>
      </c>
      <c r="C38" s="57" t="s">
        <v>297</v>
      </c>
      <c r="D38" s="171">
        <v>169.72</v>
      </c>
      <c r="E38" s="171">
        <v>3071.11</v>
      </c>
      <c r="F38" s="171">
        <v>169.72</v>
      </c>
      <c r="G38" s="171">
        <v>3071</v>
      </c>
    </row>
    <row r="39" spans="1:7" x14ac:dyDescent="0.25">
      <c r="A39" s="2" t="s">
        <v>770</v>
      </c>
      <c r="B39" s="2" t="s">
        <v>642</v>
      </c>
      <c r="C39" s="57" t="s">
        <v>199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101</v>
      </c>
      <c r="B40" s="2" t="s">
        <v>708</v>
      </c>
      <c r="C40" s="57" t="s">
        <v>740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494</v>
      </c>
      <c r="B41" s="2" t="s">
        <v>334</v>
      </c>
      <c r="C41" s="57" t="s">
        <v>230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645</v>
      </c>
      <c r="B42" s="2" t="s">
        <v>352</v>
      </c>
      <c r="C42" s="57" t="s">
        <v>194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356</v>
      </c>
      <c r="B43" s="2" t="s">
        <v>469</v>
      </c>
      <c r="C43" s="57" t="s">
        <v>290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461</v>
      </c>
      <c r="B44" s="2" t="s">
        <v>473</v>
      </c>
      <c r="C44" s="57" t="s">
        <v>465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247</v>
      </c>
      <c r="B45" s="2" t="s">
        <v>240</v>
      </c>
      <c r="C45" s="57" t="s">
        <v>131</v>
      </c>
      <c r="D45" s="171">
        <v>41015.31</v>
      </c>
      <c r="E45" s="171">
        <v>61861.13</v>
      </c>
      <c r="F45" s="171">
        <v>41015.31</v>
      </c>
      <c r="G45" s="171">
        <v>61859</v>
      </c>
    </row>
    <row r="46" spans="1:7" x14ac:dyDescent="0.25">
      <c r="A46" s="2" t="s">
        <v>213</v>
      </c>
      <c r="B46" s="2" t="s">
        <v>116</v>
      </c>
      <c r="C46" s="57" t="s">
        <v>268</v>
      </c>
      <c r="D46" s="171">
        <v>10364.950000000001</v>
      </c>
      <c r="E46" s="171">
        <v>16947.830000000002</v>
      </c>
      <c r="F46" s="171">
        <v>10364.950000000001</v>
      </c>
      <c r="G46" s="171">
        <v>16945</v>
      </c>
    </row>
    <row r="47" spans="1:7" x14ac:dyDescent="0.25">
      <c r="A47" s="2" t="s">
        <v>580</v>
      </c>
      <c r="B47" s="2" t="s">
        <v>591</v>
      </c>
      <c r="C47" s="57" t="s">
        <v>216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559</v>
      </c>
      <c r="B48" s="2" t="s">
        <v>122</v>
      </c>
      <c r="C48" s="57" t="s">
        <v>514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525</v>
      </c>
      <c r="B49" s="2" t="s">
        <v>209</v>
      </c>
      <c r="C49" s="57" t="s">
        <v>501</v>
      </c>
      <c r="D49" s="171">
        <v>10364.950000000001</v>
      </c>
      <c r="E49" s="171">
        <v>16947.830000000002</v>
      </c>
      <c r="F49" s="171">
        <v>10364.950000000001</v>
      </c>
      <c r="G49" s="171">
        <v>16945</v>
      </c>
    </row>
    <row r="50" spans="1:7" x14ac:dyDescent="0.25">
      <c r="A50" s="2" t="s">
        <v>356</v>
      </c>
      <c r="B50" s="2" t="s">
        <v>597</v>
      </c>
      <c r="C50" s="57" t="s">
        <v>737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673</v>
      </c>
      <c r="B51" s="2" t="s">
        <v>510</v>
      </c>
      <c r="C51" s="57" t="s">
        <v>114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184</v>
      </c>
      <c r="B52" s="2" t="s">
        <v>666</v>
      </c>
      <c r="C52" s="57" t="s">
        <v>49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367</v>
      </c>
      <c r="B53" s="2" t="s">
        <v>851</v>
      </c>
      <c r="C53" s="57" t="s">
        <v>134</v>
      </c>
      <c r="D53" s="171">
        <v>0</v>
      </c>
      <c r="E53" s="171">
        <v>0</v>
      </c>
      <c r="F53" s="171">
        <v>0</v>
      </c>
      <c r="G53" s="171">
        <v>0</v>
      </c>
    </row>
    <row r="54" spans="1:7" x14ac:dyDescent="0.25">
      <c r="A54" s="2" t="s">
        <v>267</v>
      </c>
      <c r="B54" s="2" t="s">
        <v>605</v>
      </c>
      <c r="C54" s="57" t="s">
        <v>225</v>
      </c>
      <c r="D54" s="171">
        <v>6096.84</v>
      </c>
      <c r="E54" s="171">
        <v>6085.81</v>
      </c>
      <c r="F54" s="171">
        <v>6096.84</v>
      </c>
      <c r="G54" s="171">
        <v>6086</v>
      </c>
    </row>
    <row r="55" spans="1:7" x14ac:dyDescent="0.25">
      <c r="A55" s="2" t="s">
        <v>100</v>
      </c>
      <c r="B55" s="2" t="s">
        <v>366</v>
      </c>
      <c r="C55" s="57" t="s">
        <v>286</v>
      </c>
      <c r="D55" s="171">
        <v>6339.24</v>
      </c>
      <c r="E55" s="171">
        <v>14046.67</v>
      </c>
      <c r="F55" s="171">
        <v>6339.24</v>
      </c>
      <c r="G55" s="171">
        <v>14047</v>
      </c>
    </row>
    <row r="56" spans="1:7" x14ac:dyDescent="0.25">
      <c r="A56" s="2" t="s">
        <v>351</v>
      </c>
      <c r="B56" s="2" t="s">
        <v>689</v>
      </c>
      <c r="C56" s="57" t="s">
        <v>886</v>
      </c>
      <c r="D56" s="171">
        <v>17292.41</v>
      </c>
      <c r="E56" s="171">
        <v>20727.259999999998</v>
      </c>
      <c r="F56" s="171">
        <v>17292.41</v>
      </c>
      <c r="G56" s="171">
        <v>20727</v>
      </c>
    </row>
    <row r="57" spans="1:7" x14ac:dyDescent="0.25">
      <c r="A57" s="2" t="s">
        <v>191</v>
      </c>
      <c r="B57" s="2" t="s">
        <v>775</v>
      </c>
      <c r="C57" s="57" t="s">
        <v>820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243</v>
      </c>
      <c r="B58" s="2" t="s">
        <v>636</v>
      </c>
      <c r="C58" s="57" t="s">
        <v>680</v>
      </c>
      <c r="D58" s="171">
        <v>921.87</v>
      </c>
      <c r="E58" s="171">
        <v>4053.56</v>
      </c>
      <c r="F58" s="171">
        <v>921.87</v>
      </c>
      <c r="G58" s="171">
        <v>4054</v>
      </c>
    </row>
    <row r="59" spans="1:7" x14ac:dyDescent="0.25">
      <c r="A59" s="2" t="s">
        <v>330</v>
      </c>
      <c r="B59" s="2" t="s">
        <v>614</v>
      </c>
      <c r="C59" s="57" t="s">
        <v>556</v>
      </c>
      <c r="D59" s="171">
        <v>7912.29</v>
      </c>
      <c r="E59" s="171">
        <v>8033.99</v>
      </c>
      <c r="F59" s="171">
        <v>7912.29</v>
      </c>
      <c r="G59" s="171">
        <v>8034</v>
      </c>
    </row>
    <row r="60" spans="1:7" x14ac:dyDescent="0.25">
      <c r="A60" s="2" t="s">
        <v>611</v>
      </c>
      <c r="B60" s="2" t="s">
        <v>19</v>
      </c>
      <c r="C60" s="57" t="s">
        <v>794</v>
      </c>
      <c r="D60" s="171">
        <v>7912.29</v>
      </c>
      <c r="E60" s="171">
        <v>8033.99</v>
      </c>
      <c r="F60" s="171">
        <v>7912.29</v>
      </c>
      <c r="G60" s="171">
        <v>8034</v>
      </c>
    </row>
    <row r="61" spans="1:7" x14ac:dyDescent="0.25">
      <c r="A61" s="2" t="s">
        <v>356</v>
      </c>
      <c r="B61" s="2" t="s">
        <v>868</v>
      </c>
      <c r="C61" s="57" t="s">
        <v>631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63</v>
      </c>
      <c r="B62" s="2" t="s">
        <v>831</v>
      </c>
      <c r="C62" s="57" t="s">
        <v>813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123</v>
      </c>
      <c r="B63" s="2" t="s">
        <v>370</v>
      </c>
      <c r="C63" s="57" t="s">
        <v>12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855</v>
      </c>
      <c r="B64" s="2" t="s">
        <v>621</v>
      </c>
      <c r="C64" s="57" t="s">
        <v>449</v>
      </c>
      <c r="D64" s="171">
        <v>86268</v>
      </c>
      <c r="E64" s="171">
        <v>0</v>
      </c>
      <c r="F64" s="171">
        <v>86268</v>
      </c>
      <c r="G64" s="171">
        <v>0</v>
      </c>
    </row>
    <row r="65" spans="1:7" x14ac:dyDescent="0.25">
      <c r="A65" s="2" t="s">
        <v>871</v>
      </c>
      <c r="B65" s="2" t="s">
        <v>435</v>
      </c>
      <c r="C65" s="57" t="s">
        <v>464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356</v>
      </c>
      <c r="B66" s="2" t="s">
        <v>442</v>
      </c>
      <c r="C66" s="57" t="s">
        <v>734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673</v>
      </c>
      <c r="B67" s="2" t="s">
        <v>837</v>
      </c>
      <c r="C67" s="57" t="s">
        <v>560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184</v>
      </c>
      <c r="B68" s="2" t="s">
        <v>174</v>
      </c>
      <c r="C68" s="57" t="s">
        <v>676</v>
      </c>
      <c r="D68" s="171">
        <v>86268</v>
      </c>
      <c r="E68" s="171">
        <v>0</v>
      </c>
      <c r="F68" s="171">
        <v>86268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885</v>
      </c>
      <c r="B1" s="11" t="s">
        <v>771</v>
      </c>
      <c r="C1" s="51" t="s">
        <v>44</v>
      </c>
      <c r="D1" s="152" t="s">
        <v>415</v>
      </c>
      <c r="E1" s="152" t="s">
        <v>211</v>
      </c>
      <c r="F1" s="152" t="s">
        <v>787</v>
      </c>
      <c r="G1" s="152" t="s">
        <v>401</v>
      </c>
      <c r="H1" s="152" t="s">
        <v>509</v>
      </c>
      <c r="I1" s="152" t="s">
        <v>187</v>
      </c>
      <c r="J1" s="152" t="s">
        <v>683</v>
      </c>
      <c r="K1" s="152" t="s">
        <v>369</v>
      </c>
    </row>
    <row r="2" spans="1:11" x14ac:dyDescent="0.25">
      <c r="A2" s="2" t="s">
        <v>552</v>
      </c>
      <c r="B2" s="2" t="s">
        <v>137</v>
      </c>
      <c r="C2" s="57" t="s">
        <v>201</v>
      </c>
      <c r="D2" s="171">
        <v>3354484.92</v>
      </c>
      <c r="E2" s="171">
        <v>955317.12</v>
      </c>
      <c r="F2" s="171">
        <v>2399167.7999999998</v>
      </c>
      <c r="G2" s="171">
        <v>2371816.15</v>
      </c>
      <c r="H2" s="171">
        <v>3354484.92</v>
      </c>
      <c r="I2" s="171">
        <v>955317.12</v>
      </c>
      <c r="J2" s="171">
        <v>2399167.7999999998</v>
      </c>
      <c r="K2" s="171">
        <v>2371815</v>
      </c>
    </row>
    <row r="3" spans="1:11" x14ac:dyDescent="0.25">
      <c r="A3" s="2" t="s">
        <v>81</v>
      </c>
      <c r="B3" s="2" t="s">
        <v>475</v>
      </c>
      <c r="C3" s="57" t="s">
        <v>639</v>
      </c>
      <c r="D3" s="140">
        <v>3107222.4</v>
      </c>
      <c r="E3" s="140">
        <v>929663.42</v>
      </c>
      <c r="F3" s="140">
        <v>2177558.98</v>
      </c>
      <c r="G3" s="140">
        <v>2193090.77</v>
      </c>
      <c r="H3" s="140">
        <v>3107222.4</v>
      </c>
      <c r="I3" s="140">
        <v>929663.42</v>
      </c>
      <c r="J3" s="140">
        <v>2177558.98</v>
      </c>
      <c r="K3" s="140">
        <v>2193090</v>
      </c>
    </row>
    <row r="4" spans="1:11" x14ac:dyDescent="0.25">
      <c r="A4" s="2" t="s">
        <v>26</v>
      </c>
      <c r="B4" s="2" t="s">
        <v>242</v>
      </c>
      <c r="C4" s="57" t="s">
        <v>248</v>
      </c>
      <c r="D4" s="157">
        <v>0</v>
      </c>
      <c r="E4" s="157">
        <v>0</v>
      </c>
      <c r="F4" s="157">
        <v>0</v>
      </c>
      <c r="G4" s="171">
        <v>0</v>
      </c>
      <c r="H4" s="157">
        <v>0</v>
      </c>
      <c r="I4" s="157">
        <v>0</v>
      </c>
      <c r="J4" s="157">
        <v>0</v>
      </c>
      <c r="K4" s="171">
        <v>0</v>
      </c>
    </row>
    <row r="5" spans="1:11" x14ac:dyDescent="0.25">
      <c r="A5" s="2" t="s">
        <v>103</v>
      </c>
      <c r="B5" s="2" t="s">
        <v>541</v>
      </c>
      <c r="C5" s="57" t="s">
        <v>450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356</v>
      </c>
      <c r="B6" s="2" t="s">
        <v>383</v>
      </c>
      <c r="C6" s="57" t="s">
        <v>735</v>
      </c>
      <c r="D6" s="157">
        <v>0</v>
      </c>
      <c r="E6" s="157">
        <v>0</v>
      </c>
      <c r="F6" s="157">
        <v>0</v>
      </c>
      <c r="G6" s="171">
        <v>0</v>
      </c>
      <c r="H6" s="157">
        <v>0</v>
      </c>
      <c r="I6" s="157">
        <v>0</v>
      </c>
      <c r="J6" s="157">
        <v>0</v>
      </c>
      <c r="K6" s="171">
        <v>0</v>
      </c>
    </row>
    <row r="7" spans="1:11" x14ac:dyDescent="0.25">
      <c r="A7" s="2" t="s">
        <v>673</v>
      </c>
      <c r="B7" s="2" t="s">
        <v>657</v>
      </c>
      <c r="C7" s="57" t="s">
        <v>551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184</v>
      </c>
      <c r="B8" s="2" t="s">
        <v>474</v>
      </c>
      <c r="C8" s="57" t="s">
        <v>385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367</v>
      </c>
      <c r="B9" s="2" t="s">
        <v>462</v>
      </c>
      <c r="C9" s="57" t="s">
        <v>165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267</v>
      </c>
      <c r="B10" s="2" t="s">
        <v>529</v>
      </c>
      <c r="C10" s="57" t="s">
        <v>816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100</v>
      </c>
      <c r="B11" s="2" t="s">
        <v>549</v>
      </c>
      <c r="C11" s="57" t="s">
        <v>534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152</v>
      </c>
      <c r="B12" s="2" t="s">
        <v>155</v>
      </c>
      <c r="C12" s="57" t="s">
        <v>159</v>
      </c>
      <c r="D12" s="171">
        <v>950909.45</v>
      </c>
      <c r="E12" s="171">
        <v>929663.42</v>
      </c>
      <c r="F12" s="171">
        <v>21246.03</v>
      </c>
      <c r="G12" s="171">
        <v>36998.879999999997</v>
      </c>
      <c r="H12" s="171">
        <v>950909.45</v>
      </c>
      <c r="I12" s="171">
        <v>929663.42</v>
      </c>
      <c r="J12" s="171">
        <v>21246.03</v>
      </c>
      <c r="K12" s="171">
        <v>36998</v>
      </c>
    </row>
    <row r="13" spans="1:11" x14ac:dyDescent="0.25">
      <c r="A13" s="2" t="s">
        <v>322</v>
      </c>
      <c r="B13" s="2" t="s">
        <v>630</v>
      </c>
      <c r="C13" s="57" t="s">
        <v>429</v>
      </c>
      <c r="D13" s="157">
        <v>0</v>
      </c>
      <c r="E13" s="157">
        <v>0</v>
      </c>
      <c r="F13" s="157">
        <v>0</v>
      </c>
      <c r="G13" s="171">
        <v>0</v>
      </c>
      <c r="H13" s="157">
        <v>0</v>
      </c>
      <c r="I13" s="157">
        <v>0</v>
      </c>
      <c r="J13" s="157">
        <v>0</v>
      </c>
      <c r="K13" s="171">
        <v>0</v>
      </c>
    </row>
    <row r="14" spans="1:11" x14ac:dyDescent="0.25">
      <c r="A14" s="2" t="s">
        <v>356</v>
      </c>
      <c r="B14" s="2" t="s">
        <v>141</v>
      </c>
      <c r="C14" s="57" t="s">
        <v>249</v>
      </c>
      <c r="D14" s="171">
        <v>68867.09</v>
      </c>
      <c r="E14" s="171">
        <v>68221.73</v>
      </c>
      <c r="F14" s="171">
        <v>645.36</v>
      </c>
      <c r="G14" s="171">
        <v>1437.36</v>
      </c>
      <c r="H14" s="171">
        <v>68867.09</v>
      </c>
      <c r="I14" s="171">
        <v>68221.73</v>
      </c>
      <c r="J14" s="171">
        <v>645.36</v>
      </c>
      <c r="K14" s="171">
        <v>1437</v>
      </c>
    </row>
    <row r="15" spans="1:11" x14ac:dyDescent="0.25">
      <c r="A15" s="2" t="s">
        <v>673</v>
      </c>
      <c r="B15" s="2" t="s">
        <v>579</v>
      </c>
      <c r="C15" s="57" t="s">
        <v>656</v>
      </c>
      <c r="D15" s="171">
        <v>882042.36</v>
      </c>
      <c r="E15" s="171">
        <v>861441.69</v>
      </c>
      <c r="F15" s="171">
        <v>20600.669999999998</v>
      </c>
      <c r="G15" s="171">
        <v>35561.519999999997</v>
      </c>
      <c r="H15" s="171">
        <v>882042.36</v>
      </c>
      <c r="I15" s="171">
        <v>861441.69</v>
      </c>
      <c r="J15" s="171">
        <v>20600.669999999998</v>
      </c>
      <c r="K15" s="171">
        <v>35561</v>
      </c>
    </row>
    <row r="16" spans="1:11" x14ac:dyDescent="0.25">
      <c r="A16" s="2" t="s">
        <v>184</v>
      </c>
      <c r="B16" s="2" t="s">
        <v>3</v>
      </c>
      <c r="C16" s="57" t="s">
        <v>489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367</v>
      </c>
      <c r="B17" s="2" t="s">
        <v>432</v>
      </c>
      <c r="C17" s="57" t="s">
        <v>27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267</v>
      </c>
      <c r="B18" s="2" t="s">
        <v>422</v>
      </c>
      <c r="C18" s="57" t="s">
        <v>414</v>
      </c>
      <c r="D18" s="157">
        <v>0</v>
      </c>
      <c r="E18" s="157">
        <v>0</v>
      </c>
      <c r="F18" s="157">
        <v>0</v>
      </c>
      <c r="G18" s="171">
        <v>0</v>
      </c>
      <c r="H18" s="157">
        <v>0</v>
      </c>
      <c r="I18" s="157">
        <v>0</v>
      </c>
      <c r="J18" s="157">
        <v>0</v>
      </c>
      <c r="K18" s="171">
        <v>0</v>
      </c>
    </row>
    <row r="19" spans="1:11" x14ac:dyDescent="0.25">
      <c r="A19" s="2" t="s">
        <v>100</v>
      </c>
      <c r="B19" s="2" t="s">
        <v>263</v>
      </c>
      <c r="C19" s="57" t="s">
        <v>222</v>
      </c>
      <c r="D19" s="157">
        <v>0</v>
      </c>
      <c r="E19" s="157">
        <v>0</v>
      </c>
      <c r="F19" s="157">
        <v>0</v>
      </c>
      <c r="G19" s="171">
        <v>0</v>
      </c>
      <c r="H19" s="157">
        <v>0</v>
      </c>
      <c r="I19" s="157">
        <v>0</v>
      </c>
      <c r="J19" s="157">
        <v>0</v>
      </c>
      <c r="K19" s="171">
        <v>0</v>
      </c>
    </row>
    <row r="20" spans="1:11" x14ac:dyDescent="0.25">
      <c r="A20" s="2" t="s">
        <v>351</v>
      </c>
      <c r="B20" s="2" t="s">
        <v>709</v>
      </c>
      <c r="C20" s="57" t="s">
        <v>562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191</v>
      </c>
      <c r="B21" s="2" t="s">
        <v>733</v>
      </c>
      <c r="C21" s="57" t="s">
        <v>31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819</v>
      </c>
      <c r="B22" s="2" t="s">
        <v>626</v>
      </c>
      <c r="C22" s="57" t="s">
        <v>877</v>
      </c>
      <c r="D22" s="171">
        <v>2156312.9500000002</v>
      </c>
      <c r="E22" s="157">
        <v>0</v>
      </c>
      <c r="F22" s="171">
        <v>2156312.9500000002</v>
      </c>
      <c r="G22" s="171">
        <v>2156091.89</v>
      </c>
      <c r="H22" s="171">
        <v>2156312.9500000002</v>
      </c>
      <c r="I22" s="157">
        <v>0</v>
      </c>
      <c r="J22" s="171">
        <v>2156312.9500000002</v>
      </c>
      <c r="K22" s="171">
        <v>2156092</v>
      </c>
    </row>
    <row r="23" spans="1:11" x14ac:dyDescent="0.25">
      <c r="A23" s="2" t="s">
        <v>402</v>
      </c>
      <c r="B23" s="2" t="s">
        <v>73</v>
      </c>
      <c r="C23" s="57" t="s">
        <v>629</v>
      </c>
      <c r="D23" s="171">
        <v>2077604.21</v>
      </c>
      <c r="E23" s="157">
        <v>0</v>
      </c>
      <c r="F23" s="171">
        <v>2077604.21</v>
      </c>
      <c r="G23" s="171">
        <v>2077604.21</v>
      </c>
      <c r="H23" s="171">
        <v>2077604.21</v>
      </c>
      <c r="I23" s="157">
        <v>0</v>
      </c>
      <c r="J23" s="171">
        <v>2077604.21</v>
      </c>
      <c r="K23" s="171">
        <v>2077604</v>
      </c>
    </row>
    <row r="24" spans="1:11" x14ac:dyDescent="0.25">
      <c r="A24" s="2" t="s">
        <v>356</v>
      </c>
      <c r="B24" s="2" t="s">
        <v>365</v>
      </c>
      <c r="C24" s="57" t="s">
        <v>836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673</v>
      </c>
      <c r="B25" s="2" t="s">
        <v>68</v>
      </c>
      <c r="C25" s="57" t="s">
        <v>766</v>
      </c>
      <c r="D25" s="171">
        <v>750</v>
      </c>
      <c r="E25" s="157">
        <v>0</v>
      </c>
      <c r="F25" s="171">
        <v>750</v>
      </c>
      <c r="G25" s="171">
        <v>750</v>
      </c>
      <c r="H25" s="171">
        <v>750</v>
      </c>
      <c r="I25" s="157">
        <v>0</v>
      </c>
      <c r="J25" s="171">
        <v>750</v>
      </c>
      <c r="K25" s="171">
        <v>750</v>
      </c>
    </row>
    <row r="26" spans="1:11" x14ac:dyDescent="0.25">
      <c r="A26" s="2" t="s">
        <v>184</v>
      </c>
      <c r="B26" s="2" t="s">
        <v>398</v>
      </c>
      <c r="C26" s="57" t="s">
        <v>727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367</v>
      </c>
      <c r="B27" s="2" t="s">
        <v>830</v>
      </c>
      <c r="C27" s="57" t="s">
        <v>384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267</v>
      </c>
      <c r="B28" s="2" t="s">
        <v>129</v>
      </c>
      <c r="C28" s="57" t="s">
        <v>732</v>
      </c>
      <c r="D28" s="171">
        <v>77958.740000000005</v>
      </c>
      <c r="E28" s="157">
        <v>0</v>
      </c>
      <c r="F28" s="171">
        <v>77958.740000000005</v>
      </c>
      <c r="G28" s="171">
        <v>77737.679999999993</v>
      </c>
      <c r="H28" s="171">
        <v>77958.740000000005</v>
      </c>
      <c r="I28" s="157">
        <v>0</v>
      </c>
      <c r="J28" s="171">
        <v>77958.740000000005</v>
      </c>
      <c r="K28" s="171">
        <v>77738</v>
      </c>
    </row>
    <row r="29" spans="1:11" x14ac:dyDescent="0.25">
      <c r="A29" s="2" t="s">
        <v>100</v>
      </c>
      <c r="B29" s="2" t="s">
        <v>853</v>
      </c>
      <c r="C29" s="57" t="s">
        <v>393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351</v>
      </c>
      <c r="B30" s="2" t="s">
        <v>120</v>
      </c>
      <c r="C30" s="57" t="s">
        <v>701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191</v>
      </c>
      <c r="B31" s="2" t="s">
        <v>492</v>
      </c>
      <c r="C31" s="57" t="s">
        <v>466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243</v>
      </c>
      <c r="B32" s="2" t="s">
        <v>705</v>
      </c>
      <c r="C32" s="57" t="s">
        <v>546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770</v>
      </c>
      <c r="B33" s="2" t="s">
        <v>716</v>
      </c>
      <c r="C33" s="57" t="s">
        <v>628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289</v>
      </c>
      <c r="B34" s="2" t="s">
        <v>806</v>
      </c>
      <c r="C34" s="57" t="s">
        <v>481</v>
      </c>
      <c r="D34" s="171">
        <v>233577.28</v>
      </c>
      <c r="E34" s="171">
        <v>25653.7</v>
      </c>
      <c r="F34" s="171">
        <v>207923.58</v>
      </c>
      <c r="G34" s="171">
        <v>153304.67000000001</v>
      </c>
      <c r="H34" s="171">
        <v>233577.28</v>
      </c>
      <c r="I34" s="171">
        <v>25653.7</v>
      </c>
      <c r="J34" s="171">
        <v>207923.58</v>
      </c>
      <c r="K34" s="171">
        <v>153304</v>
      </c>
    </row>
    <row r="35" spans="1:11" x14ac:dyDescent="0.25">
      <c r="A35" s="2" t="s">
        <v>828</v>
      </c>
      <c r="B35" s="2" t="s">
        <v>751</v>
      </c>
      <c r="C35" s="57" t="s">
        <v>315</v>
      </c>
      <c r="D35" s="157">
        <v>0</v>
      </c>
      <c r="E35" s="157">
        <v>0</v>
      </c>
      <c r="F35" s="157">
        <v>0</v>
      </c>
      <c r="G35" s="171">
        <v>0</v>
      </c>
      <c r="H35" s="157">
        <v>0</v>
      </c>
      <c r="I35" s="157">
        <v>0</v>
      </c>
      <c r="J35" s="157">
        <v>0</v>
      </c>
      <c r="K35" s="171">
        <v>0</v>
      </c>
    </row>
    <row r="36" spans="1:11" x14ac:dyDescent="0.25">
      <c r="A36" s="2" t="s">
        <v>32</v>
      </c>
      <c r="B36" s="2" t="s">
        <v>477</v>
      </c>
      <c r="C36" s="57" t="s">
        <v>304</v>
      </c>
      <c r="D36" s="157">
        <v>0</v>
      </c>
      <c r="E36" s="157">
        <v>0</v>
      </c>
      <c r="F36" s="157">
        <v>0</v>
      </c>
      <c r="G36" s="171">
        <v>0</v>
      </c>
      <c r="H36" s="157">
        <v>0</v>
      </c>
      <c r="I36" s="157">
        <v>0</v>
      </c>
      <c r="J36" s="157">
        <v>0</v>
      </c>
      <c r="K36" s="171">
        <v>0</v>
      </c>
    </row>
    <row r="37" spans="1:11" x14ac:dyDescent="0.25">
      <c r="A37" s="2" t="s">
        <v>356</v>
      </c>
      <c r="B37" s="2" t="s">
        <v>662</v>
      </c>
      <c r="C37" s="57" t="s">
        <v>284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673</v>
      </c>
      <c r="B38" s="2" t="s">
        <v>258</v>
      </c>
      <c r="C38" s="57" t="s">
        <v>344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184</v>
      </c>
      <c r="B39" s="2" t="s">
        <v>612</v>
      </c>
      <c r="C39" s="57" t="s">
        <v>65</v>
      </c>
      <c r="D39" s="157">
        <v>0</v>
      </c>
      <c r="E39" s="157">
        <v>0</v>
      </c>
      <c r="F39" s="157">
        <v>0</v>
      </c>
      <c r="G39" s="171">
        <v>0</v>
      </c>
      <c r="H39" s="157">
        <v>0</v>
      </c>
      <c r="I39" s="157">
        <v>0</v>
      </c>
      <c r="J39" s="157">
        <v>0</v>
      </c>
      <c r="K39" s="171">
        <v>0</v>
      </c>
    </row>
    <row r="40" spans="1:11" x14ac:dyDescent="0.25">
      <c r="A40" s="2" t="s">
        <v>367</v>
      </c>
      <c r="B40" s="2" t="s">
        <v>497</v>
      </c>
      <c r="C40" s="57" t="s">
        <v>361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267</v>
      </c>
      <c r="B41" s="2" t="s">
        <v>238</v>
      </c>
      <c r="C41" s="57" t="s">
        <v>511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494</v>
      </c>
      <c r="B42" s="2" t="s">
        <v>71</v>
      </c>
      <c r="C42" s="57" t="s">
        <v>235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645</v>
      </c>
      <c r="B43" s="2" t="s">
        <v>179</v>
      </c>
      <c r="C43" s="57" t="s">
        <v>482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580</v>
      </c>
      <c r="B44" s="2" t="s">
        <v>336</v>
      </c>
      <c r="C44" s="57" t="s">
        <v>792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559</v>
      </c>
      <c r="B45" s="2" t="s">
        <v>506</v>
      </c>
      <c r="C45" s="57" t="s">
        <v>594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525</v>
      </c>
      <c r="B46" s="2" t="s">
        <v>168</v>
      </c>
      <c r="C46" s="57" t="s">
        <v>62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356</v>
      </c>
      <c r="B47" s="2" t="s">
        <v>597</v>
      </c>
      <c r="C47" s="57" t="s">
        <v>143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673</v>
      </c>
      <c r="B48" s="2" t="s">
        <v>718</v>
      </c>
      <c r="C48" s="57" t="s">
        <v>457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184</v>
      </c>
      <c r="B49" s="2" t="s">
        <v>121</v>
      </c>
      <c r="C49" s="57" t="s">
        <v>544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367</v>
      </c>
      <c r="B50" s="2" t="s">
        <v>124</v>
      </c>
      <c r="C50" s="57" t="s">
        <v>74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267</v>
      </c>
      <c r="B51" s="2" t="s">
        <v>171</v>
      </c>
      <c r="C51" s="57" t="s">
        <v>409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100</v>
      </c>
      <c r="B52" s="2" t="s">
        <v>793</v>
      </c>
      <c r="C52" s="57" t="s">
        <v>79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351</v>
      </c>
      <c r="B53" s="2" t="s">
        <v>217</v>
      </c>
      <c r="C53" s="57" t="s">
        <v>20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461</v>
      </c>
      <c r="B54" s="2" t="s">
        <v>618</v>
      </c>
      <c r="C54" s="57" t="s">
        <v>444</v>
      </c>
      <c r="D54" s="171">
        <v>68921.789999999994</v>
      </c>
      <c r="E54" s="171">
        <v>25653.7</v>
      </c>
      <c r="F54" s="171">
        <v>43268.09</v>
      </c>
      <c r="G54" s="171">
        <v>68816.94</v>
      </c>
      <c r="H54" s="171">
        <v>68921.789999999994</v>
      </c>
      <c r="I54" s="171">
        <v>25653.7</v>
      </c>
      <c r="J54" s="171">
        <v>43268.09</v>
      </c>
      <c r="K54" s="171">
        <v>68816</v>
      </c>
    </row>
    <row r="55" spans="1:11" x14ac:dyDescent="0.25">
      <c r="A55" s="2" t="s">
        <v>609</v>
      </c>
      <c r="B55" s="2" t="s">
        <v>536</v>
      </c>
      <c r="C55" s="57" t="s">
        <v>437</v>
      </c>
      <c r="D55" s="171">
        <v>57905.59</v>
      </c>
      <c r="E55" s="171">
        <v>25653.7</v>
      </c>
      <c r="F55" s="171">
        <v>32251.89</v>
      </c>
      <c r="G55" s="171">
        <v>30827.69</v>
      </c>
      <c r="H55" s="171">
        <v>57905.59</v>
      </c>
      <c r="I55" s="171">
        <v>25653.7</v>
      </c>
      <c r="J55" s="171">
        <v>32251.89</v>
      </c>
      <c r="K55" s="171">
        <v>30827</v>
      </c>
    </row>
    <row r="56" spans="1:11" x14ac:dyDescent="0.25">
      <c r="A56" s="2" t="s">
        <v>580</v>
      </c>
      <c r="B56" s="2" t="s">
        <v>336</v>
      </c>
      <c r="C56" s="57" t="s">
        <v>864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559</v>
      </c>
      <c r="B57" s="2" t="s">
        <v>506</v>
      </c>
      <c r="C57" s="57" t="s">
        <v>16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525</v>
      </c>
      <c r="B58" s="2" t="s">
        <v>168</v>
      </c>
      <c r="C58" s="57" t="s">
        <v>858</v>
      </c>
      <c r="D58" s="171">
        <v>57905.59</v>
      </c>
      <c r="E58" s="171">
        <v>25653.7</v>
      </c>
      <c r="F58" s="171">
        <v>32251.89</v>
      </c>
      <c r="G58" s="171">
        <v>30827.69</v>
      </c>
      <c r="H58" s="171">
        <v>57905.59</v>
      </c>
      <c r="I58" s="171">
        <v>25653.7</v>
      </c>
      <c r="J58" s="171">
        <v>32251.89</v>
      </c>
      <c r="K58" s="171">
        <v>30827</v>
      </c>
    </row>
    <row r="59" spans="1:11" x14ac:dyDescent="0.25">
      <c r="A59" s="2" t="s">
        <v>356</v>
      </c>
      <c r="B59" s="2" t="s">
        <v>597</v>
      </c>
      <c r="C59" s="57" t="s">
        <v>557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673</v>
      </c>
      <c r="B60" s="2" t="s">
        <v>718</v>
      </c>
      <c r="C60" s="57" t="s">
        <v>192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184</v>
      </c>
      <c r="B61" s="2" t="s">
        <v>121</v>
      </c>
      <c r="C61" s="57" t="s">
        <v>646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367</v>
      </c>
      <c r="B62" s="2" t="s">
        <v>668</v>
      </c>
      <c r="C62" s="57" t="s">
        <v>637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267</v>
      </c>
      <c r="B63" s="2" t="s">
        <v>200</v>
      </c>
      <c r="C63" s="57" t="s">
        <v>46</v>
      </c>
      <c r="D63" s="171">
        <v>0</v>
      </c>
      <c r="E63" s="157">
        <v>0</v>
      </c>
      <c r="F63" s="171">
        <v>0</v>
      </c>
      <c r="G63" s="171">
        <v>0</v>
      </c>
      <c r="H63" s="171">
        <v>0</v>
      </c>
      <c r="I63" s="157">
        <v>0</v>
      </c>
      <c r="J63" s="171">
        <v>0</v>
      </c>
      <c r="K63" s="171">
        <v>0</v>
      </c>
    </row>
    <row r="64" spans="1:11" x14ac:dyDescent="0.25">
      <c r="A64" s="2" t="s">
        <v>100</v>
      </c>
      <c r="B64" s="2" t="s">
        <v>640</v>
      </c>
      <c r="C64" s="57" t="s">
        <v>443</v>
      </c>
      <c r="D64" s="171">
        <v>1016.2</v>
      </c>
      <c r="E64" s="157">
        <v>0</v>
      </c>
      <c r="F64" s="171">
        <v>1016.2</v>
      </c>
      <c r="G64" s="171">
        <v>18639.25</v>
      </c>
      <c r="H64" s="171">
        <v>1016.2</v>
      </c>
      <c r="I64" s="157">
        <v>0</v>
      </c>
      <c r="J64" s="171">
        <v>1016.2</v>
      </c>
      <c r="K64" s="171">
        <v>18639</v>
      </c>
    </row>
    <row r="65" spans="1:11" x14ac:dyDescent="0.25">
      <c r="A65" s="2" t="s">
        <v>351</v>
      </c>
      <c r="B65" s="2" t="s">
        <v>171</v>
      </c>
      <c r="C65" s="57" t="s">
        <v>146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191</v>
      </c>
      <c r="B66" s="2" t="s">
        <v>186</v>
      </c>
      <c r="C66" s="57" t="s">
        <v>638</v>
      </c>
      <c r="D66" s="171">
        <v>10000</v>
      </c>
      <c r="E66" s="157">
        <v>0</v>
      </c>
      <c r="F66" s="171">
        <v>10000</v>
      </c>
      <c r="G66" s="171">
        <v>19350</v>
      </c>
      <c r="H66" s="171">
        <v>10000</v>
      </c>
      <c r="I66" s="157">
        <v>0</v>
      </c>
      <c r="J66" s="171">
        <v>10000</v>
      </c>
      <c r="K66" s="171">
        <v>19350</v>
      </c>
    </row>
    <row r="67" spans="1:11" x14ac:dyDescent="0.25">
      <c r="A67" s="2" t="s">
        <v>247</v>
      </c>
      <c r="B67" s="2" t="s">
        <v>829</v>
      </c>
      <c r="C67" s="57" t="s">
        <v>521</v>
      </c>
      <c r="D67" s="157">
        <v>0</v>
      </c>
      <c r="E67" s="157">
        <v>0</v>
      </c>
      <c r="F67" s="157">
        <v>0</v>
      </c>
      <c r="G67" s="171">
        <v>0</v>
      </c>
      <c r="H67" s="157">
        <v>0</v>
      </c>
      <c r="I67" s="157">
        <v>0</v>
      </c>
      <c r="J67" s="157">
        <v>0</v>
      </c>
      <c r="K67" s="171">
        <v>0</v>
      </c>
    </row>
    <row r="68" spans="1:11" x14ac:dyDescent="0.25">
      <c r="A68" s="2" t="s">
        <v>119</v>
      </c>
      <c r="B68" s="2" t="s">
        <v>338</v>
      </c>
      <c r="C68" s="57" t="s">
        <v>870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356</v>
      </c>
      <c r="B69" s="2" t="s">
        <v>581</v>
      </c>
      <c r="C69" s="57" t="s">
        <v>523</v>
      </c>
      <c r="D69" s="157">
        <v>0</v>
      </c>
      <c r="E69" s="157">
        <v>0</v>
      </c>
      <c r="F69" s="157">
        <v>0</v>
      </c>
      <c r="G69" s="171">
        <v>0</v>
      </c>
      <c r="H69" s="157">
        <v>0</v>
      </c>
      <c r="I69" s="157">
        <v>0</v>
      </c>
      <c r="J69" s="157">
        <v>0</v>
      </c>
      <c r="K69" s="171">
        <v>0</v>
      </c>
    </row>
    <row r="70" spans="1:11" x14ac:dyDescent="0.25">
      <c r="A70" s="2" t="s">
        <v>673</v>
      </c>
      <c r="B70" s="2" t="s">
        <v>485</v>
      </c>
      <c r="C70" s="57" t="s">
        <v>50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184</v>
      </c>
      <c r="B71" s="2" t="s">
        <v>405</v>
      </c>
      <c r="C71" s="57" t="s">
        <v>241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330</v>
      </c>
      <c r="B72" s="2" t="s">
        <v>139</v>
      </c>
      <c r="C72" s="57" t="s">
        <v>349</v>
      </c>
      <c r="D72" s="171">
        <v>164655.49</v>
      </c>
      <c r="E72" s="157">
        <v>0</v>
      </c>
      <c r="F72" s="171">
        <v>164655.49</v>
      </c>
      <c r="G72" s="171">
        <v>84487.73</v>
      </c>
      <c r="H72" s="171">
        <v>164655.49</v>
      </c>
      <c r="I72" s="157">
        <v>0</v>
      </c>
      <c r="J72" s="171">
        <v>164655.49</v>
      </c>
      <c r="K72" s="171">
        <v>84488</v>
      </c>
    </row>
    <row r="73" spans="1:11" x14ac:dyDescent="0.25">
      <c r="A73" s="2" t="s">
        <v>611</v>
      </c>
      <c r="B73" s="2" t="s">
        <v>326</v>
      </c>
      <c r="C73" s="57" t="s">
        <v>503</v>
      </c>
      <c r="D73" s="171">
        <v>16499.09</v>
      </c>
      <c r="E73" s="157">
        <v>0</v>
      </c>
      <c r="F73" s="171">
        <v>16499.09</v>
      </c>
      <c r="G73" s="171">
        <v>3200.54</v>
      </c>
      <c r="H73" s="171">
        <v>16499.09</v>
      </c>
      <c r="I73" s="157">
        <v>0</v>
      </c>
      <c r="J73" s="171">
        <v>16499.09</v>
      </c>
      <c r="K73" s="171">
        <v>3201</v>
      </c>
    </row>
    <row r="74" spans="1:11" x14ac:dyDescent="0.25">
      <c r="A74" s="2" t="s">
        <v>356</v>
      </c>
      <c r="B74" s="2" t="s">
        <v>675</v>
      </c>
      <c r="C74" s="57" t="s">
        <v>498</v>
      </c>
      <c r="D74" s="171">
        <v>148156.4</v>
      </c>
      <c r="E74" s="157">
        <v>0</v>
      </c>
      <c r="F74" s="171">
        <v>148156.4</v>
      </c>
      <c r="G74" s="171">
        <v>81287.19</v>
      </c>
      <c r="H74" s="171">
        <v>148156.4</v>
      </c>
      <c r="I74" s="157">
        <v>0</v>
      </c>
      <c r="J74" s="171">
        <v>148156.4</v>
      </c>
      <c r="K74" s="171">
        <v>81287</v>
      </c>
    </row>
    <row r="75" spans="1:11" x14ac:dyDescent="0.25">
      <c r="A75" s="2" t="s">
        <v>855</v>
      </c>
      <c r="B75" s="2" t="s">
        <v>726</v>
      </c>
      <c r="C75" s="57" t="s">
        <v>176</v>
      </c>
      <c r="D75" s="171">
        <v>13685.24</v>
      </c>
      <c r="E75" s="157">
        <v>0</v>
      </c>
      <c r="F75" s="171">
        <v>13685.24</v>
      </c>
      <c r="G75" s="171">
        <v>25420.71</v>
      </c>
      <c r="H75" s="171">
        <v>13685.24</v>
      </c>
      <c r="I75" s="157">
        <v>0</v>
      </c>
      <c r="J75" s="171">
        <v>13685.24</v>
      </c>
      <c r="K75" s="171">
        <v>25421</v>
      </c>
    </row>
    <row r="76" spans="1:11" x14ac:dyDescent="0.25">
      <c r="A76" s="2" t="s">
        <v>664</v>
      </c>
      <c r="B76" s="2" t="s">
        <v>285</v>
      </c>
      <c r="C76" s="57" t="s">
        <v>154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356</v>
      </c>
      <c r="B77" s="2" t="s">
        <v>694</v>
      </c>
      <c r="C77" s="57" t="s">
        <v>287</v>
      </c>
      <c r="D77" s="171">
        <v>13685.24</v>
      </c>
      <c r="E77" s="157">
        <v>0</v>
      </c>
      <c r="F77" s="171">
        <v>13685.24</v>
      </c>
      <c r="G77" s="171">
        <v>25420.71</v>
      </c>
      <c r="H77" s="171">
        <v>13685.24</v>
      </c>
      <c r="I77" s="157">
        <v>0</v>
      </c>
      <c r="J77" s="171">
        <v>13685.24</v>
      </c>
      <c r="K77" s="171">
        <v>25421</v>
      </c>
    </row>
    <row r="78" spans="1:11" x14ac:dyDescent="0.25">
      <c r="A78" s="2" t="s">
        <v>673</v>
      </c>
      <c r="B78" s="2" t="s">
        <v>797</v>
      </c>
      <c r="C78" s="57" t="s">
        <v>224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184</v>
      </c>
      <c r="B79" s="2" t="s">
        <v>762</v>
      </c>
      <c r="C79" s="57" t="s">
        <v>271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885</v>
      </c>
      <c r="B1" s="11" t="s">
        <v>166</v>
      </c>
      <c r="C1" s="51" t="s">
        <v>44</v>
      </c>
      <c r="D1" s="152" t="s">
        <v>428</v>
      </c>
      <c r="E1" s="152" t="s">
        <v>259</v>
      </c>
      <c r="F1" s="152" t="s">
        <v>791</v>
      </c>
      <c r="G1" s="152" t="s">
        <v>369</v>
      </c>
    </row>
    <row r="2" spans="1:7" x14ac:dyDescent="0.25">
      <c r="A2" s="2" t="s">
        <v>552</v>
      </c>
      <c r="B2" s="2" t="s">
        <v>130</v>
      </c>
      <c r="C2" s="57" t="s">
        <v>394</v>
      </c>
      <c r="D2" s="171">
        <v>2399167.7999999998</v>
      </c>
      <c r="E2" s="171">
        <v>2371816.15</v>
      </c>
      <c r="F2" s="171">
        <v>2399167.7999999998</v>
      </c>
      <c r="G2" s="171">
        <v>2371815</v>
      </c>
    </row>
    <row r="3" spans="1:7" x14ac:dyDescent="0.25">
      <c r="A3" s="2" t="s">
        <v>81</v>
      </c>
      <c r="B3" s="2" t="s">
        <v>860</v>
      </c>
      <c r="C3" s="57" t="s">
        <v>421</v>
      </c>
      <c r="D3" s="140">
        <v>2310965.96</v>
      </c>
      <c r="E3" s="140">
        <v>2238613.67</v>
      </c>
      <c r="F3" s="140">
        <v>2310965.96</v>
      </c>
      <c r="G3" s="140">
        <v>2238614</v>
      </c>
    </row>
    <row r="4" spans="1:7" x14ac:dyDescent="0.25">
      <c r="A4" s="2" t="s">
        <v>26</v>
      </c>
      <c r="B4" s="2" t="s">
        <v>163</v>
      </c>
      <c r="C4" s="57" t="s">
        <v>524</v>
      </c>
      <c r="D4" s="171">
        <v>257000</v>
      </c>
      <c r="E4" s="171">
        <v>257000</v>
      </c>
      <c r="F4" s="171">
        <v>257000</v>
      </c>
      <c r="G4" s="171">
        <v>257000</v>
      </c>
    </row>
    <row r="5" spans="1:7" x14ac:dyDescent="0.25">
      <c r="A5" s="2" t="s">
        <v>840</v>
      </c>
      <c r="B5" s="2" t="s">
        <v>295</v>
      </c>
      <c r="C5" s="57" t="s">
        <v>570</v>
      </c>
      <c r="D5" s="171">
        <v>257000</v>
      </c>
      <c r="E5" s="171">
        <v>257000</v>
      </c>
      <c r="F5" s="171">
        <v>257000</v>
      </c>
      <c r="G5" s="171">
        <v>257000</v>
      </c>
    </row>
    <row r="6" spans="1:7" x14ac:dyDescent="0.25">
      <c r="A6" s="2" t="s">
        <v>356</v>
      </c>
      <c r="B6" s="2" t="s">
        <v>436</v>
      </c>
      <c r="C6" s="57" t="s">
        <v>170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673</v>
      </c>
      <c r="B7" s="2" t="s">
        <v>739</v>
      </c>
      <c r="C7" s="57" t="s">
        <v>197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152</v>
      </c>
      <c r="B8" s="2" t="s">
        <v>245</v>
      </c>
      <c r="C8" s="57" t="s">
        <v>379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56</v>
      </c>
      <c r="B9" s="2" t="s">
        <v>838</v>
      </c>
      <c r="C9" s="57" t="s">
        <v>584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275</v>
      </c>
      <c r="B10" s="2" t="s">
        <v>736</v>
      </c>
      <c r="C10" s="57" t="s">
        <v>310</v>
      </c>
      <c r="D10" s="171">
        <v>54538.63</v>
      </c>
      <c r="E10" s="171">
        <v>54538.63</v>
      </c>
      <c r="F10" s="171">
        <v>54538.63</v>
      </c>
      <c r="G10" s="171">
        <v>54539</v>
      </c>
    </row>
    <row r="11" spans="1:7" x14ac:dyDescent="0.25">
      <c r="A11" s="2" t="s">
        <v>340</v>
      </c>
      <c r="B11" s="2" t="s">
        <v>358</v>
      </c>
      <c r="C11" s="57" t="s">
        <v>522</v>
      </c>
      <c r="D11" s="171">
        <v>54538.63</v>
      </c>
      <c r="E11" s="171">
        <v>54538.63</v>
      </c>
      <c r="F11" s="171">
        <v>54538.63</v>
      </c>
      <c r="G11" s="171">
        <v>54539</v>
      </c>
    </row>
    <row r="12" spans="1:7" x14ac:dyDescent="0.25">
      <c r="A12" s="2" t="s">
        <v>356</v>
      </c>
      <c r="B12" s="2" t="s">
        <v>296</v>
      </c>
      <c r="C12" s="57" t="s">
        <v>585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427</v>
      </c>
      <c r="B13" s="2" t="s">
        <v>33</v>
      </c>
      <c r="C13" s="57" t="s">
        <v>180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373</v>
      </c>
      <c r="B14" s="2" t="s">
        <v>849</v>
      </c>
      <c r="C14" s="57" t="s">
        <v>419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52</v>
      </c>
      <c r="B15" s="2" t="s">
        <v>586</v>
      </c>
      <c r="C15" s="57" t="s">
        <v>587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266</v>
      </c>
      <c r="B16" s="2" t="s">
        <v>767</v>
      </c>
      <c r="C16" s="57" t="s">
        <v>372</v>
      </c>
      <c r="D16" s="171">
        <v>1613225</v>
      </c>
      <c r="E16" s="171">
        <v>1613225</v>
      </c>
      <c r="F16" s="171">
        <v>1613225</v>
      </c>
      <c r="G16" s="171">
        <v>1613225</v>
      </c>
    </row>
    <row r="17" spans="1:7" x14ac:dyDescent="0.25">
      <c r="A17" s="2" t="s">
        <v>126</v>
      </c>
      <c r="B17" s="2" t="s">
        <v>23</v>
      </c>
      <c r="C17" s="57" t="s">
        <v>582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356</v>
      </c>
      <c r="B18" s="2" t="s">
        <v>748</v>
      </c>
      <c r="C18" s="57" t="s">
        <v>496</v>
      </c>
      <c r="D18" s="171">
        <v>1613225</v>
      </c>
      <c r="E18" s="171">
        <v>1613225</v>
      </c>
      <c r="F18" s="171">
        <v>1613225</v>
      </c>
      <c r="G18" s="171">
        <v>1613225</v>
      </c>
    </row>
    <row r="19" spans="1:7" x14ac:dyDescent="0.25">
      <c r="A19" s="2" t="s">
        <v>673</v>
      </c>
      <c r="B19" s="2" t="s">
        <v>106</v>
      </c>
      <c r="C19" s="57" t="s">
        <v>867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476</v>
      </c>
      <c r="B20" s="2" t="s">
        <v>223</v>
      </c>
      <c r="C20" s="57" t="s">
        <v>35</v>
      </c>
      <c r="D20" s="171">
        <v>313850.03999999998</v>
      </c>
      <c r="E20" s="171">
        <v>381356.86</v>
      </c>
      <c r="F20" s="171">
        <v>313850.03999999998</v>
      </c>
      <c r="G20" s="171">
        <v>381357</v>
      </c>
    </row>
    <row r="21" spans="1:7" x14ac:dyDescent="0.25">
      <c r="A21" s="2" t="s">
        <v>347</v>
      </c>
      <c r="B21" s="2" t="s">
        <v>22</v>
      </c>
      <c r="C21" s="57" t="s">
        <v>299</v>
      </c>
      <c r="D21" s="171">
        <v>861177.63</v>
      </c>
      <c r="E21" s="171">
        <v>861177.63</v>
      </c>
      <c r="F21" s="171">
        <v>861177.63</v>
      </c>
      <c r="G21" s="171">
        <v>861178</v>
      </c>
    </row>
    <row r="22" spans="1:7" x14ac:dyDescent="0.25">
      <c r="A22" s="2" t="s">
        <v>356</v>
      </c>
      <c r="B22" s="2" t="s">
        <v>261</v>
      </c>
      <c r="C22" s="57" t="s">
        <v>374</v>
      </c>
      <c r="D22" s="171">
        <v>-547327.59</v>
      </c>
      <c r="E22" s="171">
        <v>-479820.77</v>
      </c>
      <c r="F22" s="171">
        <v>-547327.59</v>
      </c>
      <c r="G22" s="171">
        <v>-479821</v>
      </c>
    </row>
    <row r="23" spans="1:7" x14ac:dyDescent="0.25">
      <c r="A23" s="2" t="s">
        <v>833</v>
      </c>
      <c r="B23" s="2" t="s">
        <v>663</v>
      </c>
      <c r="C23" s="57" t="s">
        <v>82</v>
      </c>
      <c r="D23" s="171">
        <v>72352.289999999994</v>
      </c>
      <c r="E23" s="171">
        <v>-67506.820000000007</v>
      </c>
      <c r="F23" s="171">
        <v>72352.289999999994</v>
      </c>
      <c r="G23" s="171">
        <v>-67507</v>
      </c>
    </row>
    <row r="24" spans="1:7" x14ac:dyDescent="0.25">
      <c r="A24" s="2" t="s">
        <v>289</v>
      </c>
      <c r="B24" s="2" t="s">
        <v>854</v>
      </c>
      <c r="C24" s="57" t="s">
        <v>87</v>
      </c>
      <c r="D24" s="171">
        <v>88201.84</v>
      </c>
      <c r="E24" s="171">
        <v>133202.48000000001</v>
      </c>
      <c r="F24" s="171">
        <v>88201.84</v>
      </c>
      <c r="G24" s="171">
        <v>133201</v>
      </c>
    </row>
    <row r="25" spans="1:7" x14ac:dyDescent="0.25">
      <c r="A25" s="2" t="s">
        <v>221</v>
      </c>
      <c r="B25" s="2" t="s">
        <v>719</v>
      </c>
      <c r="C25" s="57" t="s">
        <v>725</v>
      </c>
      <c r="D25" s="171">
        <v>18306.72</v>
      </c>
      <c r="E25" s="171">
        <v>9738.76</v>
      </c>
      <c r="F25" s="171">
        <v>18306.72</v>
      </c>
      <c r="G25" s="171">
        <v>9739</v>
      </c>
    </row>
    <row r="26" spans="1:7" x14ac:dyDescent="0.25">
      <c r="A26" s="2" t="s">
        <v>32</v>
      </c>
      <c r="B26" s="2" t="s">
        <v>25</v>
      </c>
      <c r="C26" s="57" t="s">
        <v>879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580</v>
      </c>
      <c r="B27" s="2" t="s">
        <v>773</v>
      </c>
      <c r="C27" s="57" t="s">
        <v>728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559</v>
      </c>
      <c r="B28" s="2" t="s">
        <v>80</v>
      </c>
      <c r="C28" s="57" t="s">
        <v>404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525</v>
      </c>
      <c r="B29" s="2" t="s">
        <v>183</v>
      </c>
      <c r="C29" s="57" t="s">
        <v>389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356</v>
      </c>
      <c r="B30" s="2" t="s">
        <v>597</v>
      </c>
      <c r="C30" s="57" t="s">
        <v>623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673</v>
      </c>
      <c r="B31" s="2" t="s">
        <v>617</v>
      </c>
      <c r="C31" s="57" t="s">
        <v>588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184</v>
      </c>
      <c r="B32" s="2" t="s">
        <v>483</v>
      </c>
      <c r="C32" s="57" t="s">
        <v>655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367</v>
      </c>
      <c r="B33" s="2" t="s">
        <v>872</v>
      </c>
      <c r="C33" s="57" t="s">
        <v>490</v>
      </c>
      <c r="D33" s="171">
        <v>14000</v>
      </c>
      <c r="E33" s="171">
        <v>0</v>
      </c>
      <c r="F33" s="171">
        <v>14000</v>
      </c>
      <c r="G33" s="171">
        <v>0</v>
      </c>
    </row>
    <row r="34" spans="1:7" x14ac:dyDescent="0.25">
      <c r="A34" s="2" t="s">
        <v>267</v>
      </c>
      <c r="B34" s="2" t="s">
        <v>413</v>
      </c>
      <c r="C34" s="57" t="s">
        <v>692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100</v>
      </c>
      <c r="B35" s="2" t="s">
        <v>132</v>
      </c>
      <c r="C35" s="57" t="s">
        <v>312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351</v>
      </c>
      <c r="B36" s="2" t="s">
        <v>172</v>
      </c>
      <c r="C36" s="57" t="s">
        <v>884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191</v>
      </c>
      <c r="B37" s="2" t="s">
        <v>452</v>
      </c>
      <c r="C37" s="57" t="s">
        <v>685</v>
      </c>
      <c r="D37" s="171">
        <v>1235.6099999999999</v>
      </c>
      <c r="E37" s="171">
        <v>864.81</v>
      </c>
      <c r="F37" s="171">
        <v>1235.6099999999999</v>
      </c>
      <c r="G37" s="171">
        <v>865</v>
      </c>
    </row>
    <row r="38" spans="1:7" x14ac:dyDescent="0.25">
      <c r="A38" s="2" t="s">
        <v>243</v>
      </c>
      <c r="B38" s="2" t="s">
        <v>620</v>
      </c>
      <c r="C38" s="57" t="s">
        <v>297</v>
      </c>
      <c r="D38" s="171">
        <v>3071.11</v>
      </c>
      <c r="E38" s="171">
        <v>8873.9500000000007</v>
      </c>
      <c r="F38" s="171">
        <v>3071.11</v>
      </c>
      <c r="G38" s="171">
        <v>8874</v>
      </c>
    </row>
    <row r="39" spans="1:7" x14ac:dyDescent="0.25">
      <c r="A39" s="2" t="s">
        <v>770</v>
      </c>
      <c r="B39" s="2" t="s">
        <v>642</v>
      </c>
      <c r="C39" s="57" t="s">
        <v>199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101</v>
      </c>
      <c r="B40" s="2" t="s">
        <v>708</v>
      </c>
      <c r="C40" s="57" t="s">
        <v>740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494</v>
      </c>
      <c r="B41" s="2" t="s">
        <v>334</v>
      </c>
      <c r="C41" s="57" t="s">
        <v>230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645</v>
      </c>
      <c r="B42" s="2" t="s">
        <v>352</v>
      </c>
      <c r="C42" s="57" t="s">
        <v>194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356</v>
      </c>
      <c r="B43" s="2" t="s">
        <v>469</v>
      </c>
      <c r="C43" s="57" t="s">
        <v>290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461</v>
      </c>
      <c r="B44" s="2" t="s">
        <v>473</v>
      </c>
      <c r="C44" s="57" t="s">
        <v>465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247</v>
      </c>
      <c r="B45" s="2" t="s">
        <v>240</v>
      </c>
      <c r="C45" s="57" t="s">
        <v>131</v>
      </c>
      <c r="D45" s="171">
        <v>61861.13</v>
      </c>
      <c r="E45" s="171">
        <v>115551.43</v>
      </c>
      <c r="F45" s="171">
        <v>61861.13</v>
      </c>
      <c r="G45" s="171">
        <v>115550</v>
      </c>
    </row>
    <row r="46" spans="1:7" x14ac:dyDescent="0.25">
      <c r="A46" s="2" t="s">
        <v>213</v>
      </c>
      <c r="B46" s="2" t="s">
        <v>116</v>
      </c>
      <c r="C46" s="57" t="s">
        <v>268</v>
      </c>
      <c r="D46" s="171">
        <v>16947.830000000002</v>
      </c>
      <c r="E46" s="171">
        <v>79170.47</v>
      </c>
      <c r="F46" s="171">
        <v>16947.830000000002</v>
      </c>
      <c r="G46" s="171">
        <v>79169</v>
      </c>
    </row>
    <row r="47" spans="1:7" x14ac:dyDescent="0.25">
      <c r="A47" s="2" t="s">
        <v>580</v>
      </c>
      <c r="B47" s="2" t="s">
        <v>591</v>
      </c>
      <c r="C47" s="57" t="s">
        <v>216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559</v>
      </c>
      <c r="B48" s="2" t="s">
        <v>122</v>
      </c>
      <c r="C48" s="57" t="s">
        <v>514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525</v>
      </c>
      <c r="B49" s="2" t="s">
        <v>209</v>
      </c>
      <c r="C49" s="57" t="s">
        <v>501</v>
      </c>
      <c r="D49" s="171">
        <v>16947.830000000002</v>
      </c>
      <c r="E49" s="171">
        <v>79170.47</v>
      </c>
      <c r="F49" s="171">
        <v>16947.830000000002</v>
      </c>
      <c r="G49" s="171">
        <v>79169</v>
      </c>
    </row>
    <row r="50" spans="1:7" x14ac:dyDescent="0.25">
      <c r="A50" s="2" t="s">
        <v>356</v>
      </c>
      <c r="B50" s="2" t="s">
        <v>597</v>
      </c>
      <c r="C50" s="57" t="s">
        <v>737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673</v>
      </c>
      <c r="B51" s="2" t="s">
        <v>510</v>
      </c>
      <c r="C51" s="57" t="s">
        <v>114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184</v>
      </c>
      <c r="B52" s="2" t="s">
        <v>666</v>
      </c>
      <c r="C52" s="57" t="s">
        <v>49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367</v>
      </c>
      <c r="B53" s="2" t="s">
        <v>851</v>
      </c>
      <c r="C53" s="57" t="s">
        <v>134</v>
      </c>
      <c r="D53" s="171">
        <v>0</v>
      </c>
      <c r="E53" s="171">
        <v>13000</v>
      </c>
      <c r="F53" s="171">
        <v>0</v>
      </c>
      <c r="G53" s="171">
        <v>13000</v>
      </c>
    </row>
    <row r="54" spans="1:7" x14ac:dyDescent="0.25">
      <c r="A54" s="2" t="s">
        <v>267</v>
      </c>
      <c r="B54" s="2" t="s">
        <v>605</v>
      </c>
      <c r="C54" s="57" t="s">
        <v>225</v>
      </c>
      <c r="D54" s="171">
        <v>6085.81</v>
      </c>
      <c r="E54" s="171">
        <v>6083.83</v>
      </c>
      <c r="F54" s="171">
        <v>6085.81</v>
      </c>
      <c r="G54" s="171">
        <v>6084</v>
      </c>
    </row>
    <row r="55" spans="1:7" x14ac:dyDescent="0.25">
      <c r="A55" s="2" t="s">
        <v>100</v>
      </c>
      <c r="B55" s="2" t="s">
        <v>366</v>
      </c>
      <c r="C55" s="57" t="s">
        <v>286</v>
      </c>
      <c r="D55" s="171">
        <v>14046.67</v>
      </c>
      <c r="E55" s="171">
        <v>16046.43</v>
      </c>
      <c r="F55" s="171">
        <v>14046.67</v>
      </c>
      <c r="G55" s="171">
        <v>16046</v>
      </c>
    </row>
    <row r="56" spans="1:7" x14ac:dyDescent="0.25">
      <c r="A56" s="2" t="s">
        <v>351</v>
      </c>
      <c r="B56" s="2" t="s">
        <v>689</v>
      </c>
      <c r="C56" s="57" t="s">
        <v>886</v>
      </c>
      <c r="D56" s="171">
        <v>20727.259999999998</v>
      </c>
      <c r="E56" s="171">
        <v>1250.7</v>
      </c>
      <c r="F56" s="171">
        <v>20727.259999999998</v>
      </c>
      <c r="G56" s="171">
        <v>1251</v>
      </c>
    </row>
    <row r="57" spans="1:7" x14ac:dyDescent="0.25">
      <c r="A57" s="2" t="s">
        <v>191</v>
      </c>
      <c r="B57" s="2" t="s">
        <v>775</v>
      </c>
      <c r="C57" s="57" t="s">
        <v>820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243</v>
      </c>
      <c r="B58" s="2" t="s">
        <v>636</v>
      </c>
      <c r="C58" s="57" t="s">
        <v>680</v>
      </c>
      <c r="D58" s="171">
        <v>4053.56</v>
      </c>
      <c r="E58" s="171">
        <v>0</v>
      </c>
      <c r="F58" s="171">
        <v>4053.56</v>
      </c>
      <c r="G58" s="171">
        <v>0</v>
      </c>
    </row>
    <row r="59" spans="1:7" x14ac:dyDescent="0.25">
      <c r="A59" s="2" t="s">
        <v>330</v>
      </c>
      <c r="B59" s="2" t="s">
        <v>614</v>
      </c>
      <c r="C59" s="57" t="s">
        <v>556</v>
      </c>
      <c r="D59" s="171">
        <v>8033.99</v>
      </c>
      <c r="E59" s="171">
        <v>7912.29</v>
      </c>
      <c r="F59" s="171">
        <v>8033.99</v>
      </c>
      <c r="G59" s="171">
        <v>7912</v>
      </c>
    </row>
    <row r="60" spans="1:7" x14ac:dyDescent="0.25">
      <c r="A60" s="2" t="s">
        <v>611</v>
      </c>
      <c r="B60" s="2" t="s">
        <v>19</v>
      </c>
      <c r="C60" s="57" t="s">
        <v>794</v>
      </c>
      <c r="D60" s="171">
        <v>8033.99</v>
      </c>
      <c r="E60" s="171">
        <v>7912.29</v>
      </c>
      <c r="F60" s="171">
        <v>8033.99</v>
      </c>
      <c r="G60" s="171">
        <v>7912</v>
      </c>
    </row>
    <row r="61" spans="1:7" x14ac:dyDescent="0.25">
      <c r="A61" s="2" t="s">
        <v>356</v>
      </c>
      <c r="B61" s="2" t="s">
        <v>868</v>
      </c>
      <c r="C61" s="57" t="s">
        <v>631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63</v>
      </c>
      <c r="B62" s="2" t="s">
        <v>831</v>
      </c>
      <c r="C62" s="57" t="s">
        <v>813</v>
      </c>
      <c r="D62" s="171">
        <v>0</v>
      </c>
      <c r="E62" s="171">
        <v>0</v>
      </c>
      <c r="F62" s="171">
        <v>0</v>
      </c>
      <c r="G62" s="171">
        <v>0</v>
      </c>
    </row>
    <row r="63" spans="1:7" x14ac:dyDescent="0.25">
      <c r="A63" s="2" t="s">
        <v>123</v>
      </c>
      <c r="B63" s="2" t="s">
        <v>370</v>
      </c>
      <c r="C63" s="57" t="s">
        <v>12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855</v>
      </c>
      <c r="B64" s="2" t="s">
        <v>621</v>
      </c>
      <c r="C64" s="57" t="s">
        <v>449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871</v>
      </c>
      <c r="B65" s="2" t="s">
        <v>435</v>
      </c>
      <c r="C65" s="57" t="s">
        <v>464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356</v>
      </c>
      <c r="B66" s="2" t="s">
        <v>442</v>
      </c>
      <c r="C66" s="57" t="s">
        <v>734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673</v>
      </c>
      <c r="B67" s="2" t="s">
        <v>837</v>
      </c>
      <c r="C67" s="57" t="s">
        <v>560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184</v>
      </c>
      <c r="B68" s="2" t="s">
        <v>174</v>
      </c>
      <c r="C68" s="57" t="s">
        <v>676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1</v>
      </c>
      <c r="B1" s="187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811</v>
      </c>
    </row>
    <row r="2" spans="1:33" ht="17.25" thickBot="1" x14ac:dyDescent="0.35">
      <c r="A2" s="132" t="s">
        <v>801</v>
      </c>
    </row>
    <row r="3" spans="1:33" ht="16.5" customHeight="1" thickTop="1" thickBot="1" x14ac:dyDescent="0.3">
      <c r="A3" s="248" t="s">
        <v>619</v>
      </c>
      <c r="B3" s="242" t="s">
        <v>644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720</v>
      </c>
      <c r="C4" s="236" t="s">
        <v>117</v>
      </c>
      <c r="D4" s="236" t="s">
        <v>228</v>
      </c>
      <c r="E4" s="236" t="s">
        <v>764</v>
      </c>
      <c r="F4" s="236" t="s">
        <v>729</v>
      </c>
      <c r="G4" s="236" t="s">
        <v>844</v>
      </c>
      <c r="H4" s="236" t="s">
        <v>817</v>
      </c>
      <c r="I4" s="236" t="s">
        <v>537</v>
      </c>
      <c r="J4" s="236" t="s">
        <v>601</v>
      </c>
    </row>
    <row r="5" spans="1:33" ht="15" customHeight="1" thickTop="1" thickBot="1" x14ac:dyDescent="0.3">
      <c r="A5" s="207" t="s">
        <v>731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278</v>
      </c>
      <c r="B6" s="135" t="e">
        <f>SUMIF(#REF!,"031*",#REF!)-SUMIF(#REF!,"031*",#REF!)</f>
        <v>#REF!</v>
      </c>
      <c r="C6" s="135" t="e">
        <f>SUMIF(#REF!,"021*",#REF!)-SUMIF(#REF!,"021*",#REF!)</f>
        <v>#REF!</v>
      </c>
      <c r="D6" s="135" t="e">
        <f>SUMIF(#REF!,"022*",#REF!)-SUMIF(#REF!,"022*",#REF!)</f>
        <v>#REF!</v>
      </c>
      <c r="E6" s="135" t="e">
        <f>SUMIF(#REF!,"025*",#REF!)-SUMIF(#REF!,"025*",#REF!)</f>
        <v>#REF!</v>
      </c>
      <c r="F6" s="135" t="e">
        <f>SUMIF(#REF!,"026*",#REF!)-SUMIF(#REF!,"026*",#REF!)</f>
        <v>#REF!</v>
      </c>
      <c r="G6" s="135" t="e">
        <f>SUMIF(#REF!,"029*",#REF!)-SUMIF(#REF!,"029*",#REF!)</f>
        <v>#REF!</v>
      </c>
      <c r="H6" s="135" t="e">
        <f>SUMIF(#REF!,"042*",#REF!)-SUMIF(#REF!,"042*",#REF!)</f>
        <v>#REF!</v>
      </c>
      <c r="I6" s="135" t="e">
        <f>SUMIF(#REF!,"052*",#REF!)-SUMIF(#REF!,"052*",#REF!)</f>
        <v>#REF!</v>
      </c>
      <c r="J6" s="71" t="e">
        <f>SUM(B6:I6)</f>
        <v>#REF!</v>
      </c>
      <c r="L6" s="38"/>
    </row>
    <row r="7" spans="1:33" ht="15" customHeight="1" thickBot="1" x14ac:dyDescent="0.3">
      <c r="A7" s="112" t="s">
        <v>178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270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36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298</v>
      </c>
      <c r="B10" s="135" t="e">
        <f>SUMIF(#REF!,"031*",#REF!)-SUMIF(#REF!,"031*",#REF!)</f>
        <v>#REF!</v>
      </c>
      <c r="C10" s="135" t="e">
        <f>SUMIF(#REF!,"021*",#REF!)-SUMIF(#REF!,"021*",#REF!)</f>
        <v>#REF!</v>
      </c>
      <c r="D10" s="135" t="e">
        <f>SUMIF(#REF!,"022*",#REF!)-SUMIF(#REF!,"022*",#REF!)</f>
        <v>#REF!</v>
      </c>
      <c r="E10" s="135" t="e">
        <f>SUMIF(#REF!,"025*",#REF!)-SUMIF(#REF!,"025*",#REF!)</f>
        <v>#REF!</v>
      </c>
      <c r="F10" s="135" t="e">
        <f>SUMIF(#REF!,"026*",#REF!)-SUMIF(#REF!,"026*",#REF!)</f>
        <v>#REF!</v>
      </c>
      <c r="G10" s="135" t="e">
        <f>SUMIF(#REF!,"029*",#REF!)-SUMIF(#REF!,"029*",#REF!)</f>
        <v>#REF!</v>
      </c>
      <c r="H10" s="135" t="e">
        <f>SUMIF(#REF!,"042*",#REF!)-SUMIF(#REF!,"042*",#REF!)</f>
        <v>#REF!</v>
      </c>
      <c r="I10" s="135" t="e">
        <f>SUMIF(#REF!,"052*",#REF!)-SUMIF(#REF!,"052*",#REF!)</f>
        <v>#REF!</v>
      </c>
      <c r="J10" s="147" t="e">
        <f>J6+J7-J8+J9</f>
        <v>#REF!</v>
      </c>
      <c r="L10" s="38"/>
    </row>
    <row r="11" spans="1:33" ht="15" customHeight="1" thickTop="1" thickBot="1" x14ac:dyDescent="0.3">
      <c r="A11" s="5" t="s">
        <v>604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778</v>
      </c>
      <c r="B12" s="231"/>
      <c r="C12" s="135" t="e">
        <f>SUMIF(#REF!,"081*",#REF!)-SUMIF(#REF!,"081*",#REF!)</f>
        <v>#REF!</v>
      </c>
      <c r="D12" s="135" t="e">
        <f>SUMIF(#REF!,"082*",#REF!)-SUMIF(#REF!,"082*",#REF!)</f>
        <v>#REF!</v>
      </c>
      <c r="E12" s="135" t="e">
        <f>SUMIF(#REF!,"085*",#REF!)-SUMIF(#REF!,"085*",#REF!)</f>
        <v>#REF!</v>
      </c>
      <c r="F12" s="135" t="e">
        <f>SUMIF(#REF!,"086*",#REF!)-SUMIF(#REF!,"086*",#REF!)</f>
        <v>#REF!</v>
      </c>
      <c r="G12" s="135" t="e">
        <f>SUMIF(#REF!,"089*",#REF!)-SUMIF(#REF!,"089*",#REF!)</f>
        <v>#REF!</v>
      </c>
      <c r="H12" s="231"/>
      <c r="I12" s="231"/>
      <c r="J12" s="71" t="e">
        <f>SUM(B12:I12)</f>
        <v>#REF!</v>
      </c>
      <c r="L12" s="38"/>
    </row>
    <row r="13" spans="1:33" ht="15" customHeight="1" thickBot="1" x14ac:dyDescent="0.3">
      <c r="A13" s="112" t="s">
        <v>178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270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36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298</v>
      </c>
      <c r="B16" s="49"/>
      <c r="C16" s="135" t="e">
        <f>SUMIF(#REF!,"081*",#REF!)-SUMIF(#REF!,"081*",#REF!)</f>
        <v>#REF!</v>
      </c>
      <c r="D16" s="135" t="e">
        <f>SUMIF(#REF!,"082*",#REF!)-SUMIF(#REF!,"082*",#REF!)</f>
        <v>#REF!</v>
      </c>
      <c r="E16" s="135" t="e">
        <f>SUMIF(#REF!,"085*",#REF!)-SUMIF(#REF!,"085*",#REF!)</f>
        <v>#REF!</v>
      </c>
      <c r="F16" s="135" t="e">
        <f>SUMIF(#REF!,"086*",#REF!)-SUMIF(#REF!,"086*",#REF!)</f>
        <v>#REF!</v>
      </c>
      <c r="G16" s="135" t="e">
        <f>SUMIF(#REF!,"089*",#REF!)-SUMIF(#REF!,"089*",#REF!)</f>
        <v>#REF!</v>
      </c>
      <c r="H16" s="49"/>
      <c r="I16" s="49"/>
      <c r="J16" s="147" t="e">
        <f>J12+J13-J14</f>
        <v>#REF!</v>
      </c>
      <c r="L16" s="38"/>
    </row>
    <row r="17" spans="1:33" ht="15" customHeight="1" thickTop="1" thickBot="1" x14ac:dyDescent="0.3">
      <c r="A17" s="207" t="s">
        <v>651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778</v>
      </c>
      <c r="B18" s="231"/>
      <c r="C18" s="135"/>
      <c r="D18" s="135"/>
      <c r="E18" s="135"/>
      <c r="F18" s="135"/>
      <c r="G18" s="135"/>
      <c r="H18" s="135" t="e">
        <f>SUMIF(#REF!,"094*",#REF!)-SUMIF(#REF!,"094*",#REF!)</f>
        <v>#REF!</v>
      </c>
      <c r="I18" s="135">
        <f>SUMIF(SUAM!C:C,"019",SUAM!E:E)</f>
        <v>0</v>
      </c>
      <c r="J18" s="71" t="e">
        <f>SUM(B18:I18)</f>
        <v>#REF!</v>
      </c>
      <c r="L18" s="38"/>
      <c r="M18" s="38"/>
      <c r="N18" s="120"/>
    </row>
    <row r="19" spans="1:33" ht="15" customHeight="1" thickBot="1" x14ac:dyDescent="0.3">
      <c r="A19" s="112" t="s">
        <v>178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270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36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298</v>
      </c>
      <c r="B22" s="49"/>
      <c r="C22" s="135"/>
      <c r="D22" s="135"/>
      <c r="E22" s="135"/>
      <c r="F22" s="135"/>
      <c r="G22" s="135"/>
      <c r="H22" s="135" t="e">
        <f>SUMIF(#REF!,"094*",#REF!)-SUMIF(#REF!,"094*",#REF!)</f>
        <v>#REF!</v>
      </c>
      <c r="I22" s="135">
        <f>SUMIF(SUA!C:C,"019",SUA!E:E)</f>
        <v>0</v>
      </c>
      <c r="J22" s="147" t="e">
        <f>J18+J19-J20</f>
        <v>#REF!</v>
      </c>
      <c r="L22" s="38"/>
      <c r="M22" s="38"/>
      <c r="N22" s="120"/>
    </row>
    <row r="23" spans="1:33" ht="15" customHeight="1" thickTop="1" thickBot="1" x14ac:dyDescent="0.3">
      <c r="A23" s="207" t="s">
        <v>835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778</v>
      </c>
      <c r="B24" s="231"/>
      <c r="C24" s="231"/>
      <c r="D24" s="231"/>
      <c r="E24" s="231"/>
      <c r="F24" s="231"/>
      <c r="G24" s="231"/>
      <c r="H24" s="231"/>
      <c r="I24" s="231"/>
      <c r="J24" s="71" t="e">
        <f>J6-J12-J18</f>
        <v>#REF!</v>
      </c>
    </row>
    <row r="25" spans="1:33" ht="15" customHeight="1" thickBot="1" x14ac:dyDescent="0.3">
      <c r="A25" s="72" t="s">
        <v>298</v>
      </c>
      <c r="B25" s="49"/>
      <c r="C25" s="49"/>
      <c r="D25" s="49"/>
      <c r="E25" s="49"/>
      <c r="F25" s="49"/>
      <c r="G25" s="49"/>
      <c r="H25" s="49"/>
      <c r="I25" s="49"/>
      <c r="J25" s="147" t="e">
        <f>J10-J16-J22</f>
        <v>#REF!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690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619</v>
      </c>
      <c r="B29" s="251" t="s">
        <v>826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720</v>
      </c>
      <c r="C30" s="236" t="s">
        <v>117</v>
      </c>
      <c r="D30" s="236" t="s">
        <v>228</v>
      </c>
      <c r="E30" s="236" t="s">
        <v>764</v>
      </c>
      <c r="F30" s="236" t="s">
        <v>729</v>
      </c>
      <c r="G30" s="236" t="s">
        <v>844</v>
      </c>
      <c r="H30" s="236" t="s">
        <v>817</v>
      </c>
      <c r="I30" s="236" t="s">
        <v>537</v>
      </c>
      <c r="J30" s="236" t="s">
        <v>601</v>
      </c>
    </row>
    <row r="31" spans="1:33" ht="15" customHeight="1" thickTop="1" thickBot="1" x14ac:dyDescent="0.3">
      <c r="A31" s="207" t="s">
        <v>731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278</v>
      </c>
      <c r="B32" s="135" t="e">
        <f>SUMIF(#REF!,"031*",#REF!)-SUMIF(#REF!,"031*",#REF!)</f>
        <v>#REF!</v>
      </c>
      <c r="C32" s="135" t="e">
        <f>SUMIF(#REF!,"021*",#REF!)-SUMIF(#REF!,"021*",#REF!)</f>
        <v>#REF!</v>
      </c>
      <c r="D32" s="135" t="e">
        <f>SUMIF(#REF!,"022*",#REF!)-SUMIF(#REF!,"022*",#REF!)</f>
        <v>#REF!</v>
      </c>
      <c r="E32" s="135" t="e">
        <f>SUMIF(#REF!,"025*",#REF!)-SUMIF(#REF!,"025*",#REF!)</f>
        <v>#REF!</v>
      </c>
      <c r="F32" s="135" t="e">
        <f>SUMIF(#REF!,"026*",#REF!)-SUMIF(#REF!,"026*",#REF!)</f>
        <v>#REF!</v>
      </c>
      <c r="G32" s="135" t="e">
        <f>SUMIF(#REF!,"029*",#REF!)-SUMIF(#REF!,"029*",#REF!)</f>
        <v>#REF!</v>
      </c>
      <c r="H32" s="135" t="e">
        <f>SUMIF(#REF!,"042*",#REF!)-SUMIF(#REF!,"042*",#REF!)</f>
        <v>#REF!</v>
      </c>
      <c r="I32" s="135" t="e">
        <f>SUMIF(#REF!,"052*",#REF!)-SUMIF(#REF!,"052*",#REF!)</f>
        <v>#REF!</v>
      </c>
      <c r="J32" s="71" t="e">
        <f>SUM(B32:I32)</f>
        <v>#REF!</v>
      </c>
      <c r="L32" s="38"/>
    </row>
    <row r="33" spans="1:14" ht="15" customHeight="1" thickBot="1" x14ac:dyDescent="0.3">
      <c r="A33" s="112" t="s">
        <v>178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270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36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298</v>
      </c>
      <c r="B36" s="135" t="e">
        <f>SUMIF(#REF!,"031*",#REF!)-SUMIF(#REF!,"031*",#REF!)</f>
        <v>#REF!</v>
      </c>
      <c r="C36" s="135" t="e">
        <f>SUMIF(#REF!,"021*",#REF!)-SUMIF(#REF!,"021*",#REF!)</f>
        <v>#REF!</v>
      </c>
      <c r="D36" s="135" t="e">
        <f>SUMIF(#REF!,"022*",#REF!)-SUMIF(#REF!,"022*",#REF!)</f>
        <v>#REF!</v>
      </c>
      <c r="E36" s="135" t="e">
        <f>SUMIF(#REF!,"025*",#REF!)-SUMIF(#REF!,"025*",#REF!)</f>
        <v>#REF!</v>
      </c>
      <c r="F36" s="135" t="e">
        <f>SUMIF(#REF!,"026*",#REF!)-SUMIF(#REF!,"026*",#REF!)</f>
        <v>#REF!</v>
      </c>
      <c r="G36" s="135" t="e">
        <f>SUMIF(#REF!,"029*",#REF!)-SUMIF(#REF!,"029*",#REF!)</f>
        <v>#REF!</v>
      </c>
      <c r="H36" s="135" t="e">
        <f>SUMIF(#REF!,"042*",#REF!)-SUMIF(#REF!,"042*",#REF!)</f>
        <v>#REF!</v>
      </c>
      <c r="I36" s="135" t="e">
        <f>SUMIF(#REF!,"052*",#REF!)-SUMIF(#REF!,"052*",#REF!)</f>
        <v>#REF!</v>
      </c>
      <c r="J36" s="147" t="e">
        <f>J32+J33-J34+J35</f>
        <v>#REF!</v>
      </c>
      <c r="L36" s="38"/>
    </row>
    <row r="37" spans="1:14" ht="15" customHeight="1" thickTop="1" thickBot="1" x14ac:dyDescent="0.3">
      <c r="A37" s="207" t="s">
        <v>604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778</v>
      </c>
      <c r="B38" s="231"/>
      <c r="C38" s="135" t="e">
        <f>SUMIF(#REF!,"081*",#REF!)-SUMIF(#REF!,"081*",#REF!)</f>
        <v>#REF!</v>
      </c>
      <c r="D38" s="135" t="e">
        <f>SUMIF(#REF!,"082*",#REF!)-SUMIF(#REF!,"082*",#REF!)</f>
        <v>#REF!</v>
      </c>
      <c r="E38" s="135" t="e">
        <f>SUMIF(#REF!,"085*",#REF!)-SUMIF(#REF!,"085*",#REF!)</f>
        <v>#REF!</v>
      </c>
      <c r="F38" s="135" t="e">
        <f>SUMIF(#REF!,"086*",#REF!)-SUMIF(#REF!,"086*",#REF!)</f>
        <v>#REF!</v>
      </c>
      <c r="G38" s="135" t="e">
        <f>SUMIF(#REF!,"089*",#REF!)-SUMIF(#REF!,"089*",#REF!)</f>
        <v>#REF!</v>
      </c>
      <c r="H38" s="231"/>
      <c r="I38" s="231"/>
      <c r="J38" s="71" t="e">
        <f>SUM(B38:I38)</f>
        <v>#REF!</v>
      </c>
      <c r="L38" s="38"/>
    </row>
    <row r="39" spans="1:14" ht="15" customHeight="1" thickBot="1" x14ac:dyDescent="0.3">
      <c r="A39" s="112" t="s">
        <v>178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270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36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298</v>
      </c>
      <c r="B42" s="49"/>
      <c r="C42" s="135" t="e">
        <f>SUMIF(#REF!,"081*",#REF!)-SUMIF(#REF!,"081*",#REF!)</f>
        <v>#REF!</v>
      </c>
      <c r="D42" s="135" t="e">
        <f>SUMIF(#REF!,"082*",#REF!)-SUMIF(#REF!,"082*",#REF!)</f>
        <v>#REF!</v>
      </c>
      <c r="E42" s="135" t="e">
        <f>SUMIF(#REF!,"085*",#REF!)-SUMIF(#REF!,"085*",#REF!)</f>
        <v>#REF!</v>
      </c>
      <c r="F42" s="135" t="e">
        <f>SUMIF(#REF!,"086*",#REF!)-SUMIF(#REF!,"086*",#REF!)</f>
        <v>#REF!</v>
      </c>
      <c r="G42" s="135" t="e">
        <f>SUMIF(#REF!,"089*",#REF!)-SUMIF(#REF!,"089*",#REF!)</f>
        <v>#REF!</v>
      </c>
      <c r="H42" s="49"/>
      <c r="I42" s="49"/>
      <c r="J42" s="147" t="e">
        <f>J38+J39-J40</f>
        <v>#REF!</v>
      </c>
      <c r="L42" s="38"/>
    </row>
    <row r="43" spans="1:14" ht="15" customHeight="1" thickTop="1" thickBot="1" x14ac:dyDescent="0.3">
      <c r="A43" s="207" t="s">
        <v>651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778</v>
      </c>
      <c r="B44" s="231"/>
      <c r="C44" s="135"/>
      <c r="D44" s="135"/>
      <c r="E44" s="135"/>
      <c r="F44" s="135"/>
      <c r="G44" s="135"/>
      <c r="H44" s="135" t="e">
        <f>SUMIF(#REF!,"094*",#REF!)-SUMIF(#REF!,"094*",#REF!)</f>
        <v>#REF!</v>
      </c>
      <c r="I44" s="135"/>
      <c r="J44" s="71" t="e">
        <f>SUM(B44:I44)</f>
        <v>#REF!</v>
      </c>
      <c r="L44" s="38"/>
      <c r="M44" s="206"/>
      <c r="N44" s="120"/>
    </row>
    <row r="45" spans="1:14" ht="15" customHeight="1" thickBot="1" x14ac:dyDescent="0.3">
      <c r="A45" s="112" t="s">
        <v>178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270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36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298</v>
      </c>
      <c r="B48" s="49"/>
      <c r="C48" s="135"/>
      <c r="D48" s="135"/>
      <c r="E48" s="135"/>
      <c r="F48" s="135"/>
      <c r="G48" s="135"/>
      <c r="H48" s="135" t="e">
        <f>SUMIF(#REF!,"094*",#REF!)-SUMIF(#REF!,"094*",#REF!)</f>
        <v>#REF!</v>
      </c>
      <c r="I48" s="135">
        <f>SUMIF(SUAM!C:C,"019",SUAM!E:E)</f>
        <v>0</v>
      </c>
      <c r="J48" s="147" t="e">
        <f>J44+J45-J46</f>
        <v>#REF!</v>
      </c>
      <c r="L48" s="38"/>
      <c r="N48" s="120"/>
    </row>
    <row r="49" spans="1:10" ht="15" customHeight="1" thickTop="1" thickBot="1" x14ac:dyDescent="0.3">
      <c r="A49" s="207" t="s">
        <v>835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778</v>
      </c>
      <c r="B50" s="231" t="e">
        <f t="shared" ref="B50:J50" si="0">B32-B38-B44</f>
        <v>#REF!</v>
      </c>
      <c r="C50" s="231" t="e">
        <f t="shared" si="0"/>
        <v>#REF!</v>
      </c>
      <c r="D50" s="231" t="e">
        <f t="shared" si="0"/>
        <v>#REF!</v>
      </c>
      <c r="E50" s="231" t="e">
        <f t="shared" si="0"/>
        <v>#REF!</v>
      </c>
      <c r="F50" s="231" t="e">
        <f t="shared" si="0"/>
        <v>#REF!</v>
      </c>
      <c r="G50" s="231" t="e">
        <f t="shared" si="0"/>
        <v>#REF!</v>
      </c>
      <c r="H50" s="231" t="e">
        <f t="shared" si="0"/>
        <v>#REF!</v>
      </c>
      <c r="I50" s="231" t="e">
        <f t="shared" si="0"/>
        <v>#REF!</v>
      </c>
      <c r="J50" s="71" t="e">
        <f t="shared" si="0"/>
        <v>#REF!</v>
      </c>
    </row>
    <row r="51" spans="1:10" ht="15" customHeight="1" thickBot="1" x14ac:dyDescent="0.3">
      <c r="A51" s="72" t="s">
        <v>298</v>
      </c>
      <c r="B51" s="49" t="e">
        <f t="shared" ref="B51:J51" si="1">B36-B42-B48</f>
        <v>#REF!</v>
      </c>
      <c r="C51" s="49" t="e">
        <f t="shared" si="1"/>
        <v>#REF!</v>
      </c>
      <c r="D51" s="49" t="e">
        <f t="shared" si="1"/>
        <v>#REF!</v>
      </c>
      <c r="E51" s="49" t="e">
        <f t="shared" si="1"/>
        <v>#REF!</v>
      </c>
      <c r="F51" s="49" t="e">
        <f t="shared" si="1"/>
        <v>#REF!</v>
      </c>
      <c r="G51" s="49" t="e">
        <f t="shared" si="1"/>
        <v>#REF!</v>
      </c>
      <c r="H51" s="49" t="e">
        <f t="shared" si="1"/>
        <v>#REF!</v>
      </c>
      <c r="I51" s="49" t="e">
        <f t="shared" si="1"/>
        <v>#REF!</v>
      </c>
      <c r="J51" s="147" t="e">
        <f t="shared" si="1"/>
        <v>#REF!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539</v>
      </c>
    </row>
    <row r="2" spans="1:2" ht="21" customHeight="1" thickTop="1" thickBot="1" x14ac:dyDescent="0.3">
      <c r="A2" s="191" t="s">
        <v>619</v>
      </c>
      <c r="B2" s="32" t="s">
        <v>108</v>
      </c>
    </row>
    <row r="3" spans="1:2" ht="30" customHeight="1" thickTop="1" thickBot="1" x14ac:dyDescent="0.3">
      <c r="A3" s="190" t="s">
        <v>519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204</v>
      </c>
    </row>
    <row r="2" spans="1:33" ht="17.25" thickBot="1" x14ac:dyDescent="0.35">
      <c r="A2" s="239" t="s">
        <v>801</v>
      </c>
    </row>
    <row r="3" spans="1:33" ht="16.5" customHeight="1" thickTop="1" thickBot="1" x14ac:dyDescent="0.3">
      <c r="A3" s="240" t="s">
        <v>669</v>
      </c>
      <c r="B3" s="245" t="s">
        <v>644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800</v>
      </c>
      <c r="C4" s="32" t="s">
        <v>659</v>
      </c>
      <c r="D4" s="191" t="s">
        <v>706</v>
      </c>
      <c r="E4" s="32" t="s">
        <v>431</v>
      </c>
      <c r="F4" s="191" t="s">
        <v>678</v>
      </c>
      <c r="G4" s="191" t="s">
        <v>520</v>
      </c>
      <c r="H4" s="32" t="s">
        <v>397</v>
      </c>
      <c r="I4" s="191" t="s">
        <v>251</v>
      </c>
      <c r="J4" s="191" t="s">
        <v>601</v>
      </c>
    </row>
    <row r="5" spans="1:33" ht="15" customHeight="1" thickTop="1" thickBot="1" x14ac:dyDescent="0.3">
      <c r="A5" s="15" t="s">
        <v>731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278</v>
      </c>
      <c r="B6" s="135" t="e">
        <f>SUMIF(#REF!,"061*",#REF!)-SUMIF(#REF!,"061*",#REF!)</f>
        <v>#REF!</v>
      </c>
      <c r="C6" s="135" t="e">
        <f>SUMIF(#REF!,"062*",#REF!)-SUMIF(#REF!,"062*",#REF!)</f>
        <v>#REF!</v>
      </c>
      <c r="D6" s="135" t="e">
        <f>SUMIF(#REF!,"063*",#REF!)-SUMIF(#REF!,"063*",#REF!)</f>
        <v>#REF!</v>
      </c>
      <c r="E6" s="135" t="e">
        <f>SUMIF(#REF!,"066*",#REF!)-SUMIF(#REF!,"066*",#REF!)</f>
        <v>#REF!</v>
      </c>
      <c r="F6" s="135" t="e">
        <f>SUMIF(#REF!,"067*",#REF!)-SUMIF(#REF!,"067*",#REF!)</f>
        <v>#REF!</v>
      </c>
      <c r="G6" s="231"/>
      <c r="H6" s="135" t="e">
        <f>SUMIF(#REF!,"043*",#REF!)-SUMIF(#REF!,"043*",#REF!)</f>
        <v>#REF!</v>
      </c>
      <c r="I6" s="135" t="e">
        <f>SUMIF(#REF!,"053*",#REF!)-SUMIF(#REF!,"053*",#REF!)</f>
        <v>#REF!</v>
      </c>
      <c r="J6" s="124" t="e">
        <f>SUM(B6:I6)</f>
        <v>#REF!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178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270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36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298</v>
      </c>
      <c r="B10" s="135" t="e">
        <f>SUMIF(#REF!,"061*",#REF!)-SUMIF(#REF!,"061*",#REF!)</f>
        <v>#REF!</v>
      </c>
      <c r="C10" s="135" t="e">
        <f>SUMIF(#REF!,"062*",#REF!)-SUMIF(#REF!,"062*",#REF!)</f>
        <v>#REF!</v>
      </c>
      <c r="D10" s="135" t="e">
        <f>SUMIF(#REF!,"063*",#REF!)-SUMIF(#REF!,"063*",#REF!)</f>
        <v>#REF!</v>
      </c>
      <c r="E10" s="135" t="e">
        <f>SUMIF(#REF!,"066*",#REF!)-SUMIF(#REF!,"066*",#REF!)</f>
        <v>#REF!</v>
      </c>
      <c r="F10" s="135" t="e">
        <f>SUMIF(#REF!,"067*",#REF!)-SUMIF(#REF!,"067*",#REF!)</f>
        <v>#REF!</v>
      </c>
      <c r="G10" s="231"/>
      <c r="H10" s="135" t="e">
        <f>SUMIF(#REF!,"043*",#REF!)-SUMIF(#REF!,"043*",#REF!)</f>
        <v>#REF!</v>
      </c>
      <c r="I10" s="135" t="e">
        <f>SUMIF(#REF!,"053*",#REF!)-SUMIF(#REF!,"053*",#REF!)</f>
        <v>#REF!</v>
      </c>
      <c r="J10" s="211" t="e">
        <f>J6+J7-J8+J9</f>
        <v>#REF!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651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778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178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270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36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298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571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778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298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690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669</v>
      </c>
      <c r="B23" s="242" t="s">
        <v>826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800</v>
      </c>
      <c r="C24" s="87" t="s">
        <v>659</v>
      </c>
      <c r="D24" s="236" t="s">
        <v>706</v>
      </c>
      <c r="E24" s="87" t="s">
        <v>431</v>
      </c>
      <c r="F24" s="236" t="s">
        <v>678</v>
      </c>
      <c r="G24" s="236" t="s">
        <v>520</v>
      </c>
      <c r="H24" s="87" t="s">
        <v>397</v>
      </c>
      <c r="I24" s="236" t="s">
        <v>251</v>
      </c>
      <c r="J24" s="236" t="s">
        <v>601</v>
      </c>
    </row>
    <row r="25" spans="1:33" ht="15" customHeight="1" thickTop="1" thickBot="1" x14ac:dyDescent="0.3">
      <c r="A25" s="207" t="s">
        <v>731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278</v>
      </c>
      <c r="B26" s="135" t="e">
        <f>SUMIF(#REF!,"061*",#REF!)-SUMIF(#REF!,"061*",#REF!)</f>
        <v>#REF!</v>
      </c>
      <c r="C26" s="135" t="e">
        <f>SUMIF(#REF!,"062*",#REF!)-SUMIF(#REF!,"062*",#REF!)</f>
        <v>#REF!</v>
      </c>
      <c r="D26" s="135" t="e">
        <f>SUMIF(#REF!,"063*",#REF!)-SUMIF(#REF!,"063*",#REF!)</f>
        <v>#REF!</v>
      </c>
      <c r="E26" s="135" t="e">
        <f>SUMIF(#REF!,"066*",#REF!)-SUMIF(#REF!,"066*",#REF!)</f>
        <v>#REF!</v>
      </c>
      <c r="F26" s="135" t="e">
        <f>SUMIF(#REF!,"067*",#REF!)-SUMIF(#REF!,"067*",#REF!)</f>
        <v>#REF!</v>
      </c>
      <c r="G26" s="231"/>
      <c r="H26" s="135" t="e">
        <f>SUMIF(#REF!,"043*",#REF!)-SUMIF(#REF!,"043*",#REF!)</f>
        <v>#REF!</v>
      </c>
      <c r="I26" s="135" t="e">
        <f>SUMIF(#REF!,"053*",#REF!)-SUMIF(#REF!,"053*",#REF!)</f>
        <v>#REF!</v>
      </c>
      <c r="J26" s="71" t="e">
        <f>SUM(B26:I26)</f>
        <v>#REF!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178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270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36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298</v>
      </c>
      <c r="B30" s="135" t="e">
        <f>SUMIF(#REF!,"061*",#REF!)-SUMIF(#REF!,"061*",#REF!)</f>
        <v>#REF!</v>
      </c>
      <c r="C30" s="135" t="e">
        <f>SUMIF(#REF!,"062*",#REF!)-SUMIF(#REF!,"062*",#REF!)</f>
        <v>#REF!</v>
      </c>
      <c r="D30" s="135" t="e">
        <f>SUMIF(#REF!,"063*",#REF!)-SUMIF(#REF!,"063*",#REF!)</f>
        <v>#REF!</v>
      </c>
      <c r="E30" s="135" t="e">
        <f>SUMIF(#REF!,"066*",#REF!)-SUMIF(#REF!,"066*",#REF!)</f>
        <v>#REF!</v>
      </c>
      <c r="F30" s="135" t="e">
        <f>SUMIF(#REF!,"067*",#REF!)-SUMIF(#REF!,"067*",#REF!)</f>
        <v>#REF!</v>
      </c>
      <c r="G30" s="231"/>
      <c r="H30" s="135" t="e">
        <f>SUMIF(#REF!,"043*",#REF!)-SUMIF(#REF!,"043*",#REF!)</f>
        <v>#REF!</v>
      </c>
      <c r="I30" s="135" t="e">
        <f>SUMIF(#REF!,"053*",#REF!)-SUMIF(#REF!,"053*",#REF!)</f>
        <v>#REF!</v>
      </c>
      <c r="J30" s="147" t="e">
        <f>J26+J27-J28+J29</f>
        <v>#REF!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651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778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178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270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36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298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571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778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298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753</v>
      </c>
    </row>
    <row r="2" spans="1:2" ht="21" customHeight="1" thickTop="1" thickBot="1" x14ac:dyDescent="0.3">
      <c r="A2" s="191" t="s">
        <v>669</v>
      </c>
      <c r="B2" s="32" t="s">
        <v>108</v>
      </c>
    </row>
    <row r="3" spans="1:2" ht="23.25" customHeight="1" thickTop="1" thickBot="1" x14ac:dyDescent="0.3">
      <c r="A3" s="190" t="s">
        <v>305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654</v>
      </c>
    </row>
    <row r="2" spans="1:6" ht="16.5" customHeight="1" thickTop="1" thickBot="1" x14ac:dyDescent="0.3">
      <c r="A2" s="240" t="s">
        <v>543</v>
      </c>
      <c r="B2" s="255" t="s">
        <v>644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508</v>
      </c>
      <c r="C3" s="105" t="s">
        <v>682</v>
      </c>
      <c r="D3" s="155" t="s">
        <v>318</v>
      </c>
      <c r="E3" s="105" t="s">
        <v>324</v>
      </c>
      <c r="F3" s="105" t="s">
        <v>547</v>
      </c>
    </row>
    <row r="4" spans="1:6" ht="16.5" thickTop="1" thickBot="1" x14ac:dyDescent="0.3">
      <c r="A4" s="1" t="s">
        <v>327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 t="e">
        <f>SUMIF(#REF!,"061*",#REF!)-SUMIF(#REF!,"061*",#REF!)</f>
        <v>#REF!</v>
      </c>
    </row>
    <row r="8" spans="1:6" ht="16.5" thickTop="1" thickBot="1" x14ac:dyDescent="0.3">
      <c r="A8" s="1" t="s">
        <v>667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 t="e">
        <f>SUMIF(#REF!,"062*",#REF!)-SUMIF(#REF!,"062*",#REF!)</f>
        <v>#REF!</v>
      </c>
    </row>
    <row r="12" spans="1:6" ht="16.5" thickTop="1" thickBot="1" x14ac:dyDescent="0.3">
      <c r="A12" s="1" t="s">
        <v>699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 t="e">
        <f>SUMIF(#REF!,"063*",#REF!)-SUMIF(#REF!,"063*",#REF!)</f>
        <v>#REF!</v>
      </c>
    </row>
    <row r="16" spans="1:6" ht="16.5" thickTop="1" thickBot="1" x14ac:dyDescent="0.3">
      <c r="A16" s="1" t="s">
        <v>825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 t="e">
        <f>SUMIF(#REF!,"043*",#REF!)-SUMIF(#REF!,"043*",#REF!)</f>
        <v>#REF!</v>
      </c>
    </row>
    <row r="19" spans="1:6" ht="24" thickTop="1" thickBot="1" x14ac:dyDescent="0.3">
      <c r="A19" s="125" t="s">
        <v>89</v>
      </c>
      <c r="B19" s="199" t="s">
        <v>622</v>
      </c>
      <c r="C19" s="199" t="s">
        <v>622</v>
      </c>
      <c r="D19" s="199" t="s">
        <v>622</v>
      </c>
      <c r="E19" s="199" t="s">
        <v>622</v>
      </c>
      <c r="F19" s="211" t="e">
        <f>SUM(F17:F18)+SUM(F13:F15)+SUM(F9:F11)+SUM(F5:F7)</f>
        <v>#REF!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49</vt:i4>
      </vt:variant>
    </vt:vector>
  </HeadingPairs>
  <TitlesOfParts>
    <vt:vector size="49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2024-07-01T10:31:13Z</dcterms:created>
  <dcterms:modified xsi:type="dcterms:W3CDTF">2024-07-01T10:34:50Z</dcterms:modified>
</cp:coreProperties>
</file>