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box\"/>
    </mc:Choice>
  </mc:AlternateContent>
  <xr:revisionPtr revIDLastSave="0" documentId="8_{614A7E53-E5A6-44D8-A161-F1B7A4312C9B}" xr6:coauthVersionLast="47" xr6:coauthVersionMax="47" xr10:uidLastSave="{00000000-0000-0000-0000-000000000000}"/>
  <bookViews>
    <workbookView xWindow="2850" yWindow="2850" windowWidth="21600" windowHeight="11295" xr2:uid="{00000000-000D-0000-FFFF-FFFF00000000}"/>
  </bookViews>
  <sheets>
    <sheet name="(2)Dlhodoby nehmotny majetok" sheetId="1" r:id="rId1"/>
    <sheet name="(4)Dlhodoby hmotny majetok" sheetId="2" r:id="rId2"/>
    <sheet name="(6)Dlhodoby financny majetok" sheetId="3" r:id="rId3"/>
    <sheet name="(12)Opravne polozky k zasobam" sheetId="4" r:id="rId4"/>
    <sheet name="(15)Opravne polozky k pohladavk" sheetId="5" r:id="rId5"/>
    <sheet name="(16)Vekova struktura pohladavok" sheetId="6" r:id="rId6"/>
    <sheet name="(17)Kratkodoby financny majetok" sheetId="7" r:id="rId7"/>
    <sheet name="(18)Kratkodoby financny majetok" sheetId="8" r:id="rId8"/>
    <sheet name="(19)Opravne polozky ku kratkodo" sheetId="9" r:id="rId9"/>
    <sheet name="(22)Vyznamne polozky cas.rozlis" sheetId="10" r:id="rId10"/>
    <sheet name="(25)Rezervy" sheetId="11" r:id="rId11"/>
    <sheet name="(26)Vekova struktura zavazkov" sheetId="12" r:id="rId12"/>
    <sheet name="(28)Zavazky zo socialneho fondu" sheetId="13" r:id="rId13"/>
    <sheet name="(30)Bankove uvery, pozicky, fin" sheetId="14" r:id="rId14"/>
    <sheet name="(31)Vyznamne polozky cas.rozlis" sheetId="15" r:id="rId15"/>
    <sheet name="(33)Cisty obrat podla typov vyr" sheetId="16" r:id="rId16"/>
    <sheet name="(36)Zmena stavu vnutroorganizac" sheetId="17" r:id="rId17"/>
    <sheet name="(37)Vynosy" sheetId="18" r:id="rId18"/>
    <sheet name="(39)Naklady" sheetId="19" r:id="rId19"/>
    <sheet name="(41)Informacie o daniach z prij" sheetId="20" r:id="rId20"/>
    <sheet name="(47)Zmeny vlastneho imania" sheetId="21" r:id="rId2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7" i="21" l="1"/>
  <c r="O17" i="21"/>
  <c r="N17" i="21"/>
  <c r="M17" i="21"/>
  <c r="P17" i="21" s="1"/>
  <c r="G17" i="21"/>
  <c r="E17" i="21"/>
  <c r="D17" i="21"/>
  <c r="C17" i="21"/>
  <c r="F17" i="21" s="1"/>
  <c r="P16" i="21"/>
  <c r="F16" i="21"/>
  <c r="P15" i="21"/>
  <c r="F15" i="21"/>
  <c r="P14" i="21"/>
  <c r="F14" i="21"/>
  <c r="P13" i="21"/>
  <c r="F13" i="21"/>
  <c r="P12" i="21"/>
  <c r="F12" i="21"/>
  <c r="P11" i="21"/>
  <c r="F11" i="21"/>
  <c r="P10" i="21"/>
  <c r="F10" i="21"/>
  <c r="P9" i="21"/>
  <c r="F9" i="21"/>
  <c r="P8" i="21"/>
  <c r="F8" i="21"/>
  <c r="P7" i="21"/>
  <c r="F7" i="21"/>
  <c r="P6" i="21"/>
  <c r="F6" i="21"/>
  <c r="P5" i="21"/>
  <c r="F5" i="21"/>
  <c r="P4" i="21"/>
  <c r="F4" i="21"/>
  <c r="P3" i="21"/>
  <c r="F3" i="21"/>
  <c r="P2" i="21"/>
  <c r="F2" i="21"/>
  <c r="H4" i="20"/>
  <c r="G4" i="20"/>
  <c r="F4" i="20"/>
  <c r="E4" i="20"/>
  <c r="D4" i="20"/>
  <c r="C4" i="20"/>
  <c r="D20" i="19"/>
  <c r="C20" i="19"/>
  <c r="D13" i="19"/>
  <c r="C13" i="19"/>
  <c r="D8" i="19"/>
  <c r="C8" i="19"/>
  <c r="D2" i="19"/>
  <c r="C2" i="19"/>
  <c r="D17" i="18"/>
  <c r="C17" i="18"/>
  <c r="D11" i="18"/>
  <c r="C11" i="18"/>
  <c r="D7" i="18"/>
  <c r="C7" i="18"/>
  <c r="D2" i="18"/>
  <c r="C2" i="18"/>
  <c r="H10" i="17"/>
  <c r="G10" i="17"/>
  <c r="H5" i="17"/>
  <c r="G5" i="17"/>
  <c r="F5" i="17"/>
  <c r="E5" i="17"/>
  <c r="D5" i="17"/>
  <c r="C5" i="17"/>
  <c r="R8" i="16"/>
  <c r="Q8" i="16"/>
  <c r="P8" i="16"/>
  <c r="O8" i="16"/>
  <c r="N8" i="16"/>
  <c r="M8" i="16"/>
  <c r="S8" i="16" s="1"/>
  <c r="H8" i="16"/>
  <c r="G8" i="16"/>
  <c r="F8" i="16"/>
  <c r="E8" i="16"/>
  <c r="D8" i="16"/>
  <c r="C8" i="16"/>
  <c r="I8" i="16" s="1"/>
  <c r="S7" i="16"/>
  <c r="I7" i="16"/>
  <c r="S6" i="16"/>
  <c r="I6" i="16"/>
  <c r="S5" i="16"/>
  <c r="I5" i="16"/>
  <c r="S4" i="16"/>
  <c r="I4" i="16"/>
  <c r="S3" i="16"/>
  <c r="I3" i="16"/>
  <c r="S2" i="16"/>
  <c r="I2" i="16"/>
  <c r="D6" i="13"/>
  <c r="D8" i="13" s="1"/>
  <c r="C6" i="13"/>
  <c r="C8" i="13" s="1"/>
  <c r="F34" i="12"/>
  <c r="G33" i="12"/>
  <c r="G32" i="12"/>
  <c r="G31" i="12"/>
  <c r="G30" i="12"/>
  <c r="G29" i="12"/>
  <c r="G28" i="12"/>
  <c r="G27" i="12"/>
  <c r="G26" i="12"/>
  <c r="G25" i="12"/>
  <c r="G24" i="12"/>
  <c r="G23" i="12"/>
  <c r="G22" i="12"/>
  <c r="F21" i="12"/>
  <c r="E21" i="12"/>
  <c r="E34" i="12" s="1"/>
  <c r="D21" i="12"/>
  <c r="D34" i="12" s="1"/>
  <c r="C21" i="12"/>
  <c r="C34" i="12" s="1"/>
  <c r="F18" i="12"/>
  <c r="C18" i="12"/>
  <c r="G18" i="12" s="1"/>
  <c r="G17" i="12"/>
  <c r="G16" i="12"/>
  <c r="G15" i="12"/>
  <c r="G14" i="12"/>
  <c r="G13" i="12"/>
  <c r="G12" i="12"/>
  <c r="G11" i="12"/>
  <c r="G10" i="12"/>
  <c r="G9" i="12"/>
  <c r="G8" i="12"/>
  <c r="G7" i="12"/>
  <c r="G6" i="12"/>
  <c r="G5" i="12"/>
  <c r="G4" i="12"/>
  <c r="F3" i="12"/>
  <c r="E3" i="12"/>
  <c r="E18" i="12" s="1"/>
  <c r="D3" i="12"/>
  <c r="D18" i="12" s="1"/>
  <c r="C3" i="12"/>
  <c r="G3" i="12" s="1"/>
  <c r="Q3" i="11"/>
  <c r="G3" i="11"/>
  <c r="Q2" i="11"/>
  <c r="G2" i="11"/>
  <c r="G13" i="9"/>
  <c r="F13" i="9"/>
  <c r="E13" i="9"/>
  <c r="D13" i="9"/>
  <c r="C13" i="9"/>
  <c r="G12" i="9"/>
  <c r="G11" i="9"/>
  <c r="G10" i="9"/>
  <c r="G9" i="9"/>
  <c r="G8" i="9"/>
  <c r="G7" i="9"/>
  <c r="G6" i="9"/>
  <c r="G5" i="9"/>
  <c r="G4" i="9"/>
  <c r="G3" i="9"/>
  <c r="G2" i="9"/>
  <c r="F13" i="8"/>
  <c r="E13" i="8"/>
  <c r="D13" i="8"/>
  <c r="C13" i="8"/>
  <c r="G13" i="8" s="1"/>
  <c r="G12" i="8"/>
  <c r="G11" i="8"/>
  <c r="G10" i="8"/>
  <c r="G9" i="8"/>
  <c r="G8" i="8"/>
  <c r="G7" i="8"/>
  <c r="G6" i="8"/>
  <c r="G5" i="8"/>
  <c r="G4" i="8"/>
  <c r="G3" i="8"/>
  <c r="G2" i="8"/>
  <c r="D6" i="7"/>
  <c r="C6" i="7"/>
  <c r="F29" i="6"/>
  <c r="E29" i="6"/>
  <c r="D29" i="6"/>
  <c r="G28" i="6"/>
  <c r="G27" i="6"/>
  <c r="G26" i="6"/>
  <c r="G25" i="6"/>
  <c r="G24" i="6"/>
  <c r="G23" i="6"/>
  <c r="G22" i="6"/>
  <c r="G21" i="6"/>
  <c r="G20" i="6"/>
  <c r="G19" i="6"/>
  <c r="G18" i="6"/>
  <c r="F17" i="6"/>
  <c r="E17" i="6"/>
  <c r="D17" i="6"/>
  <c r="C17" i="6"/>
  <c r="C29" i="6" s="1"/>
  <c r="G29" i="6" s="1"/>
  <c r="C14" i="6"/>
  <c r="G13" i="6"/>
  <c r="G12" i="6"/>
  <c r="G11" i="6"/>
  <c r="G10" i="6"/>
  <c r="G9" i="6"/>
  <c r="G8" i="6"/>
  <c r="G7" i="6"/>
  <c r="G6" i="6"/>
  <c r="G5" i="6"/>
  <c r="G4" i="6"/>
  <c r="F3" i="6"/>
  <c r="F14" i="6" s="1"/>
  <c r="E3" i="6"/>
  <c r="E14" i="6" s="1"/>
  <c r="D3" i="6"/>
  <c r="D14" i="6" s="1"/>
  <c r="C3" i="6"/>
  <c r="G3" i="6" s="1"/>
  <c r="G15" i="5"/>
  <c r="G14" i="5"/>
  <c r="G13" i="5"/>
  <c r="G12" i="5"/>
  <c r="G11" i="5"/>
  <c r="G10" i="5"/>
  <c r="G9" i="5"/>
  <c r="G8" i="5"/>
  <c r="G7" i="5"/>
  <c r="G6" i="5"/>
  <c r="G5" i="5"/>
  <c r="G4" i="5"/>
  <c r="F3" i="5"/>
  <c r="F16" i="5" s="1"/>
  <c r="E3" i="5"/>
  <c r="E16" i="5" s="1"/>
  <c r="D3" i="5"/>
  <c r="D16" i="5" s="1"/>
  <c r="C3" i="5"/>
  <c r="C16" i="5" s="1"/>
  <c r="G10" i="4"/>
  <c r="F10" i="4"/>
  <c r="E10" i="4"/>
  <c r="D10" i="4"/>
  <c r="C10" i="4"/>
  <c r="G9" i="4"/>
  <c r="G8" i="4"/>
  <c r="G7" i="4"/>
  <c r="G6" i="4"/>
  <c r="G5" i="4"/>
  <c r="G4" i="4"/>
  <c r="G3" i="4"/>
  <c r="P41" i="3"/>
  <c r="Q41" i="3" s="1"/>
  <c r="O41" i="3"/>
  <c r="N41" i="3"/>
  <c r="M41" i="3"/>
  <c r="F41" i="3"/>
  <c r="E41" i="3"/>
  <c r="D41" i="3"/>
  <c r="C41" i="3"/>
  <c r="G41" i="3" s="1"/>
  <c r="P40" i="3"/>
  <c r="O40" i="3"/>
  <c r="N40" i="3"/>
  <c r="Q40" i="3" s="1"/>
  <c r="M40" i="3"/>
  <c r="F40" i="3"/>
  <c r="E40" i="3"/>
  <c r="D40" i="3"/>
  <c r="C40" i="3"/>
  <c r="G40" i="3" s="1"/>
  <c r="P39" i="3"/>
  <c r="O39" i="3"/>
  <c r="N39" i="3"/>
  <c r="M39" i="3"/>
  <c r="Q39" i="3" s="1"/>
  <c r="G39" i="3"/>
  <c r="F39" i="3"/>
  <c r="E39" i="3"/>
  <c r="D39" i="3"/>
  <c r="C39" i="3"/>
  <c r="P38" i="3"/>
  <c r="O38" i="3"/>
  <c r="N38" i="3"/>
  <c r="M38" i="3"/>
  <c r="Q38" i="3" s="1"/>
  <c r="F38" i="3"/>
  <c r="E38" i="3"/>
  <c r="D38" i="3"/>
  <c r="C38" i="3"/>
  <c r="G38" i="3" s="1"/>
  <c r="P37" i="3"/>
  <c r="O37" i="3"/>
  <c r="N37" i="3"/>
  <c r="Q37" i="3" s="1"/>
  <c r="M37" i="3"/>
  <c r="F37" i="3"/>
  <c r="E37" i="3"/>
  <c r="D37" i="3"/>
  <c r="C37" i="3"/>
  <c r="G37" i="3" s="1"/>
  <c r="Q36" i="3"/>
  <c r="P36" i="3"/>
  <c r="O36" i="3"/>
  <c r="N36" i="3"/>
  <c r="M36" i="3"/>
  <c r="F36" i="3"/>
  <c r="E36" i="3"/>
  <c r="D36" i="3"/>
  <c r="G36" i="3" s="1"/>
  <c r="C36" i="3"/>
  <c r="P35" i="3"/>
  <c r="Q35" i="3" s="1"/>
  <c r="O35" i="3"/>
  <c r="N35" i="3"/>
  <c r="M35" i="3"/>
  <c r="F35" i="3"/>
  <c r="E35" i="3"/>
  <c r="D35" i="3"/>
  <c r="C35" i="3"/>
  <c r="G35" i="3" s="1"/>
  <c r="P34" i="3"/>
  <c r="O34" i="3"/>
  <c r="N34" i="3"/>
  <c r="Q34" i="3" s="1"/>
  <c r="M34" i="3"/>
  <c r="F34" i="3"/>
  <c r="E34" i="3"/>
  <c r="D34" i="3"/>
  <c r="C34" i="3"/>
  <c r="G34" i="3" s="1"/>
  <c r="P33" i="3"/>
  <c r="O33" i="3"/>
  <c r="N33" i="3"/>
  <c r="M33" i="3"/>
  <c r="Q33" i="3" s="1"/>
  <c r="G33" i="3"/>
  <c r="F33" i="3"/>
  <c r="E33" i="3"/>
  <c r="D33" i="3"/>
  <c r="C33" i="3"/>
  <c r="P32" i="3"/>
  <c r="P42" i="3" s="1"/>
  <c r="O32" i="3"/>
  <c r="N32" i="3"/>
  <c r="M32" i="3"/>
  <c r="Q32" i="3" s="1"/>
  <c r="F32" i="3"/>
  <c r="E32" i="3"/>
  <c r="E42" i="3" s="1"/>
  <c r="D32" i="3"/>
  <c r="C32" i="3"/>
  <c r="G32" i="3" s="1"/>
  <c r="P31" i="3"/>
  <c r="O31" i="3"/>
  <c r="O42" i="3" s="1"/>
  <c r="N31" i="3"/>
  <c r="Q31" i="3" s="1"/>
  <c r="M31" i="3"/>
  <c r="M42" i="3" s="1"/>
  <c r="F31" i="3"/>
  <c r="F42" i="3" s="1"/>
  <c r="E31" i="3"/>
  <c r="D31" i="3"/>
  <c r="D42" i="3" s="1"/>
  <c r="C31" i="3"/>
  <c r="G31" i="3" s="1"/>
  <c r="Q28" i="3"/>
  <c r="P28" i="3"/>
  <c r="O28" i="3"/>
  <c r="N28" i="3"/>
  <c r="M28" i="3"/>
  <c r="F28" i="3"/>
  <c r="E28" i="3"/>
  <c r="D28" i="3"/>
  <c r="G28" i="3" s="1"/>
  <c r="C28" i="3"/>
  <c r="Q27" i="3"/>
  <c r="G27" i="3"/>
  <c r="Q26" i="3"/>
  <c r="G26" i="3"/>
  <c r="Q25" i="3"/>
  <c r="G25" i="3"/>
  <c r="Q24" i="3"/>
  <c r="G24" i="3"/>
  <c r="Q23" i="3"/>
  <c r="G23" i="3"/>
  <c r="Q22" i="3"/>
  <c r="G22" i="3"/>
  <c r="Q21" i="3"/>
  <c r="G21" i="3"/>
  <c r="Q20" i="3"/>
  <c r="G20" i="3"/>
  <c r="Q19" i="3"/>
  <c r="G19" i="3"/>
  <c r="Q18" i="3"/>
  <c r="G18" i="3"/>
  <c r="Q17" i="3"/>
  <c r="G17" i="3"/>
  <c r="P14" i="3"/>
  <c r="O14" i="3"/>
  <c r="N14" i="3"/>
  <c r="Q14" i="3" s="1"/>
  <c r="M14" i="3"/>
  <c r="F14" i="3"/>
  <c r="E14" i="3"/>
  <c r="D14" i="3"/>
  <c r="C14" i="3"/>
  <c r="G14" i="3" s="1"/>
  <c r="Q13" i="3"/>
  <c r="G13" i="3"/>
  <c r="Q12" i="3"/>
  <c r="G12" i="3"/>
  <c r="Q11" i="3"/>
  <c r="G11" i="3"/>
  <c r="Q10" i="3"/>
  <c r="G10" i="3"/>
  <c r="Q9" i="3"/>
  <c r="G9" i="3"/>
  <c r="Q8" i="3"/>
  <c r="G8" i="3"/>
  <c r="Q7" i="3"/>
  <c r="G7" i="3"/>
  <c r="Q6" i="3"/>
  <c r="G6" i="3"/>
  <c r="Q5" i="3"/>
  <c r="G5" i="3"/>
  <c r="Q4" i="3"/>
  <c r="G4" i="3"/>
  <c r="Q3" i="3"/>
  <c r="G3" i="3"/>
  <c r="P47" i="2"/>
  <c r="O47" i="2"/>
  <c r="N47" i="2"/>
  <c r="Q47" i="2" s="1"/>
  <c r="M47" i="2"/>
  <c r="F47" i="2"/>
  <c r="E47" i="2"/>
  <c r="D47" i="2"/>
  <c r="C47" i="2"/>
  <c r="G47" i="2" s="1"/>
  <c r="Q46" i="2"/>
  <c r="P46" i="2"/>
  <c r="O46" i="2"/>
  <c r="N46" i="2"/>
  <c r="M46" i="2"/>
  <c r="F46" i="2"/>
  <c r="E46" i="2"/>
  <c r="D46" i="2"/>
  <c r="G46" i="2" s="1"/>
  <c r="C46" i="2"/>
  <c r="P45" i="2"/>
  <c r="Q45" i="2" s="1"/>
  <c r="O45" i="2"/>
  <c r="N45" i="2"/>
  <c r="M45" i="2"/>
  <c r="F45" i="2"/>
  <c r="E45" i="2"/>
  <c r="D45" i="2"/>
  <c r="C45" i="2"/>
  <c r="G45" i="2" s="1"/>
  <c r="P44" i="2"/>
  <c r="O44" i="2"/>
  <c r="N44" i="2"/>
  <c r="Q44" i="2" s="1"/>
  <c r="M44" i="2"/>
  <c r="F44" i="2"/>
  <c r="E44" i="2"/>
  <c r="D44" i="2"/>
  <c r="C44" i="2"/>
  <c r="G44" i="2" s="1"/>
  <c r="P43" i="2"/>
  <c r="O43" i="2"/>
  <c r="N43" i="2"/>
  <c r="M43" i="2"/>
  <c r="Q43" i="2" s="1"/>
  <c r="G43" i="2"/>
  <c r="F43" i="2"/>
  <c r="E43" i="2"/>
  <c r="D43" i="2"/>
  <c r="C43" i="2"/>
  <c r="P42" i="2"/>
  <c r="O42" i="2"/>
  <c r="N42" i="2"/>
  <c r="M42" i="2"/>
  <c r="M48" i="2" s="1"/>
  <c r="F42" i="2"/>
  <c r="F48" i="2" s="1"/>
  <c r="E42" i="2"/>
  <c r="E48" i="2" s="1"/>
  <c r="D42" i="2"/>
  <c r="C42" i="2"/>
  <c r="G42" i="2" s="1"/>
  <c r="P41" i="2"/>
  <c r="O41" i="2"/>
  <c r="N41" i="2"/>
  <c r="Q41" i="2" s="1"/>
  <c r="M41" i="2"/>
  <c r="F41" i="2"/>
  <c r="E41" i="2"/>
  <c r="D41" i="2"/>
  <c r="C41" i="2"/>
  <c r="G41" i="2" s="1"/>
  <c r="Q40" i="2"/>
  <c r="P40" i="2"/>
  <c r="O40" i="2"/>
  <c r="N40" i="2"/>
  <c r="M40" i="2"/>
  <c r="F40" i="2"/>
  <c r="E40" i="2"/>
  <c r="D40" i="2"/>
  <c r="G40" i="2" s="1"/>
  <c r="C40" i="2"/>
  <c r="P39" i="2"/>
  <c r="P48" i="2" s="1"/>
  <c r="O39" i="2"/>
  <c r="O48" i="2" s="1"/>
  <c r="N39" i="2"/>
  <c r="N48" i="2" s="1"/>
  <c r="M39" i="2"/>
  <c r="F39" i="2"/>
  <c r="E39" i="2"/>
  <c r="D39" i="2"/>
  <c r="C39" i="2"/>
  <c r="C48" i="2" s="1"/>
  <c r="P36" i="2"/>
  <c r="O36" i="2"/>
  <c r="N36" i="2"/>
  <c r="Q36" i="2" s="1"/>
  <c r="M36" i="2"/>
  <c r="G36" i="2"/>
  <c r="F36" i="2"/>
  <c r="E36" i="2"/>
  <c r="D36" i="2"/>
  <c r="C36" i="2"/>
  <c r="Q35" i="2"/>
  <c r="G35" i="2"/>
  <c r="Q34" i="2"/>
  <c r="G34" i="2"/>
  <c r="Q33" i="2"/>
  <c r="G33" i="2"/>
  <c r="Q32" i="2"/>
  <c r="G32" i="2"/>
  <c r="Q31" i="2"/>
  <c r="G31" i="2"/>
  <c r="Q30" i="2"/>
  <c r="G30" i="2"/>
  <c r="Q29" i="2"/>
  <c r="G29" i="2"/>
  <c r="Q28" i="2"/>
  <c r="G28" i="2"/>
  <c r="Q27" i="2"/>
  <c r="G27" i="2"/>
  <c r="Q24" i="2"/>
  <c r="P24" i="2"/>
  <c r="O24" i="2"/>
  <c r="N24" i="2"/>
  <c r="M24" i="2"/>
  <c r="F24" i="2"/>
  <c r="E24" i="2"/>
  <c r="D24" i="2"/>
  <c r="G24" i="2" s="1"/>
  <c r="C24" i="2"/>
  <c r="Q23" i="2"/>
  <c r="G23" i="2"/>
  <c r="Q22" i="2"/>
  <c r="G22" i="2"/>
  <c r="Q21" i="2"/>
  <c r="G21" i="2"/>
  <c r="Q20" i="2"/>
  <c r="G20" i="2"/>
  <c r="Q19" i="2"/>
  <c r="G19" i="2"/>
  <c r="Q18" i="2"/>
  <c r="G18" i="2"/>
  <c r="Q17" i="2"/>
  <c r="G17" i="2"/>
  <c r="Q16" i="2"/>
  <c r="G16" i="2"/>
  <c r="Q15" i="2"/>
  <c r="G15" i="2"/>
  <c r="P12" i="2"/>
  <c r="O12" i="2"/>
  <c r="N12" i="2"/>
  <c r="M12" i="2"/>
  <c r="Q12" i="2" s="1"/>
  <c r="F12" i="2"/>
  <c r="E12" i="2"/>
  <c r="D12" i="2"/>
  <c r="C12" i="2"/>
  <c r="G12" i="2" s="1"/>
  <c r="Q11" i="2"/>
  <c r="G11" i="2"/>
  <c r="Q10" i="2"/>
  <c r="G10" i="2"/>
  <c r="Q9" i="2"/>
  <c r="G9" i="2"/>
  <c r="Q8" i="2"/>
  <c r="G8" i="2"/>
  <c r="Q7" i="2"/>
  <c r="G7" i="2"/>
  <c r="Q6" i="2"/>
  <c r="G6" i="2"/>
  <c r="Q5" i="2"/>
  <c r="G5" i="2"/>
  <c r="Q4" i="2"/>
  <c r="G4" i="2"/>
  <c r="Q3" i="2"/>
  <c r="G3" i="2"/>
  <c r="P39" i="1"/>
  <c r="O39" i="1"/>
  <c r="N39" i="1"/>
  <c r="M39" i="1"/>
  <c r="Q39" i="1" s="1"/>
  <c r="G39" i="1"/>
  <c r="F39" i="1"/>
  <c r="E39" i="1"/>
  <c r="D39" i="1"/>
  <c r="C39" i="1"/>
  <c r="P38" i="1"/>
  <c r="O38" i="1"/>
  <c r="N38" i="1"/>
  <c r="M38" i="1"/>
  <c r="Q38" i="1" s="1"/>
  <c r="F38" i="1"/>
  <c r="E38" i="1"/>
  <c r="D38" i="1"/>
  <c r="C38" i="1"/>
  <c r="G38" i="1" s="1"/>
  <c r="P37" i="1"/>
  <c r="O37" i="1"/>
  <c r="N37" i="1"/>
  <c r="Q37" i="1" s="1"/>
  <c r="M37" i="1"/>
  <c r="F37" i="1"/>
  <c r="E37" i="1"/>
  <c r="D37" i="1"/>
  <c r="C37" i="1"/>
  <c r="G37" i="1" s="1"/>
  <c r="Q36" i="1"/>
  <c r="P36" i="1"/>
  <c r="O36" i="1"/>
  <c r="N36" i="1"/>
  <c r="M36" i="1"/>
  <c r="F36" i="1"/>
  <c r="E36" i="1"/>
  <c r="D36" i="1"/>
  <c r="C36" i="1"/>
  <c r="G36" i="1" s="1"/>
  <c r="P35" i="1"/>
  <c r="Q35" i="1" s="1"/>
  <c r="O35" i="1"/>
  <c r="N35" i="1"/>
  <c r="M35" i="1"/>
  <c r="F35" i="1"/>
  <c r="E35" i="1"/>
  <c r="D35" i="1"/>
  <c r="C35" i="1"/>
  <c r="G35" i="1" s="1"/>
  <c r="P34" i="1"/>
  <c r="O34" i="1"/>
  <c r="O40" i="1" s="1"/>
  <c r="N34" i="1"/>
  <c r="N40" i="1" s="1"/>
  <c r="M34" i="1"/>
  <c r="Q34" i="1" s="1"/>
  <c r="G34" i="1"/>
  <c r="F34" i="1"/>
  <c r="E34" i="1"/>
  <c r="D34" i="1"/>
  <c r="C34" i="1"/>
  <c r="C40" i="1" s="1"/>
  <c r="P33" i="1"/>
  <c r="P40" i="1" s="1"/>
  <c r="O33" i="1"/>
  <c r="N33" i="1"/>
  <c r="M33" i="1"/>
  <c r="Q33" i="1" s="1"/>
  <c r="G33" i="1"/>
  <c r="F33" i="1"/>
  <c r="F40" i="1" s="1"/>
  <c r="E33" i="1"/>
  <c r="E40" i="1" s="1"/>
  <c r="D33" i="1"/>
  <c r="D40" i="1" s="1"/>
  <c r="C33" i="1"/>
  <c r="P30" i="1"/>
  <c r="O30" i="1"/>
  <c r="N30" i="1"/>
  <c r="M30" i="1"/>
  <c r="Q30" i="1" s="1"/>
  <c r="F30" i="1"/>
  <c r="E30" i="1"/>
  <c r="D30" i="1"/>
  <c r="C30" i="1"/>
  <c r="G30" i="1" s="1"/>
  <c r="Q29" i="1"/>
  <c r="G29" i="1"/>
  <c r="Q28" i="1"/>
  <c r="G28" i="1"/>
  <c r="Q27" i="1"/>
  <c r="G27" i="1"/>
  <c r="Q26" i="1"/>
  <c r="G26" i="1"/>
  <c r="Q25" i="1"/>
  <c r="G25" i="1"/>
  <c r="Q24" i="1"/>
  <c r="G24" i="1"/>
  <c r="Q23" i="1"/>
  <c r="G23" i="1"/>
  <c r="P20" i="1"/>
  <c r="O20" i="1"/>
  <c r="N20" i="1"/>
  <c r="M20" i="1"/>
  <c r="Q20" i="1" s="1"/>
  <c r="F20" i="1"/>
  <c r="E20" i="1"/>
  <c r="D20" i="1"/>
  <c r="C20" i="1"/>
  <c r="G20" i="1" s="1"/>
  <c r="Q19" i="1"/>
  <c r="G19" i="1"/>
  <c r="Q18" i="1"/>
  <c r="G18" i="1"/>
  <c r="Q17" i="1"/>
  <c r="G17" i="1"/>
  <c r="Q16" i="1"/>
  <c r="G16" i="1"/>
  <c r="Q15" i="1"/>
  <c r="G15" i="1"/>
  <c r="Q14" i="1"/>
  <c r="G14" i="1"/>
  <c r="Q13" i="1"/>
  <c r="G13" i="1"/>
  <c r="P10" i="1"/>
  <c r="O10" i="1"/>
  <c r="N10" i="1"/>
  <c r="M10" i="1"/>
  <c r="Q10" i="1" s="1"/>
  <c r="F10" i="1"/>
  <c r="E10" i="1"/>
  <c r="D10" i="1"/>
  <c r="C10" i="1"/>
  <c r="G10" i="1" s="1"/>
  <c r="Q9" i="1"/>
  <c r="G9" i="1"/>
  <c r="Q8" i="1"/>
  <c r="G8" i="1"/>
  <c r="Q7" i="1"/>
  <c r="G7" i="1"/>
  <c r="Q6" i="1"/>
  <c r="G6" i="1"/>
  <c r="Q5" i="1"/>
  <c r="G5" i="1"/>
  <c r="Q4" i="1"/>
  <c r="G4" i="1"/>
  <c r="Q3" i="1"/>
  <c r="G3" i="1"/>
  <c r="G40" i="1" l="1"/>
  <c r="Q48" i="2"/>
  <c r="G34" i="12"/>
  <c r="G14" i="6"/>
  <c r="G16" i="5"/>
  <c r="Q42" i="2"/>
  <c r="G39" i="2"/>
  <c r="N42" i="3"/>
  <c r="Q42" i="3" s="1"/>
  <c r="G21" i="12"/>
  <c r="G17" i="6"/>
  <c r="M40" i="1"/>
  <c r="Q40" i="1" s="1"/>
  <c r="D48" i="2"/>
  <c r="G48" i="2" s="1"/>
  <c r="C42" i="3"/>
  <c r="G42" i="3" s="1"/>
  <c r="G3" i="5"/>
  <c r="Q39" i="2"/>
</calcChain>
</file>

<file path=xl/sharedStrings.xml><?xml version="1.0" encoding="utf-8"?>
<sst xmlns="http://schemas.openxmlformats.org/spreadsheetml/2006/main" count="498" uniqueCount="380">
  <si>
    <t>Text</t>
  </si>
  <si>
    <t>RIAD</t>
  </si>
  <si>
    <t xml:space="preserve">Stav na zaciat   </t>
  </si>
  <si>
    <t xml:space="preserve">Prirastky        </t>
  </si>
  <si>
    <t xml:space="preserve">Ubytky           </t>
  </si>
  <si>
    <t xml:space="preserve">Presuny          </t>
  </si>
  <si>
    <t xml:space="preserve">Stav na konci    </t>
  </si>
  <si>
    <t xml:space="preserve">Prvotne ocenenie 01.                         </t>
  </si>
  <si>
    <t xml:space="preserve"> Aktivovane naklady na vyvoj   S04/bru: 012  </t>
  </si>
  <si>
    <t xml:space="preserve"> Softver                       S05/bru: 013  </t>
  </si>
  <si>
    <t xml:space="preserve"> Ocenitelne prava              S06/bru: 014  </t>
  </si>
  <si>
    <t xml:space="preserve"> Goodwill                      S07/bru: 015  </t>
  </si>
  <si>
    <t xml:space="preserve"> Ostatny DNHM                  S08/bru: 019  </t>
  </si>
  <si>
    <t xml:space="preserve"> Obstaravany DNHM              S09/bru: 041  </t>
  </si>
  <si>
    <t xml:space="preserve"> Poskytnute preddavky na DNHM  S10/bru: 051  </t>
  </si>
  <si>
    <t xml:space="preserve">Prvotne ocenenie DNHM spolu* ( S03/bru )     </t>
  </si>
  <si>
    <t xml:space="preserve">Opravky 07.                                  </t>
  </si>
  <si>
    <t xml:space="preserve"> Aktivovane naklady na vyvoj S04/kor-a: 072  </t>
  </si>
  <si>
    <t xml:space="preserve"> Softver                     S05/kor-a: 073  </t>
  </si>
  <si>
    <t xml:space="preserve"> Ocenitelne prava            S06/kor-a: 074  </t>
  </si>
  <si>
    <t xml:space="preserve"> Goodwill                    S07/kor-a: 075  </t>
  </si>
  <si>
    <t xml:space="preserve"> Ostatny DNHM                S08/kor-a: 079  </t>
  </si>
  <si>
    <t xml:space="preserve"> Obstaravany DNHM             ( =0 )         </t>
  </si>
  <si>
    <t xml:space="preserve"> Poskytnute preddavky na DNHM ( =0 )         </t>
  </si>
  <si>
    <t xml:space="preserve">Opravky DNHM spolu*        ( S03/kor-a )     </t>
  </si>
  <si>
    <t xml:space="preserve">Opravne polozky 091,093,095                  </t>
  </si>
  <si>
    <t xml:space="preserve"> Aktivovane naklady na vyvoj S04/kor-b: 0912.</t>
  </si>
  <si>
    <t xml:space="preserve"> Softver                     S05/kor-b: 0913.</t>
  </si>
  <si>
    <t xml:space="preserve"> Ocenitelne prava            S06/kor-b: 0914.</t>
  </si>
  <si>
    <t xml:space="preserve"> Goodwill                    S07/kor-b: 0915.</t>
  </si>
  <si>
    <t xml:space="preserve"> Ostatny DNHM                S08/kor-b: 091zv</t>
  </si>
  <si>
    <t xml:space="preserve"> Obstaravany DNHM            S09/kor  : 093  </t>
  </si>
  <si>
    <t xml:space="preserve"> Poskytnute preddavky na DNHM S10/kor : 0951.</t>
  </si>
  <si>
    <t xml:space="preserve">Opravne polozky DNHM spolu*( S03/kor-b )     </t>
  </si>
  <si>
    <t xml:space="preserve">Zostatkova hodnota                           </t>
  </si>
  <si>
    <t xml:space="preserve"> Aktivovane naklady na vyvoj    S04/net      </t>
  </si>
  <si>
    <t xml:space="preserve"> Softver                        S05/net      </t>
  </si>
  <si>
    <t xml:space="preserve"> Ocenitelne prava               S06/net      </t>
  </si>
  <si>
    <t xml:space="preserve"> Goodwill                       S07/net      </t>
  </si>
  <si>
    <t xml:space="preserve"> Ostatny DNHM                   S08/net      </t>
  </si>
  <si>
    <t xml:space="preserve"> Obstaravany DNHM               S09/net      </t>
  </si>
  <si>
    <t xml:space="preserve"> Poskytnute preddavky na DNHM   S10/net      </t>
  </si>
  <si>
    <t xml:space="preserve">Zostatkova hodnota DNHM spolu*( S03/net )    </t>
  </si>
  <si>
    <t xml:space="preserve">Prvotne ocenenie 02,03                       </t>
  </si>
  <si>
    <t xml:space="preserve"> Pozemky                       S12/bru: 031  </t>
  </si>
  <si>
    <t xml:space="preserve"> Stavby                        S13/bru: 021  </t>
  </si>
  <si>
    <t xml:space="preserve"> Samostat.hnutel.veci a subory S14/bru: 022  </t>
  </si>
  <si>
    <t xml:space="preserve"> Pestovat.celky trval.porastov S15/bru: 025  </t>
  </si>
  <si>
    <t xml:space="preserve"> Zakladne stado a taz.zvierata S16/bru: 026  </t>
  </si>
  <si>
    <t xml:space="preserve"> Ostatny DHM                 S17/bru: 029,032</t>
  </si>
  <si>
    <t xml:space="preserve"> Obstaravany DHM               S18/bru: 042  </t>
  </si>
  <si>
    <t xml:space="preserve"> Poskytnute predavky na DHM    S19/bru: 052  </t>
  </si>
  <si>
    <t xml:space="preserve"> Opravna polozka k nadob.majet.S20/bru: 097  </t>
  </si>
  <si>
    <t xml:space="preserve">Prvotne ocenenie DHM spolu*  ( S11/bru )     </t>
  </si>
  <si>
    <t xml:space="preserve">Opravky 08.                                  </t>
  </si>
  <si>
    <t xml:space="preserve"> Pozemky                         ( =0 )      </t>
  </si>
  <si>
    <t xml:space="preserve"> Stavby                      S13/kor-a: 081  </t>
  </si>
  <si>
    <t xml:space="preserve"> Samostat.hnut.veci a subory S14/kor-a: 082  </t>
  </si>
  <si>
    <t xml:space="preserve"> Pestovat.celky trv.porastov S15/kor-a: 085  </t>
  </si>
  <si>
    <t xml:space="preserve"> Zakl.stado a tazne zvierata S16/kor-a: 086  </t>
  </si>
  <si>
    <t xml:space="preserve"> Ostatny DHM                 S17/kor-a: 089  </t>
  </si>
  <si>
    <t xml:space="preserve"> Obstaravany DHM                 ( =0 )      </t>
  </si>
  <si>
    <t xml:space="preserve"> Poskytnute preddavky na DHM     ( =0 )      </t>
  </si>
  <si>
    <t xml:space="preserve"> Opravna polozka k nadob.majetku ( =0 )      </t>
  </si>
  <si>
    <t xml:space="preserve">Opravky DHM spolu*         ( S11/kor-a )     </t>
  </si>
  <si>
    <t xml:space="preserve">Opravne polozky 092,094,095                  </t>
  </si>
  <si>
    <t xml:space="preserve"> Pozemky                     S12/kor  : 0920.</t>
  </si>
  <si>
    <t xml:space="preserve"> Stavby                      S13/kor-b: 0921.</t>
  </si>
  <si>
    <t xml:space="preserve"> Samostatne hnutelne veci S14/kor-b: 0922,3,4</t>
  </si>
  <si>
    <t xml:space="preserve"> Pest.celky trvalych porast. S15/kor-b: 0925.</t>
  </si>
  <si>
    <t xml:space="preserve"> Zakl.stado a tazne zvierata S16/kor-b: 0926.</t>
  </si>
  <si>
    <t xml:space="preserve"> Ostatny DHM                 S17/kor-b: 092zv</t>
  </si>
  <si>
    <t xml:space="preserve"> Obstaravany DHM             S18/kor  : 094  </t>
  </si>
  <si>
    <t xml:space="preserve"> Poskytnute preddavky na DHM S19/kor  : 095  </t>
  </si>
  <si>
    <t xml:space="preserve"> Oprav.polozka k nadob.majet.S20/kor  : 098  </t>
  </si>
  <si>
    <t xml:space="preserve">Opravne polozky DHM spolu* ( S11/kor-b )     </t>
  </si>
  <si>
    <t xml:space="preserve"> Pozemky                            S12/net  </t>
  </si>
  <si>
    <t xml:space="preserve"> Stavby                             S13/net  </t>
  </si>
  <si>
    <t xml:space="preserve"> Samostat.hnutelne veci a subory    S14/net  </t>
  </si>
  <si>
    <t xml:space="preserve"> Pestovat.celky trvalych porastov   S15/net  </t>
  </si>
  <si>
    <t xml:space="preserve"> Zakladne stado a tazne zvierata    S16/net  </t>
  </si>
  <si>
    <t xml:space="preserve"> Ostatny DHM                        S17/net  </t>
  </si>
  <si>
    <t xml:space="preserve"> Obstaravany DHM                    S18/net  </t>
  </si>
  <si>
    <t xml:space="preserve"> Poskytnute preddavky na DHM        S19/net  </t>
  </si>
  <si>
    <t xml:space="preserve"> Opravna polozka k nadob.majetku    S20/net  </t>
  </si>
  <si>
    <t>Zostatkova hodnota DHM spolu*     ( S11/net )</t>
  </si>
  <si>
    <t xml:space="preserve">Prvotne ocenenie 06.                         </t>
  </si>
  <si>
    <t xml:space="preserve"> Podielove CP a podiely -prepoj.UJ  S22/bru  </t>
  </si>
  <si>
    <t xml:space="preserve"> Podielove CP a podiely -podiel.uc  S23/bru  </t>
  </si>
  <si>
    <t xml:space="preserve"> Ostatne realizovat.CP a podiely    S24/bru  </t>
  </si>
  <si>
    <t xml:space="preserve"> Pozicky prepojenym UJ              S25/bru  </t>
  </si>
  <si>
    <t xml:space="preserve"> Pozicky v ramci podielovej ucasti  S26/bru  </t>
  </si>
  <si>
    <t xml:space="preserve"> Ostatne pozicky                    S27/bru  </t>
  </si>
  <si>
    <t xml:space="preserve"> Dlhove CP a ostatny DFM            S28/bru  </t>
  </si>
  <si>
    <t xml:space="preserve"> Pozicky so splat.do 1 roka         S29/bru  </t>
  </si>
  <si>
    <t xml:space="preserve"> Ucty v bankach s viazan. nad 1rok  S30/bru  </t>
  </si>
  <si>
    <t xml:space="preserve"> Obstaravany DFM                    S31/bru  </t>
  </si>
  <si>
    <t xml:space="preserve"> Poskytnute preddavky na DFM        S32/bru  </t>
  </si>
  <si>
    <t>Prvotne ocenenie DFM spolu*       ( S21/bru )</t>
  </si>
  <si>
    <t xml:space="preserve">Opravne polozky 096                          </t>
  </si>
  <si>
    <t xml:space="preserve"> Podielove CP a podiely -prepoj.UJ  S22/kor  </t>
  </si>
  <si>
    <t xml:space="preserve"> Podielove CP a podiely -podiel.uc  S23/kor  </t>
  </si>
  <si>
    <t xml:space="preserve"> Ostatne realizovat.CP a podiely    S24/kor  </t>
  </si>
  <si>
    <t xml:space="preserve"> Pozicky prepojenym UJ              S25/kor  </t>
  </si>
  <si>
    <t xml:space="preserve"> Pozicky v ramci podielovej ucasti  S26/kor  </t>
  </si>
  <si>
    <t xml:space="preserve"> Ostatne pozicky                    S27/kor  </t>
  </si>
  <si>
    <t xml:space="preserve"> Dlhove CP a ostatny DFM            S28/kor  </t>
  </si>
  <si>
    <t xml:space="preserve"> Pozicky so splat.do 1 roka         S29/kor  </t>
  </si>
  <si>
    <t xml:space="preserve"> Ucty v bankach s viazan. nad 1 rok S30/kor  </t>
  </si>
  <si>
    <t xml:space="preserve"> Obstaravany DFM                    S31/kor  </t>
  </si>
  <si>
    <t xml:space="preserve"> Poskytnute preddavky na DFM        S32/kor  </t>
  </si>
  <si>
    <t>Opravne polozky DFM spolu*        ( S21/kor )</t>
  </si>
  <si>
    <t xml:space="preserve"> Podielove CP a podiely -prepoj.UJ  S22/net  </t>
  </si>
  <si>
    <t xml:space="preserve"> Podielove CP a podiely -podiel.uc  S23/net  </t>
  </si>
  <si>
    <t xml:space="preserve"> Ostatne realizovat.CP a podiely    S24/net  </t>
  </si>
  <si>
    <t xml:space="preserve"> Pozicky prepojenym UJ              S25/net  </t>
  </si>
  <si>
    <t xml:space="preserve"> Pozicky v ramci podielovej ucasti  S26/net  </t>
  </si>
  <si>
    <t xml:space="preserve"> Ostatne pozicky                    S27/net  </t>
  </si>
  <si>
    <t xml:space="preserve"> Dlhove CP a ostatny DFM            S28/net  </t>
  </si>
  <si>
    <t xml:space="preserve"> Pozicky so splat.do 1 roka         S29/net  </t>
  </si>
  <si>
    <t xml:space="preserve"> Ucty v bankach s viazan. nad 1 rok S30/net  </t>
  </si>
  <si>
    <t xml:space="preserve"> Obstaravany DFM                    S31/net  </t>
  </si>
  <si>
    <t xml:space="preserve"> Poskytnute preddavky na DFM        S32/net  </t>
  </si>
  <si>
    <t>Zostatkova hodnota DFM spolu*     ( S21/net )</t>
  </si>
  <si>
    <t xml:space="preserve">OP na zaciatku   </t>
  </si>
  <si>
    <t xml:space="preserve">Tvorba OP        </t>
  </si>
  <si>
    <t xml:space="preserve">Zuctovanie OP    </t>
  </si>
  <si>
    <t xml:space="preserve">Zuct.OP-vyrad    </t>
  </si>
  <si>
    <t xml:space="preserve">OP na konci      </t>
  </si>
  <si>
    <t xml:space="preserve">Material                   S35/kor: 191      </t>
  </si>
  <si>
    <t xml:space="preserve">NV a polotovary vl.vyroby  S36/kor: 192,193  </t>
  </si>
  <si>
    <t xml:space="preserve">Vyrobky                    S37/kor: 194      </t>
  </si>
  <si>
    <t xml:space="preserve">Zvierata                   S38/kor: 195      </t>
  </si>
  <si>
    <t xml:space="preserve">Tovar                      S39/kor: 196,19.  </t>
  </si>
  <si>
    <t xml:space="preserve">Nehnutelnost na predaj                       </t>
  </si>
  <si>
    <t xml:space="preserve">Poskytnute predd.na zasoby S40/kor: 39104.   </t>
  </si>
  <si>
    <t xml:space="preserve">(*) OP k zasobam spolu   ( S34/kor )         </t>
  </si>
  <si>
    <t xml:space="preserve">Pohl.z obchod.styku    S42+54                </t>
  </si>
  <si>
    <t xml:space="preserve">   - prepojene UJ      S43+55: 39118.,39128. </t>
  </si>
  <si>
    <t xml:space="preserve">   - podiel.ucast      S44+56: 39119.,39129. </t>
  </si>
  <si>
    <t xml:space="preserve">   - ostatne           S45+57: 3911..,39112. </t>
  </si>
  <si>
    <t xml:space="preserve">Cista hodnota zakazky  S46+58: ( =0 )        </t>
  </si>
  <si>
    <t xml:space="preserve">Ostat.P.voci prepoj.UJ S47+59: 39150.,39151. </t>
  </si>
  <si>
    <t xml:space="preserve">Ostat.P.v podiel.ucast S48+60: 39152.,39153. </t>
  </si>
  <si>
    <t>P.voci spol,clenom     S49+61: 39154.-61.,9..</t>
  </si>
  <si>
    <t xml:space="preserve">Socialne poistenie        S62: 39136         </t>
  </si>
  <si>
    <t xml:space="preserve">Danove pohl.a dotacie     S63: 3914.         </t>
  </si>
  <si>
    <t xml:space="preserve">Pohl.z derivat.operac. S50+64: ( =0 )        </t>
  </si>
  <si>
    <t xml:space="preserve">Ine pohladavky         S51+65: 391zv         </t>
  </si>
  <si>
    <t xml:space="preserve">Odlozena danova pohl.  S52   : ( =0 )        </t>
  </si>
  <si>
    <t xml:space="preserve">(*)OP k pohladav.spolu S41+53                </t>
  </si>
  <si>
    <t xml:space="preserve">V lehote do 1rok </t>
  </si>
  <si>
    <t xml:space="preserve">V lehote 1-5 r.  </t>
  </si>
  <si>
    <t xml:space="preserve">V lehote nad 5r  </t>
  </si>
  <si>
    <t xml:space="preserve">Po lehote splat. </t>
  </si>
  <si>
    <t xml:space="preserve">Pohladavky spolu </t>
  </si>
  <si>
    <t xml:space="preserve">Dlhodobe pohladavky                          </t>
  </si>
  <si>
    <t xml:space="preserve"> Pohl.z obchod.styk   S42                    </t>
  </si>
  <si>
    <t xml:space="preserve">   - prepojene UJ     S43: 311-315/88.       </t>
  </si>
  <si>
    <t xml:space="preserve">   - podiel.ucast     S44: 311-315/89.       </t>
  </si>
  <si>
    <t xml:space="preserve">   - ostatne          S45: 311-315/500-999   </t>
  </si>
  <si>
    <t xml:space="preserve"> Cista hodnota zakazk S46: 3169&gt;             </t>
  </si>
  <si>
    <t xml:space="preserve"> Ostat.P.voci prepoj. S47: 35188.            </t>
  </si>
  <si>
    <t xml:space="preserve"> Ostat.P.v podiel.uc. S48: 351&lt;500-999&gt;      </t>
  </si>
  <si>
    <t xml:space="preserve"> P.voci spol,clenom   S49: 354,5,8/500-999   </t>
  </si>
  <si>
    <t xml:space="preserve"> Pohl.z derivat.oper. S50: 3739&gt;,376&lt;500-999&gt;</t>
  </si>
  <si>
    <t xml:space="preserve"> Ine pohladavky S51:335&lt;500-899&gt;,371,4,5,8&lt;50</t>
  </si>
  <si>
    <t xml:space="preserve"> Odlozena danova pohladavka  S52: 481&gt;,4819&gt; </t>
  </si>
  <si>
    <t xml:space="preserve">Dlhodobe pohladavky spolu* ( S41 )           </t>
  </si>
  <si>
    <t xml:space="preserve">Kratkodobe pohladavky                        </t>
  </si>
  <si>
    <t xml:space="preserve"> Pohl.z obchod.styku  S54                    </t>
  </si>
  <si>
    <t xml:space="preserve">   - prepojene UJ     S55: 311-315/38.       </t>
  </si>
  <si>
    <t xml:space="preserve">   - podiel.ucast     S56: 311-315/39.       </t>
  </si>
  <si>
    <t xml:space="preserve">   - ostatne          S57: 311-315/000-499   </t>
  </si>
  <si>
    <t xml:space="preserve"> Cista hodnota zakazk S58: 316&gt;              </t>
  </si>
  <si>
    <t xml:space="preserve"> Ostat.P.voci prepoj. S59: 35138.            </t>
  </si>
  <si>
    <t xml:space="preserve"> Ostat.P.v podiel.uc. S60: 351&lt;000-499&gt;      </t>
  </si>
  <si>
    <t xml:space="preserve"> P.voci spol,clenom   S61: 354,5,8/000-499   </t>
  </si>
  <si>
    <t xml:space="preserve"> Socialne poistenie   S62: 336&gt;              </t>
  </si>
  <si>
    <t xml:space="preserve"> Danove pohl.a dotac. S63: 34.&gt;              </t>
  </si>
  <si>
    <t xml:space="preserve"> Pohl.z derivat.oper. S64: 373&gt;,376&lt;000-499&gt; </t>
  </si>
  <si>
    <t xml:space="preserve"> Ine pohladavky  S65: 335zv,371,4,5,8/000-499</t>
  </si>
  <si>
    <t xml:space="preserve">Kratkodobe pohladavky spolu*( S53 )          </t>
  </si>
  <si>
    <t xml:space="preserve">Bezne uct.obdob. </t>
  </si>
  <si>
    <t xml:space="preserve">Minule uct.obdob </t>
  </si>
  <si>
    <t xml:space="preserve">Pokladnica, ceniny        S72: 211,213       </t>
  </si>
  <si>
    <t>Bankove ucty bezne        S73: 221-2218-2219&lt;</t>
  </si>
  <si>
    <t xml:space="preserve">Bankove ucty s viaz.do 1r                    </t>
  </si>
  <si>
    <t xml:space="preserve">Peniaze na ceste               261           </t>
  </si>
  <si>
    <t xml:space="preserve">(*) Financ.ucty spolu                        </t>
  </si>
  <si>
    <t xml:space="preserve">Majetk.CP na obchod.v prepoj.UJ S67: 2518..  </t>
  </si>
  <si>
    <t xml:space="preserve">                    v neprepoj. S68: 251zv   </t>
  </si>
  <si>
    <t xml:space="preserve">Dlhove CP na obchod.v prepoj.UJ      2538..  </t>
  </si>
  <si>
    <t xml:space="preserve">                    v neprepoj.      253zv   </t>
  </si>
  <si>
    <t xml:space="preserve">Dlhove CP spl.do 1r v prepoj.UJ      2568..  </t>
  </si>
  <si>
    <t xml:space="preserve">                    v neprepoj.      256zv   </t>
  </si>
  <si>
    <t xml:space="preserve">Ostatne realizov.CP v prepoj.UJ      2578..  </t>
  </si>
  <si>
    <t xml:space="preserve">                    v neprepoj.     257zv,25.</t>
  </si>
  <si>
    <t xml:space="preserve">Emisne kvoty                                 </t>
  </si>
  <si>
    <t xml:space="preserve">Vlastne akcie a obch.podiely    S69:252      </t>
  </si>
  <si>
    <t>Obstaravanie kratkodob.fin.m    S70:259,3144.</t>
  </si>
  <si>
    <t xml:space="preserve">(*)Kratkodoby fin.majetok spolu S66          </t>
  </si>
  <si>
    <t xml:space="preserve">Majetk.CP na obchod.v prepoj.UJ S67/kor      </t>
  </si>
  <si>
    <t xml:space="preserve">                    v neprepoj. S68/kor      </t>
  </si>
  <si>
    <t xml:space="preserve">Dlhove CP na obchod.v prepoj.UJ              </t>
  </si>
  <si>
    <t xml:space="preserve">                    v neprepoj.              </t>
  </si>
  <si>
    <t xml:space="preserve">Dlhove CP spl.do 1r v prepoj.UJ              </t>
  </si>
  <si>
    <t>Ostatne realizov.CP v prepoj.UJ         2918.</t>
  </si>
  <si>
    <t xml:space="preserve">                    v neprepoj.         291zv</t>
  </si>
  <si>
    <t>Vlastne akcie a obch.podiely   S69/kor ( =0 )</t>
  </si>
  <si>
    <t>Obstaravanie KFM               S70/kor: 2919.</t>
  </si>
  <si>
    <t xml:space="preserve">(*)OP ku KFM spolu             S66/kor       </t>
  </si>
  <si>
    <t>Bezne uct.obdobie</t>
  </si>
  <si>
    <t>Minule uct.obdob.</t>
  </si>
  <si>
    <t xml:space="preserve">Naklady buducich obdobi spolu 381,382        </t>
  </si>
  <si>
    <t xml:space="preserve">Prijmy  buducich obdobi spolu 385            </t>
  </si>
  <si>
    <t xml:space="preserve">Stav na zaciatku </t>
  </si>
  <si>
    <t xml:space="preserve">Tvorba           </t>
  </si>
  <si>
    <t xml:space="preserve">Pouzitie         </t>
  </si>
  <si>
    <t xml:space="preserve">Zrusenie         </t>
  </si>
  <si>
    <t xml:space="preserve">Dlhodobe   rezervy spolu 451zv,459zv         </t>
  </si>
  <si>
    <t xml:space="preserve">Kratkodobe rezervy spolu 323,4519,4599       </t>
  </si>
  <si>
    <t xml:space="preserve">Zavazky spolu    </t>
  </si>
  <si>
    <t xml:space="preserve">Dlhodobe zavazky                             </t>
  </si>
  <si>
    <t xml:space="preserve"> Zavazky z obchod.styku   S103               </t>
  </si>
  <si>
    <t xml:space="preserve">   - prepojene UJ  S104: 32198.,47588.,47688.</t>
  </si>
  <si>
    <t xml:space="preserve">   - podiel.ucast  S105: 32199.,47589.,47689.</t>
  </si>
  <si>
    <t xml:space="preserve">   - ostatne       S106: 3219zv,47587.,476zv </t>
  </si>
  <si>
    <t xml:space="preserve"> Cista hodnota zakazky    S107: 3169&lt;        </t>
  </si>
  <si>
    <t xml:space="preserve"> Ostat.zav.voci prepoj.UJ S108: 47188.       </t>
  </si>
  <si>
    <t xml:space="preserve"> Ostat.zav.v podiel.ucast S109: 471zv        </t>
  </si>
  <si>
    <t xml:space="preserve"> Ostat.dlhodobe zavazky   S110: 479..-4799   </t>
  </si>
  <si>
    <t xml:space="preserve"> Dlhod.prijate preddavky  S111: 475zv-4759   </t>
  </si>
  <si>
    <t xml:space="preserve"> Dlhod.zmenky na uhradu   S112: 478..-4789   </t>
  </si>
  <si>
    <t xml:space="preserve"> Vydane dlhopisy   S113: 255/500-999,473-4739</t>
  </si>
  <si>
    <t xml:space="preserve"> Zavazky zo social.fondu  S114: 472          </t>
  </si>
  <si>
    <t xml:space="preserve"> Ine zavazky S115:33699&lt;,372/500-999,474-4749</t>
  </si>
  <si>
    <t xml:space="preserve"> Zav.z derivat.oper.  S116: 3739&lt;,377/500-999</t>
  </si>
  <si>
    <t xml:space="preserve"> Odlozeny danovy zavazok S117:  481&lt;,4819&lt;   </t>
  </si>
  <si>
    <t xml:space="preserve">Dlhodobe zavazky spolu*( S102 )              </t>
  </si>
  <si>
    <t xml:space="preserve">Kratkodobe zavazky                           </t>
  </si>
  <si>
    <t xml:space="preserve"> Zavazky z obchodneho styku S123             </t>
  </si>
  <si>
    <t xml:space="preserve">  -prepoj.UJ S124:321,2,4,5,6/88.,475,6,8/98.</t>
  </si>
  <si>
    <t xml:space="preserve">  -podiel.uc S125:321,2,4,5,6/89.,475,6,8/99.</t>
  </si>
  <si>
    <t xml:space="preserve">  -ostatne  S126:321,2,4,5,6-3219 475,6,8/9zv</t>
  </si>
  <si>
    <t xml:space="preserve"> Cista hodnota zakazky    S127: 316&lt;         </t>
  </si>
  <si>
    <t xml:space="preserve"> Ostatne Z.voci prepoj.UJ S128: 36138.,47198.</t>
  </si>
  <si>
    <t xml:space="preserve"> Ostatne Z.v podiel.ucast S129: 361zv ,4719zv</t>
  </si>
  <si>
    <t xml:space="preserve"> Z.voci spol,clen.S130:364-368,398&lt;,47890,479</t>
  </si>
  <si>
    <t xml:space="preserve"> Z.voci zamestnancom      S131:331,333,47992.</t>
  </si>
  <si>
    <t xml:space="preserve"> Z.zo social.poistenia    S132:336&lt;          </t>
  </si>
  <si>
    <t xml:space="preserve"> Danove zavaz.a dotacie   S133:34.&lt;          </t>
  </si>
  <si>
    <t xml:space="preserve"> Zav.z derivat.operacii S134:373&lt;,377/000-499</t>
  </si>
  <si>
    <t xml:space="preserve"> Ine zavazky S135:372/000-499,379,4749,47597,</t>
  </si>
  <si>
    <t xml:space="preserve">Kratkodobe zavazky spolu*( S122 )            </t>
  </si>
  <si>
    <t xml:space="preserve">Zaciatocny stav soc.fondu       472          </t>
  </si>
  <si>
    <t xml:space="preserve">   Tvorba SF na tarchu nakladov 472210       </t>
  </si>
  <si>
    <t xml:space="preserve">   Tvorba SF zo zisku           472211       </t>
  </si>
  <si>
    <t xml:space="preserve">   Ostatna tvorba SF            472... Dal   </t>
  </si>
  <si>
    <t xml:space="preserve"> Tvorba SF spolu                             </t>
  </si>
  <si>
    <t xml:space="preserve"> Cerpanie SF                    472... Md    </t>
  </si>
  <si>
    <t xml:space="preserve">Konecny zostatok soc.fondu ( S114 )          </t>
  </si>
  <si>
    <t xml:space="preserve">Mena             </t>
  </si>
  <si>
    <t xml:space="preserve">Urok%            </t>
  </si>
  <si>
    <t xml:space="preserve">D.spl            </t>
  </si>
  <si>
    <t>Istina aktual obd</t>
  </si>
  <si>
    <t>Istina aktual EUR</t>
  </si>
  <si>
    <t>Istina minule obd</t>
  </si>
  <si>
    <t>Istina minule EUR</t>
  </si>
  <si>
    <t xml:space="preserve">Dlhodobe   bankove uvery S121: 461-4619..    </t>
  </si>
  <si>
    <t>Kratkodobe bankove uvery S139: 23.,2219&lt;,4619</t>
  </si>
  <si>
    <t xml:space="preserve">Dlhodobe   pozicky             4739..        </t>
  </si>
  <si>
    <t xml:space="preserve">Kratkodobe pozicky             255/000-499/  </t>
  </si>
  <si>
    <t xml:space="preserve">Kratkodobe fin.vypomoci  S140: 24.           </t>
  </si>
  <si>
    <t xml:space="preserve">Vydavky buducich obdobi spolu 383            </t>
  </si>
  <si>
    <t xml:space="preserve">Vynosy  buducich obdobi spolu 384            </t>
  </si>
  <si>
    <t xml:space="preserve">Bezne obd.typ:1  </t>
  </si>
  <si>
    <t xml:space="preserve">2                </t>
  </si>
  <si>
    <t xml:space="preserve">3                </t>
  </si>
  <si>
    <t xml:space="preserve">4                </t>
  </si>
  <si>
    <t xml:space="preserve">5                </t>
  </si>
  <si>
    <t xml:space="preserve">6                </t>
  </si>
  <si>
    <t xml:space="preserve">Bezne obd.spolu  </t>
  </si>
  <si>
    <t xml:space="preserve">Minule obd.typ:1 </t>
  </si>
  <si>
    <t xml:space="preserve">Minule obd.spolu </t>
  </si>
  <si>
    <t xml:space="preserve">Trzby za vlastne vyrobky       601           </t>
  </si>
  <si>
    <t xml:space="preserve">Trzby z predaja sluzieb        602           </t>
  </si>
  <si>
    <t xml:space="preserve">Trzby za tovar                 604           </t>
  </si>
  <si>
    <t xml:space="preserve">Vynosy zo zakazky              606           </t>
  </si>
  <si>
    <t xml:space="preserve">Vynosy z nehnutel.na predaj    607           </t>
  </si>
  <si>
    <t xml:space="preserve">Ine vynosy zahrnut. 64102., 64803.           </t>
  </si>
  <si>
    <t xml:space="preserve">(*)Cisty obrat celkom (Zis.V01)              </t>
  </si>
  <si>
    <t xml:space="preserve">Kon.s-bezne      </t>
  </si>
  <si>
    <t xml:space="preserve">Poc.s-bezne      </t>
  </si>
  <si>
    <t xml:space="preserve">Kon.s-minule     </t>
  </si>
  <si>
    <t xml:space="preserve">Poc.s-minule     </t>
  </si>
  <si>
    <t xml:space="preserve">Zm.stavu-bezne   </t>
  </si>
  <si>
    <t xml:space="preserve">Zm.stavu-minul   </t>
  </si>
  <si>
    <t xml:space="preserve">NV a polotovary vl.vyroby 12./61.            </t>
  </si>
  <si>
    <t xml:space="preserve">Vyrobky                   123/613            </t>
  </si>
  <si>
    <t xml:space="preserve">Zvierata                  124/614            </t>
  </si>
  <si>
    <t xml:space="preserve">Spolu                                        </t>
  </si>
  <si>
    <t xml:space="preserve">Manka a skody                                </t>
  </si>
  <si>
    <t xml:space="preserve">Reprezentacne                                </t>
  </si>
  <si>
    <t xml:space="preserve">Dary                                         </t>
  </si>
  <si>
    <t xml:space="preserve">Ine                                          </t>
  </si>
  <si>
    <t xml:space="preserve">Zmena stavu VNP zasob v Zisk/s               </t>
  </si>
  <si>
    <t xml:space="preserve">Trzby za vlast.vykony a tovar, z toho 60.    </t>
  </si>
  <si>
    <t xml:space="preserve">  - vlastne vyrobky                   601    </t>
  </si>
  <si>
    <t xml:space="preserve">  - sluzby                            602    </t>
  </si>
  <si>
    <t xml:space="preserve">  - tovar                             604    </t>
  </si>
  <si>
    <t xml:space="preserve">  - zakazky, nehnutel.na predaj       606,607</t>
  </si>
  <si>
    <t xml:space="preserve">Vynosy pri aktivacii nakladov, z toho 62.    </t>
  </si>
  <si>
    <t xml:space="preserve">  - material a tovar                  621    </t>
  </si>
  <si>
    <t xml:space="preserve">  - vnutroorganizac.sluzby            622    </t>
  </si>
  <si>
    <t xml:space="preserve">  - DNHM a DHM                        623,624</t>
  </si>
  <si>
    <t xml:space="preserve">Ostatne vynosy z hosp.cinn., z toho   64.    </t>
  </si>
  <si>
    <t xml:space="preserve">  - trzby z predaja DNHM a DHM        641    </t>
  </si>
  <si>
    <t xml:space="preserve">  - trzby z predaja materialu         642    </t>
  </si>
  <si>
    <t xml:space="preserve">  - pokuty,penale a uroky z omeskania 644,645</t>
  </si>
  <si>
    <t xml:space="preserve">  - vynosy z odpisanych pohladavok    646    </t>
  </si>
  <si>
    <t xml:space="preserve">  - ostatne vynosy z hosp.cinnosti    648    </t>
  </si>
  <si>
    <t xml:space="preserve">Financne vynosy spolu, z toho         66.    </t>
  </si>
  <si>
    <t xml:space="preserve">  - kurzove zisky                     663    </t>
  </si>
  <si>
    <t xml:space="preserve">      - kurz.zisky ku dnu zostav.UZ          </t>
  </si>
  <si>
    <t xml:space="preserve">  - trzby z CP a podiel, precen.CP    661,664</t>
  </si>
  <si>
    <t xml:space="preserve">  - vynosove uroky                    662    </t>
  </si>
  <si>
    <t xml:space="preserve">  - vynosy z DFM,KFM,derivat.oper.    665,6,7</t>
  </si>
  <si>
    <t xml:space="preserve">  - ostatne fin.vynosy                668    </t>
  </si>
  <si>
    <t xml:space="preserve">Vynosy vynimocneho rozsahu                   </t>
  </si>
  <si>
    <t xml:space="preserve">Osobne naklady spolu, z toho      52.        </t>
  </si>
  <si>
    <t xml:space="preserve">  - mzdy                          521,522    </t>
  </si>
  <si>
    <t xml:space="preserve">  - ostat.nakl.na zavislu cinnost 523        </t>
  </si>
  <si>
    <t xml:space="preserve">  - socialne  poistenie           524zv,525  </t>
  </si>
  <si>
    <t xml:space="preserve">  - zdravotne poistenie           52402.     </t>
  </si>
  <si>
    <t xml:space="preserve">  - socialne  zabezpecenie        526,527,528</t>
  </si>
  <si>
    <t xml:space="preserve">Naklady za poskyt.sluzby, z toho      51.    </t>
  </si>
  <si>
    <t xml:space="preserve">  - opravy a udrzba                   511    </t>
  </si>
  <si>
    <t xml:space="preserve">  - cestovne                          512    </t>
  </si>
  <si>
    <t xml:space="preserve">  - naklady na reprezentaciu          513    </t>
  </si>
  <si>
    <t xml:space="preserve">  - ostatne sluzby                    518    </t>
  </si>
  <si>
    <t xml:space="preserve">Ostatne naklady z hospod.cinn, z toho 54.    </t>
  </si>
  <si>
    <t xml:space="preserve">  - zost.cena predaneho DNHM,DHM      541    </t>
  </si>
  <si>
    <t xml:space="preserve">  - predany material                  542    </t>
  </si>
  <si>
    <t xml:space="preserve">  - dary                              543    </t>
  </si>
  <si>
    <t xml:space="preserve">  - pokuty,penale,uroky z omeskania   544,545</t>
  </si>
  <si>
    <t xml:space="preserve">  - odpis pohladavok,tvorba a zuct.OP 546,547</t>
  </si>
  <si>
    <t xml:space="preserve">  - manka,skody a ostatne hos.naklady 548,549</t>
  </si>
  <si>
    <t xml:space="preserve">Financne naklady spolu, z toho        56.    </t>
  </si>
  <si>
    <t xml:space="preserve">  - kurzove straty                    563    </t>
  </si>
  <si>
    <t xml:space="preserve">      - kurz.straty ku dnu zostav.UZ         </t>
  </si>
  <si>
    <t xml:space="preserve">  - predane CP a podiely, precen.CP   561,564</t>
  </si>
  <si>
    <t xml:space="preserve">  - nakladove uroky                   562    </t>
  </si>
  <si>
    <t xml:space="preserve">  - OP k fin.maj, derivat.oper, KFM   565,6,7</t>
  </si>
  <si>
    <t xml:space="preserve">  - manka,skody a ostatne fin.naklady 568,569</t>
  </si>
  <si>
    <t xml:space="preserve">Naklady vynimocneho rozsahu spolu            </t>
  </si>
  <si>
    <t xml:space="preserve">Zaklad bez.o     </t>
  </si>
  <si>
    <t xml:space="preserve">Dan bez.obd.     </t>
  </si>
  <si>
    <t xml:space="preserve">Dan v %          </t>
  </si>
  <si>
    <t xml:space="preserve">Zaklad min.o     </t>
  </si>
  <si>
    <t xml:space="preserve">Dan min.obd.     </t>
  </si>
  <si>
    <t xml:space="preserve">Splatna  dan z prijmov  591                  </t>
  </si>
  <si>
    <t xml:space="preserve">Odlozena dan z prijmov  592                  </t>
  </si>
  <si>
    <t xml:space="preserve">(*)Celkova  dan z prijmov                    </t>
  </si>
  <si>
    <t>Zakladne imanie                 S082: 411,491</t>
  </si>
  <si>
    <t>Zmena zakladneho imania         S083:     419</t>
  </si>
  <si>
    <t>Pohladavky za upisane vl.imanie S084:     353</t>
  </si>
  <si>
    <t>Emisne azio                     S085:     412</t>
  </si>
  <si>
    <t>Ostatne kapitalove fondy        S086:     413</t>
  </si>
  <si>
    <t>Zakon.rezerv.fond a nedel.f S088: 417,8,421,2</t>
  </si>
  <si>
    <t>Rezerv.fond na vlast.akcie  S089: 4178.,4218.</t>
  </si>
  <si>
    <t>Statutarne fondy                     S091:423</t>
  </si>
  <si>
    <t>Ostatne fondy                        S092:427</t>
  </si>
  <si>
    <t>Ocen.rozdiely z precen.majet.a zavaz S094:414</t>
  </si>
  <si>
    <t>Ocen.rozdiely z kapitalovych ucastin S095:415</t>
  </si>
  <si>
    <t>Ocen.rozd.z precenenia pri zluceni   S096:416</t>
  </si>
  <si>
    <t>Nerozdeleny zisk minulych rokov      S098:428</t>
  </si>
  <si>
    <t>Neuhradena strata minulych rokov     S099:429</t>
  </si>
  <si>
    <t>HV bezneho uct.obdobia               S100:6-5</t>
  </si>
  <si>
    <t xml:space="preserve">(*) Vlastne imanie spolu             S080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</si>
</sst>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-#,##0;;"/>
  </numFmts>
  <fonts count="2" x14ac:knownFonts="1">
    <font>
      <sz val="11"/>
      <name val="Calibri"/>
    </font>
    <font>
      <sz val="12"/>
      <color rgb="FF000000"/>
      <name val="Calibri"/>
    </font>
  </fonts>
  <fills count="28">
    <fill>
      <patternFill patternType="none"/>
    </fill>
    <fill>
      <patternFill patternType="gray125"/>
    </fill>
    <fill>
      <patternFill patternType="solid">
        <fgColor rgb="FFC4DDFF"/>
        <bgColor rgb="FF000041"/>
      </patternFill>
    </fill>
    <fill>
      <patternFill patternType="solid">
        <fgColor rgb="FFC4DDFF"/>
        <bgColor rgb="FF000041"/>
      </patternFill>
    </fill>
    <fill>
      <patternFill patternType="solid">
        <fgColor rgb="FFFFFFFF"/>
        <bgColor rgb="FF000041"/>
      </patternFill>
    </fill>
    <fill>
      <patternFill patternType="solid">
        <fgColor rgb="FFFFFFFF"/>
        <bgColor rgb="FF000041"/>
      </patternFill>
    </fill>
    <fill>
      <patternFill patternType="solid">
        <fgColor rgb="FFFFFFFF"/>
        <bgColor rgb="FF000041"/>
      </patternFill>
    </fill>
    <fill>
      <patternFill patternType="solid">
        <fgColor rgb="FFF4F4EA"/>
        <bgColor rgb="FF000041"/>
      </patternFill>
    </fill>
    <fill>
      <patternFill patternType="solid">
        <fgColor rgb="FFF4F4EA"/>
        <bgColor rgb="FF000041"/>
      </patternFill>
    </fill>
    <fill>
      <patternFill patternType="solid">
        <fgColor rgb="FFF4F4EA"/>
        <bgColor rgb="FF000041"/>
      </patternFill>
    </fill>
    <fill>
      <patternFill patternType="solid">
        <fgColor rgb="FFF4F4EA"/>
        <bgColor rgb="FF000041"/>
      </patternFill>
    </fill>
    <fill>
      <patternFill patternType="solid">
        <fgColor rgb="FFF4F4EA"/>
        <bgColor rgb="FF000041"/>
      </patternFill>
    </fill>
    <fill>
      <patternFill patternType="solid">
        <fgColor rgb="FFF9F9F2"/>
        <bgColor rgb="FF000041"/>
      </patternFill>
    </fill>
    <fill>
      <patternFill patternType="solid">
        <fgColor rgb="FFF9F9F2"/>
        <bgColor rgb="FF000041"/>
      </patternFill>
    </fill>
    <fill>
      <patternFill patternType="solid">
        <fgColor rgb="FFF9F9F2"/>
        <bgColor rgb="FF000041"/>
      </patternFill>
    </fill>
    <fill>
      <patternFill patternType="solid">
        <fgColor rgb="FFF9F9F2"/>
        <bgColor rgb="FF000041"/>
      </patternFill>
    </fill>
    <fill>
      <patternFill patternType="solid">
        <fgColor rgb="FFF9F9F2"/>
        <bgColor rgb="FF000041"/>
      </patternFill>
    </fill>
    <fill>
      <patternFill patternType="solid">
        <fgColor rgb="FFF9F9F2"/>
        <bgColor rgb="FF000041"/>
      </patternFill>
    </fill>
    <fill>
      <patternFill patternType="solid">
        <fgColor rgb="FFF9F9F2"/>
        <bgColor rgb="FF000041"/>
      </patternFill>
    </fill>
    <fill>
      <patternFill patternType="solid">
        <fgColor rgb="FFF9F9F2"/>
        <bgColor rgb="FF000041"/>
      </patternFill>
    </fill>
    <fill>
      <patternFill patternType="solid">
        <fgColor rgb="FFF9F9F2"/>
        <bgColor rgb="FF000041"/>
      </patternFill>
    </fill>
    <fill>
      <patternFill patternType="solid">
        <fgColor rgb="FFF9F9F2"/>
        <bgColor rgb="FF000041"/>
      </patternFill>
    </fill>
    <fill>
      <patternFill patternType="solid">
        <fgColor rgb="FFF9F9F2"/>
        <bgColor rgb="FF000041"/>
      </patternFill>
    </fill>
    <fill>
      <patternFill patternType="solid">
        <fgColor rgb="FFF9F9F2"/>
        <bgColor rgb="FF000041"/>
      </patternFill>
    </fill>
    <fill>
      <patternFill patternType="solid">
        <fgColor rgb="FFF9F9F2"/>
        <bgColor rgb="FF000041"/>
      </patternFill>
    </fill>
    <fill>
      <patternFill patternType="solid">
        <fgColor rgb="FFF9F9F2"/>
        <bgColor rgb="FF000041"/>
      </patternFill>
    </fill>
    <fill>
      <patternFill patternType="solid">
        <fgColor rgb="FFF9F9F2"/>
        <bgColor rgb="FF000041"/>
      </patternFill>
    </fill>
    <fill>
      <patternFill patternType="solid">
        <fgColor rgb="FFF4F4EA"/>
        <bgColor rgb="FF000041"/>
      </patternFill>
    </fill>
  </fills>
  <borders count="27">
    <border>
      <left/>
      <right/>
      <top/>
      <bottom/>
      <diagonal/>
    </border>
    <border>
      <left style="thin">
        <color rgb="FF000040"/>
      </left>
      <right style="thin">
        <color rgb="FF000040"/>
      </right>
      <top style="thin">
        <color rgb="FF000040"/>
      </top>
      <bottom style="thin">
        <color rgb="FF000040"/>
      </bottom>
      <diagonal/>
    </border>
    <border>
      <left style="thin">
        <color rgb="FF000040"/>
      </left>
      <right style="thin">
        <color rgb="FF000040"/>
      </right>
      <top style="thin">
        <color rgb="FF000040"/>
      </top>
      <bottom style="thin">
        <color rgb="FF000040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" xfId="0" applyFont="1" applyFill="1" applyBorder="1" applyAlignment="1">
      <alignment horizontal="left" wrapText="1"/>
    </xf>
    <xf numFmtId="0" fontId="1" fillId="3" borderId="2" xfId="0" applyFont="1" applyFill="1" applyBorder="1" applyAlignment="1">
      <alignment horizontal="right" wrapText="1"/>
    </xf>
    <xf numFmtId="0" fontId="1" fillId="4" borderId="3" xfId="0" applyFont="1" applyFill="1" applyBorder="1" applyAlignment="1">
      <alignment horizontal="left"/>
    </xf>
    <xf numFmtId="164" fontId="1" fillId="5" borderId="4" xfId="0" applyNumberFormat="1" applyFont="1" applyFill="1" applyBorder="1" applyAlignment="1">
      <alignment horizontal="right"/>
    </xf>
    <xf numFmtId="0" fontId="1" fillId="6" borderId="5" xfId="0" applyFont="1" applyFill="1" applyBorder="1" applyAlignment="1">
      <alignment horizontal="right"/>
    </xf>
    <xf numFmtId="0" fontId="1" fillId="7" borderId="6" xfId="0" applyFont="1" applyFill="1" applyBorder="1" applyAlignment="1">
      <alignment horizontal="left"/>
    </xf>
    <xf numFmtId="0" fontId="1" fillId="8" borderId="7" xfId="0" applyFont="1" applyFill="1" applyBorder="1" applyAlignment="1">
      <alignment horizontal="right"/>
    </xf>
    <xf numFmtId="164" fontId="1" fillId="9" borderId="8" xfId="0" applyNumberFormat="1" applyFont="1" applyFill="1" applyBorder="1" applyAlignment="1">
      <alignment horizontal="right"/>
    </xf>
    <xf numFmtId="164" fontId="1" fillId="10" borderId="9" xfId="0" applyNumberFormat="1" applyFont="1" applyFill="1" applyBorder="1" applyAlignment="1">
      <alignment horizontal="right"/>
    </xf>
    <xf numFmtId="164" fontId="1" fillId="11" borderId="10" xfId="0" applyNumberFormat="1" applyFont="1" applyFill="1" applyBorder="1" applyAlignment="1">
      <alignment horizontal="right"/>
    </xf>
    <xf numFmtId="0" fontId="1" fillId="12" borderId="11" xfId="0" applyFont="1" applyFill="1" applyBorder="1" applyAlignment="1">
      <alignment horizontal="left"/>
    </xf>
    <xf numFmtId="0" fontId="1" fillId="13" borderId="12" xfId="0" applyFont="1" applyFill="1" applyBorder="1" applyAlignment="1">
      <alignment horizontal="right"/>
    </xf>
    <xf numFmtId="164" fontId="1" fillId="14" borderId="13" xfId="0" applyNumberFormat="1" applyFont="1" applyFill="1" applyBorder="1" applyAlignment="1">
      <alignment horizontal="right"/>
    </xf>
    <xf numFmtId="164" fontId="1" fillId="15" borderId="14" xfId="0" applyNumberFormat="1" applyFont="1" applyFill="1" applyBorder="1" applyAlignment="1">
      <alignment horizontal="right"/>
    </xf>
    <xf numFmtId="164" fontId="1" fillId="16" borderId="15" xfId="0" applyNumberFormat="1" applyFont="1" applyFill="1" applyBorder="1" applyAlignment="1">
      <alignment horizontal="right"/>
    </xf>
    <xf numFmtId="164" fontId="1" fillId="17" borderId="16" xfId="0" applyNumberFormat="1" applyFont="1" applyFill="1" applyBorder="1" applyAlignment="1">
      <alignment horizontal="right"/>
    </xf>
    <xf numFmtId="164" fontId="1" fillId="18" borderId="17" xfId="0" applyNumberFormat="1" applyFont="1" applyFill="1" applyBorder="1" applyAlignment="1">
      <alignment horizontal="right"/>
    </xf>
    <xf numFmtId="164" fontId="1" fillId="19" borderId="18" xfId="0" applyNumberFormat="1" applyFont="1" applyFill="1" applyBorder="1" applyAlignment="1">
      <alignment horizontal="right"/>
    </xf>
    <xf numFmtId="164" fontId="1" fillId="20" borderId="19" xfId="0" applyNumberFormat="1" applyFont="1" applyFill="1" applyBorder="1" applyAlignment="1">
      <alignment horizontal="right"/>
    </xf>
    <xf numFmtId="164" fontId="1" fillId="21" borderId="20" xfId="0" applyNumberFormat="1" applyFont="1" applyFill="1" applyBorder="1" applyAlignment="1">
      <alignment horizontal="right"/>
    </xf>
    <xf numFmtId="164" fontId="1" fillId="22" borderId="21" xfId="0" applyNumberFormat="1" applyFont="1" applyFill="1" applyBorder="1" applyAlignment="1">
      <alignment horizontal="right"/>
    </xf>
    <xf numFmtId="164" fontId="1" fillId="23" borderId="22" xfId="0" applyNumberFormat="1" applyFont="1" applyFill="1" applyBorder="1" applyAlignment="1">
      <alignment horizontal="right"/>
    </xf>
    <xf numFmtId="164" fontId="1" fillId="24" borderId="23" xfId="0" applyNumberFormat="1" applyFont="1" applyFill="1" applyBorder="1" applyAlignment="1">
      <alignment horizontal="right"/>
    </xf>
    <xf numFmtId="164" fontId="1" fillId="25" borderId="24" xfId="0" applyNumberFormat="1" applyFont="1" applyFill="1" applyBorder="1" applyAlignment="1">
      <alignment horizontal="right"/>
    </xf>
    <xf numFmtId="164" fontId="1" fillId="26" borderId="25" xfId="0" applyNumberFormat="1" applyFont="1" applyFill="1" applyBorder="1" applyAlignment="1">
      <alignment horizontal="right"/>
    </xf>
    <xf numFmtId="164" fontId="1" fillId="27" borderId="26" xfId="0" applyNumberFormat="1" applyFont="1" applyFill="1" applyBorder="1" applyAlignment="1">
      <alignment horizontal="right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F42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45.7109375" customWidth="1"/>
    <col min="2" max="2" width="5.7109375" customWidth="1"/>
    <col min="3" max="7" width="17.7109375" customWidth="1"/>
    <col min="8" max="12" width="0" hidden="1" customWidth="1"/>
    <col min="13" max="17" width="17.7109375" customWidth="1"/>
    <col min="18" max="84" width="0" hidden="1" customWidth="1"/>
  </cols>
  <sheetData>
    <row r="1" spans="1:84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 t="s">
        <v>2</v>
      </c>
      <c r="N1" s="2" t="s">
        <v>3</v>
      </c>
      <c r="O1" s="2" t="s">
        <v>4</v>
      </c>
      <c r="P1" s="2" t="s">
        <v>5</v>
      </c>
      <c r="Q1" s="2" t="s">
        <v>6</v>
      </c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spans="1:84" ht="15.75" x14ac:dyDescent="0.25">
      <c r="A2" s="3" t="s">
        <v>7</v>
      </c>
      <c r="C2" s="4">
        <v>0</v>
      </c>
      <c r="D2" s="4">
        <v>0</v>
      </c>
      <c r="E2" s="4">
        <v>0</v>
      </c>
      <c r="F2" s="4">
        <v>0</v>
      </c>
      <c r="G2" s="4">
        <v>0</v>
      </c>
      <c r="M2" s="4">
        <v>0</v>
      </c>
      <c r="N2" s="4">
        <v>0</v>
      </c>
      <c r="O2" s="4">
        <v>0</v>
      </c>
      <c r="P2" s="4">
        <v>0</v>
      </c>
      <c r="Q2" s="4">
        <v>0</v>
      </c>
    </row>
    <row r="3" spans="1:84" ht="15.75" x14ac:dyDescent="0.25">
      <c r="A3" s="3" t="s">
        <v>8</v>
      </c>
      <c r="B3" s="5">
        <v>201</v>
      </c>
      <c r="C3" s="4">
        <v>0</v>
      </c>
      <c r="D3" s="4">
        <v>0</v>
      </c>
      <c r="E3" s="4">
        <v>0</v>
      </c>
      <c r="F3" s="4">
        <v>0</v>
      </c>
      <c r="G3" s="4">
        <f t="shared" ref="G3:G10" si="0">$C3+$D3-$E3-$F3</f>
        <v>0</v>
      </c>
      <c r="M3" s="4">
        <v>0</v>
      </c>
      <c r="N3" s="4">
        <v>0</v>
      </c>
      <c r="O3" s="4">
        <v>0</v>
      </c>
      <c r="P3" s="4">
        <v>0</v>
      </c>
      <c r="Q3" s="4">
        <f t="shared" ref="Q3:Q10" si="1">$M3+$N3-$O3-$P3</f>
        <v>0</v>
      </c>
    </row>
    <row r="4" spans="1:84" ht="15.75" x14ac:dyDescent="0.25">
      <c r="A4" s="3" t="s">
        <v>9</v>
      </c>
      <c r="B4" s="5">
        <v>202</v>
      </c>
      <c r="C4" s="4">
        <v>158</v>
      </c>
      <c r="D4" s="4">
        <v>0</v>
      </c>
      <c r="E4" s="4">
        <v>0</v>
      </c>
      <c r="F4" s="4">
        <v>0</v>
      </c>
      <c r="G4" s="4">
        <f t="shared" si="0"/>
        <v>158</v>
      </c>
      <c r="M4" s="4">
        <v>158</v>
      </c>
      <c r="N4" s="4">
        <v>0</v>
      </c>
      <c r="O4" s="4">
        <v>0</v>
      </c>
      <c r="P4" s="4">
        <v>0</v>
      </c>
      <c r="Q4" s="4">
        <f t="shared" si="1"/>
        <v>158</v>
      </c>
    </row>
    <row r="5" spans="1:84" ht="15.75" x14ac:dyDescent="0.25">
      <c r="A5" s="3" t="s">
        <v>10</v>
      </c>
      <c r="B5" s="5">
        <v>203</v>
      </c>
      <c r="C5" s="4">
        <v>0</v>
      </c>
      <c r="D5" s="4">
        <v>0</v>
      </c>
      <c r="E5" s="4">
        <v>0</v>
      </c>
      <c r="F5" s="4">
        <v>0</v>
      </c>
      <c r="G5" s="4">
        <f t="shared" si="0"/>
        <v>0</v>
      </c>
      <c r="M5" s="4">
        <v>0</v>
      </c>
      <c r="N5" s="4">
        <v>0</v>
      </c>
      <c r="O5" s="4">
        <v>0</v>
      </c>
      <c r="P5" s="4">
        <v>0</v>
      </c>
      <c r="Q5" s="4">
        <f t="shared" si="1"/>
        <v>0</v>
      </c>
    </row>
    <row r="6" spans="1:84" ht="15.75" x14ac:dyDescent="0.25">
      <c r="A6" s="3" t="s">
        <v>11</v>
      </c>
      <c r="B6" s="5">
        <v>204</v>
      </c>
      <c r="C6" s="4">
        <v>0</v>
      </c>
      <c r="D6" s="4">
        <v>0</v>
      </c>
      <c r="E6" s="4">
        <v>0</v>
      </c>
      <c r="F6" s="4">
        <v>0</v>
      </c>
      <c r="G6" s="4">
        <f t="shared" si="0"/>
        <v>0</v>
      </c>
      <c r="M6" s="4">
        <v>0</v>
      </c>
      <c r="N6" s="4">
        <v>0</v>
      </c>
      <c r="O6" s="4">
        <v>0</v>
      </c>
      <c r="P6" s="4">
        <v>0</v>
      </c>
      <c r="Q6" s="4">
        <f t="shared" si="1"/>
        <v>0</v>
      </c>
    </row>
    <row r="7" spans="1:84" ht="15.75" x14ac:dyDescent="0.25">
      <c r="A7" s="3" t="s">
        <v>12</v>
      </c>
      <c r="B7" s="5">
        <v>205</v>
      </c>
      <c r="C7" s="4">
        <v>0</v>
      </c>
      <c r="D7" s="4">
        <v>0</v>
      </c>
      <c r="E7" s="4">
        <v>0</v>
      </c>
      <c r="F7" s="4">
        <v>0</v>
      </c>
      <c r="G7" s="4">
        <f t="shared" si="0"/>
        <v>0</v>
      </c>
      <c r="M7" s="4">
        <v>0</v>
      </c>
      <c r="N7" s="4">
        <v>0</v>
      </c>
      <c r="O7" s="4">
        <v>0</v>
      </c>
      <c r="P7" s="4">
        <v>0</v>
      </c>
      <c r="Q7" s="4">
        <f t="shared" si="1"/>
        <v>0</v>
      </c>
    </row>
    <row r="8" spans="1:84" ht="15.75" x14ac:dyDescent="0.25">
      <c r="A8" s="3" t="s">
        <v>13</v>
      </c>
      <c r="B8" s="5">
        <v>206</v>
      </c>
      <c r="C8" s="4">
        <v>0</v>
      </c>
      <c r="D8" s="4">
        <v>0</v>
      </c>
      <c r="E8" s="4">
        <v>0</v>
      </c>
      <c r="F8" s="4">
        <v>0</v>
      </c>
      <c r="G8" s="4">
        <f t="shared" si="0"/>
        <v>0</v>
      </c>
      <c r="M8" s="4">
        <v>0</v>
      </c>
      <c r="N8" s="4">
        <v>0</v>
      </c>
      <c r="O8" s="4">
        <v>0</v>
      </c>
      <c r="P8" s="4">
        <v>0</v>
      </c>
      <c r="Q8" s="4">
        <f t="shared" si="1"/>
        <v>0</v>
      </c>
    </row>
    <row r="9" spans="1:84" ht="15.75" x14ac:dyDescent="0.25">
      <c r="A9" s="3" t="s">
        <v>14</v>
      </c>
      <c r="B9" s="5">
        <v>207</v>
      </c>
      <c r="C9" s="4">
        <v>0</v>
      </c>
      <c r="D9" s="4">
        <v>0</v>
      </c>
      <c r="E9" s="4">
        <v>0</v>
      </c>
      <c r="F9" s="4">
        <v>0</v>
      </c>
      <c r="G9" s="4">
        <f t="shared" si="0"/>
        <v>0</v>
      </c>
      <c r="M9" s="4">
        <v>0</v>
      </c>
      <c r="N9" s="4">
        <v>0</v>
      </c>
      <c r="O9" s="4">
        <v>0</v>
      </c>
      <c r="P9" s="4">
        <v>0</v>
      </c>
      <c r="Q9" s="4">
        <f t="shared" si="1"/>
        <v>0</v>
      </c>
    </row>
    <row r="10" spans="1:84" ht="15.75" x14ac:dyDescent="0.25">
      <c r="A10" s="6" t="s">
        <v>15</v>
      </c>
      <c r="B10" s="7">
        <v>208</v>
      </c>
      <c r="C10" s="8">
        <f>1*SUMIFS($C:$C,$B:$B,"&gt;=201",$B:$B,"&lt;=207")</f>
        <v>158</v>
      </c>
      <c r="D10" s="8">
        <f>1*SUMIFS($D:$D,$B:$B,"&gt;=201",$B:$B,"&lt;=207")</f>
        <v>0</v>
      </c>
      <c r="E10" s="8">
        <f>1*SUMIFS($E:$E,$B:$B,"&gt;=201",$B:$B,"&lt;=207")</f>
        <v>0</v>
      </c>
      <c r="F10" s="8">
        <f>1*SUMIFS($F:$F,$B:$B,"&gt;=201",$B:$B,"&lt;=207")</f>
        <v>0</v>
      </c>
      <c r="G10" s="8">
        <f t="shared" si="0"/>
        <v>158</v>
      </c>
      <c r="M10" s="8">
        <f>1*SUMIFS($M:$M,$B:$B,"&gt;=201",$B:$B,"&lt;=207")</f>
        <v>158</v>
      </c>
      <c r="N10" s="8">
        <f>1*SUMIFS($N:$N,$B:$B,"&gt;=201",$B:$B,"&lt;=207")</f>
        <v>0</v>
      </c>
      <c r="O10" s="8">
        <f>1*SUMIFS($O:$O,$B:$B,"&gt;=201",$B:$B,"&lt;=207")</f>
        <v>0</v>
      </c>
      <c r="P10" s="8">
        <f>1*SUMIFS($P:$P,$B:$B,"&gt;=201",$B:$B,"&lt;=207")</f>
        <v>0</v>
      </c>
      <c r="Q10" s="8">
        <f t="shared" si="1"/>
        <v>158</v>
      </c>
    </row>
    <row r="11" spans="1:84" ht="15.75" x14ac:dyDescent="0.25">
      <c r="A11" s="3"/>
      <c r="C11" s="4">
        <v>0</v>
      </c>
      <c r="D11" s="4">
        <v>0</v>
      </c>
      <c r="E11" s="4">
        <v>0</v>
      </c>
      <c r="F11" s="4">
        <v>0</v>
      </c>
      <c r="G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</row>
    <row r="12" spans="1:84" ht="15.75" x14ac:dyDescent="0.25">
      <c r="A12" s="3" t="s">
        <v>16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</row>
    <row r="13" spans="1:84" ht="15.75" x14ac:dyDescent="0.25">
      <c r="A13" s="3" t="s">
        <v>17</v>
      </c>
      <c r="B13" s="5">
        <v>211</v>
      </c>
      <c r="C13" s="4">
        <v>0</v>
      </c>
      <c r="D13" s="4">
        <v>0</v>
      </c>
      <c r="E13" s="4">
        <v>0</v>
      </c>
      <c r="F13" s="4">
        <v>0</v>
      </c>
      <c r="G13" s="4">
        <f t="shared" ref="G13:G20" si="2">$C13+$D13-$E13-$F13</f>
        <v>0</v>
      </c>
      <c r="M13" s="4">
        <v>0</v>
      </c>
      <c r="N13" s="4">
        <v>0</v>
      </c>
      <c r="O13" s="4">
        <v>0</v>
      </c>
      <c r="P13" s="4">
        <v>0</v>
      </c>
      <c r="Q13" s="4">
        <f t="shared" ref="Q13:Q20" si="3">$M13+$N13-$O13-$P13</f>
        <v>0</v>
      </c>
    </row>
    <row r="14" spans="1:84" ht="15.75" x14ac:dyDescent="0.25">
      <c r="A14" s="3" t="s">
        <v>18</v>
      </c>
      <c r="B14" s="5">
        <v>212</v>
      </c>
      <c r="C14" s="4">
        <v>158</v>
      </c>
      <c r="D14" s="4">
        <v>0</v>
      </c>
      <c r="E14" s="4">
        <v>0</v>
      </c>
      <c r="F14" s="4">
        <v>0</v>
      </c>
      <c r="G14" s="4">
        <f t="shared" si="2"/>
        <v>158</v>
      </c>
      <c r="M14" s="4">
        <v>158</v>
      </c>
      <c r="N14" s="4">
        <v>0</v>
      </c>
      <c r="O14" s="4">
        <v>0</v>
      </c>
      <c r="P14" s="4">
        <v>0</v>
      </c>
      <c r="Q14" s="4">
        <f t="shared" si="3"/>
        <v>158</v>
      </c>
    </row>
    <row r="15" spans="1:84" ht="15.75" x14ac:dyDescent="0.25">
      <c r="A15" s="3" t="s">
        <v>19</v>
      </c>
      <c r="B15" s="5">
        <v>213</v>
      </c>
      <c r="C15" s="4">
        <v>0</v>
      </c>
      <c r="D15" s="4">
        <v>0</v>
      </c>
      <c r="E15" s="4">
        <v>0</v>
      </c>
      <c r="F15" s="4">
        <v>0</v>
      </c>
      <c r="G15" s="4">
        <f t="shared" si="2"/>
        <v>0</v>
      </c>
      <c r="M15" s="4">
        <v>0</v>
      </c>
      <c r="N15" s="4">
        <v>0</v>
      </c>
      <c r="O15" s="4">
        <v>0</v>
      </c>
      <c r="P15" s="4">
        <v>0</v>
      </c>
      <c r="Q15" s="4">
        <f t="shared" si="3"/>
        <v>0</v>
      </c>
    </row>
    <row r="16" spans="1:84" ht="15.75" x14ac:dyDescent="0.25">
      <c r="A16" s="3" t="s">
        <v>20</v>
      </c>
      <c r="B16" s="5">
        <v>214</v>
      </c>
      <c r="C16" s="4">
        <v>0</v>
      </c>
      <c r="D16" s="4">
        <v>0</v>
      </c>
      <c r="E16" s="4">
        <v>0</v>
      </c>
      <c r="F16" s="4">
        <v>0</v>
      </c>
      <c r="G16" s="4">
        <f t="shared" si="2"/>
        <v>0</v>
      </c>
      <c r="M16" s="4">
        <v>0</v>
      </c>
      <c r="N16" s="4">
        <v>0</v>
      </c>
      <c r="O16" s="4">
        <v>0</v>
      </c>
      <c r="P16" s="4">
        <v>0</v>
      </c>
      <c r="Q16" s="4">
        <f t="shared" si="3"/>
        <v>0</v>
      </c>
    </row>
    <row r="17" spans="1:17" ht="15.75" x14ac:dyDescent="0.25">
      <c r="A17" s="3" t="s">
        <v>21</v>
      </c>
      <c r="B17" s="5">
        <v>215</v>
      </c>
      <c r="C17" s="4">
        <v>0</v>
      </c>
      <c r="D17" s="4">
        <v>0</v>
      </c>
      <c r="E17" s="4">
        <v>0</v>
      </c>
      <c r="F17" s="4">
        <v>0</v>
      </c>
      <c r="G17" s="4">
        <f t="shared" si="2"/>
        <v>0</v>
      </c>
      <c r="M17" s="4">
        <v>0</v>
      </c>
      <c r="N17" s="4">
        <v>0</v>
      </c>
      <c r="O17" s="4">
        <v>0</v>
      </c>
      <c r="P17" s="4">
        <v>0</v>
      </c>
      <c r="Q17" s="4">
        <f t="shared" si="3"/>
        <v>0</v>
      </c>
    </row>
    <row r="18" spans="1:17" ht="15.75" x14ac:dyDescent="0.25">
      <c r="A18" s="3" t="s">
        <v>22</v>
      </c>
      <c r="B18" s="5">
        <v>216</v>
      </c>
      <c r="C18" s="4">
        <v>0</v>
      </c>
      <c r="D18" s="4">
        <v>0</v>
      </c>
      <c r="E18" s="4">
        <v>0</v>
      </c>
      <c r="F18" s="4">
        <v>0</v>
      </c>
      <c r="G18" s="4">
        <f t="shared" si="2"/>
        <v>0</v>
      </c>
      <c r="M18" s="4">
        <v>0</v>
      </c>
      <c r="N18" s="4">
        <v>0</v>
      </c>
      <c r="O18" s="4">
        <v>0</v>
      </c>
      <c r="P18" s="4">
        <v>0</v>
      </c>
      <c r="Q18" s="4">
        <f t="shared" si="3"/>
        <v>0</v>
      </c>
    </row>
    <row r="19" spans="1:17" ht="15.75" x14ac:dyDescent="0.25">
      <c r="A19" s="3" t="s">
        <v>23</v>
      </c>
      <c r="B19" s="5">
        <v>217</v>
      </c>
      <c r="C19" s="4">
        <v>0</v>
      </c>
      <c r="D19" s="4">
        <v>0</v>
      </c>
      <c r="E19" s="4">
        <v>0</v>
      </c>
      <c r="F19" s="4">
        <v>0</v>
      </c>
      <c r="G19" s="4">
        <f t="shared" si="2"/>
        <v>0</v>
      </c>
      <c r="M19" s="4">
        <v>0</v>
      </c>
      <c r="N19" s="4">
        <v>0</v>
      </c>
      <c r="O19" s="4">
        <v>0</v>
      </c>
      <c r="P19" s="4">
        <v>0</v>
      </c>
      <c r="Q19" s="4">
        <f t="shared" si="3"/>
        <v>0</v>
      </c>
    </row>
    <row r="20" spans="1:17" ht="15.75" x14ac:dyDescent="0.25">
      <c r="A20" s="6" t="s">
        <v>24</v>
      </c>
      <c r="B20" s="7">
        <v>218</v>
      </c>
      <c r="C20" s="9">
        <f>1*SUMIFS($C:$C,$B:$B,"&gt;=211",$B:$B,"&lt;=217")</f>
        <v>158</v>
      </c>
      <c r="D20" s="9">
        <f>1*SUMIFS($D:$D,$B:$B,"&gt;=211",$B:$B,"&lt;=217")</f>
        <v>0</v>
      </c>
      <c r="E20" s="9">
        <f>1*SUMIFS($E:$E,$B:$B,"&gt;=211",$B:$B,"&lt;=217")</f>
        <v>0</v>
      </c>
      <c r="F20" s="9">
        <f>1*SUMIFS($F:$F,$B:$B,"&gt;=211",$B:$B,"&lt;=217")</f>
        <v>0</v>
      </c>
      <c r="G20" s="9">
        <f t="shared" si="2"/>
        <v>158</v>
      </c>
      <c r="M20" s="9">
        <f>1*SUMIFS($M:$M,$B:$B,"&gt;=211",$B:$B,"&lt;=217")</f>
        <v>158</v>
      </c>
      <c r="N20" s="9">
        <f>1*SUMIFS($N:$N,$B:$B,"&gt;=211",$B:$B,"&lt;=217")</f>
        <v>0</v>
      </c>
      <c r="O20" s="9">
        <f>1*SUMIFS($O:$O,$B:$B,"&gt;=211",$B:$B,"&lt;=217")</f>
        <v>0</v>
      </c>
      <c r="P20" s="9">
        <f>1*SUMIFS($P:$P,$B:$B,"&gt;=211",$B:$B,"&lt;=217")</f>
        <v>0</v>
      </c>
      <c r="Q20" s="9">
        <f t="shared" si="3"/>
        <v>158</v>
      </c>
    </row>
    <row r="21" spans="1:17" ht="15.75" x14ac:dyDescent="0.25">
      <c r="A21" s="3"/>
      <c r="C21" s="4">
        <v>0</v>
      </c>
      <c r="D21" s="4">
        <v>0</v>
      </c>
      <c r="E21" s="4">
        <v>0</v>
      </c>
      <c r="F21" s="4">
        <v>0</v>
      </c>
      <c r="G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</row>
    <row r="22" spans="1:17" ht="15.75" x14ac:dyDescent="0.25">
      <c r="A22" s="3" t="s">
        <v>25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</row>
    <row r="23" spans="1:17" ht="15.75" x14ac:dyDescent="0.25">
      <c r="A23" s="3" t="s">
        <v>26</v>
      </c>
      <c r="B23" s="5">
        <v>221</v>
      </c>
      <c r="C23" s="4">
        <v>0</v>
      </c>
      <c r="D23" s="4">
        <v>0</v>
      </c>
      <c r="E23" s="4">
        <v>0</v>
      </c>
      <c r="F23" s="4">
        <v>0</v>
      </c>
      <c r="G23" s="4">
        <f t="shared" ref="G23:G30" si="4">$C23+$D23-$E23-$F23</f>
        <v>0</v>
      </c>
      <c r="M23" s="4">
        <v>0</v>
      </c>
      <c r="N23" s="4">
        <v>0</v>
      </c>
      <c r="O23" s="4">
        <v>0</v>
      </c>
      <c r="P23" s="4">
        <v>0</v>
      </c>
      <c r="Q23" s="4">
        <f t="shared" ref="Q23:Q30" si="5">$M23+$N23-$O23-$P23</f>
        <v>0</v>
      </c>
    </row>
    <row r="24" spans="1:17" ht="15.75" x14ac:dyDescent="0.25">
      <c r="A24" s="3" t="s">
        <v>27</v>
      </c>
      <c r="B24" s="5">
        <v>222</v>
      </c>
      <c r="C24" s="4">
        <v>0</v>
      </c>
      <c r="D24" s="4">
        <v>0</v>
      </c>
      <c r="E24" s="4">
        <v>0</v>
      </c>
      <c r="F24" s="4">
        <v>0</v>
      </c>
      <c r="G24" s="4">
        <f t="shared" si="4"/>
        <v>0</v>
      </c>
      <c r="M24" s="4">
        <v>0</v>
      </c>
      <c r="N24" s="4">
        <v>0</v>
      </c>
      <c r="O24" s="4">
        <v>0</v>
      </c>
      <c r="P24" s="4">
        <v>0</v>
      </c>
      <c r="Q24" s="4">
        <f t="shared" si="5"/>
        <v>0</v>
      </c>
    </row>
    <row r="25" spans="1:17" ht="15.75" x14ac:dyDescent="0.25">
      <c r="A25" s="3" t="s">
        <v>28</v>
      </c>
      <c r="B25" s="5">
        <v>223</v>
      </c>
      <c r="C25" s="4">
        <v>0</v>
      </c>
      <c r="D25" s="4">
        <v>0</v>
      </c>
      <c r="E25" s="4">
        <v>0</v>
      </c>
      <c r="F25" s="4">
        <v>0</v>
      </c>
      <c r="G25" s="4">
        <f t="shared" si="4"/>
        <v>0</v>
      </c>
      <c r="M25" s="4">
        <v>0</v>
      </c>
      <c r="N25" s="4">
        <v>0</v>
      </c>
      <c r="O25" s="4">
        <v>0</v>
      </c>
      <c r="P25" s="4">
        <v>0</v>
      </c>
      <c r="Q25" s="4">
        <f t="shared" si="5"/>
        <v>0</v>
      </c>
    </row>
    <row r="26" spans="1:17" ht="15.75" x14ac:dyDescent="0.25">
      <c r="A26" s="3" t="s">
        <v>29</v>
      </c>
      <c r="B26" s="5">
        <v>224</v>
      </c>
      <c r="C26" s="4">
        <v>0</v>
      </c>
      <c r="D26" s="4">
        <v>0</v>
      </c>
      <c r="E26" s="4">
        <v>0</v>
      </c>
      <c r="F26" s="4">
        <v>0</v>
      </c>
      <c r="G26" s="4">
        <f t="shared" si="4"/>
        <v>0</v>
      </c>
      <c r="M26" s="4">
        <v>0</v>
      </c>
      <c r="N26" s="4">
        <v>0</v>
      </c>
      <c r="O26" s="4">
        <v>0</v>
      </c>
      <c r="P26" s="4">
        <v>0</v>
      </c>
      <c r="Q26" s="4">
        <f t="shared" si="5"/>
        <v>0</v>
      </c>
    </row>
    <row r="27" spans="1:17" ht="15.75" x14ac:dyDescent="0.25">
      <c r="A27" s="3" t="s">
        <v>30</v>
      </c>
      <c r="B27" s="5">
        <v>225</v>
      </c>
      <c r="C27" s="4">
        <v>0</v>
      </c>
      <c r="D27" s="4">
        <v>0</v>
      </c>
      <c r="E27" s="4">
        <v>0</v>
      </c>
      <c r="F27" s="4">
        <v>0</v>
      </c>
      <c r="G27" s="4">
        <f t="shared" si="4"/>
        <v>0</v>
      </c>
      <c r="M27" s="4">
        <v>0</v>
      </c>
      <c r="N27" s="4">
        <v>0</v>
      </c>
      <c r="O27" s="4">
        <v>0</v>
      </c>
      <c r="P27" s="4">
        <v>0</v>
      </c>
      <c r="Q27" s="4">
        <f t="shared" si="5"/>
        <v>0</v>
      </c>
    </row>
    <row r="28" spans="1:17" ht="15.75" x14ac:dyDescent="0.25">
      <c r="A28" s="3" t="s">
        <v>31</v>
      </c>
      <c r="B28" s="5">
        <v>226</v>
      </c>
      <c r="C28" s="4">
        <v>0</v>
      </c>
      <c r="D28" s="4">
        <v>0</v>
      </c>
      <c r="E28" s="4">
        <v>0</v>
      </c>
      <c r="F28" s="4">
        <v>0</v>
      </c>
      <c r="G28" s="4">
        <f t="shared" si="4"/>
        <v>0</v>
      </c>
      <c r="M28" s="4">
        <v>0</v>
      </c>
      <c r="N28" s="4">
        <v>0</v>
      </c>
      <c r="O28" s="4">
        <v>0</v>
      </c>
      <c r="P28" s="4">
        <v>0</v>
      </c>
      <c r="Q28" s="4">
        <f t="shared" si="5"/>
        <v>0</v>
      </c>
    </row>
    <row r="29" spans="1:17" ht="15.75" x14ac:dyDescent="0.25">
      <c r="A29" s="3" t="s">
        <v>32</v>
      </c>
      <c r="B29" s="5">
        <v>227</v>
      </c>
      <c r="C29" s="4">
        <v>0</v>
      </c>
      <c r="D29" s="4">
        <v>0</v>
      </c>
      <c r="E29" s="4">
        <v>0</v>
      </c>
      <c r="F29" s="4">
        <v>0</v>
      </c>
      <c r="G29" s="4">
        <f t="shared" si="4"/>
        <v>0</v>
      </c>
      <c r="M29" s="4">
        <v>0</v>
      </c>
      <c r="N29" s="4">
        <v>0</v>
      </c>
      <c r="O29" s="4">
        <v>0</v>
      </c>
      <c r="P29" s="4">
        <v>0</v>
      </c>
      <c r="Q29" s="4">
        <f t="shared" si="5"/>
        <v>0</v>
      </c>
    </row>
    <row r="30" spans="1:17" ht="15.75" x14ac:dyDescent="0.25">
      <c r="A30" s="6" t="s">
        <v>33</v>
      </c>
      <c r="B30" s="7">
        <v>228</v>
      </c>
      <c r="C30" s="10">
        <f>1*SUMIFS($C:$C,$B:$B,"&gt;=221",$B:$B,"&lt;=227")</f>
        <v>0</v>
      </c>
      <c r="D30" s="10">
        <f>1*SUMIFS($D:$D,$B:$B,"&gt;=221",$B:$B,"&lt;=227")</f>
        <v>0</v>
      </c>
      <c r="E30" s="10">
        <f>1*SUMIFS($E:$E,$B:$B,"&gt;=221",$B:$B,"&lt;=227")</f>
        <v>0</v>
      </c>
      <c r="F30" s="10">
        <f>1*SUMIFS($F:$F,$B:$B,"&gt;=221",$B:$B,"&lt;=227")</f>
        <v>0</v>
      </c>
      <c r="G30" s="10">
        <f t="shared" si="4"/>
        <v>0</v>
      </c>
      <c r="M30" s="10">
        <f>1*SUMIFS($M:$M,$B:$B,"&gt;=221",$B:$B,"&lt;=227")</f>
        <v>0</v>
      </c>
      <c r="N30" s="10">
        <f>1*SUMIFS($N:$N,$B:$B,"&gt;=221",$B:$B,"&lt;=227")</f>
        <v>0</v>
      </c>
      <c r="O30" s="10">
        <f>1*SUMIFS($O:$O,$B:$B,"&gt;=221",$B:$B,"&lt;=227")</f>
        <v>0</v>
      </c>
      <c r="P30" s="10">
        <f>1*SUMIFS($P:$P,$B:$B,"&gt;=221",$B:$B,"&lt;=227")</f>
        <v>0</v>
      </c>
      <c r="Q30" s="10">
        <f t="shared" si="5"/>
        <v>0</v>
      </c>
    </row>
    <row r="31" spans="1:17" ht="15.75" x14ac:dyDescent="0.25">
      <c r="A31" s="3"/>
      <c r="C31" s="4">
        <v>0</v>
      </c>
      <c r="D31" s="4">
        <v>0</v>
      </c>
      <c r="E31" s="4">
        <v>0</v>
      </c>
      <c r="F31" s="4">
        <v>0</v>
      </c>
      <c r="G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</row>
    <row r="32" spans="1:17" ht="15.75" x14ac:dyDescent="0.25">
      <c r="A32" s="3" t="s">
        <v>34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</row>
    <row r="33" spans="1:17" ht="15.75" x14ac:dyDescent="0.25">
      <c r="A33" s="11" t="s">
        <v>35</v>
      </c>
      <c r="B33" s="12">
        <v>231</v>
      </c>
      <c r="C33" s="13">
        <f>1*SUMIFS($C:$C,$B:$B,"&gt;=201",$B:$B,"&lt;=201")-1*SUMIFS($C:$C,$B:$B,"&gt;=211",$B:$B,"&lt;=211")-1*SUMIFS($C:$C,$B:$B,"&gt;=221",$B:$B,"&lt;=221")</f>
        <v>0</v>
      </c>
      <c r="D33" s="13">
        <f>1*SUMIFS($D:$D,$B:$B,"&gt;=201",$B:$B,"&lt;=201")-1*SUMIFS($D:$D,$B:$B,"&gt;=211",$B:$B,"&lt;=211")-1*SUMIFS($D:$D,$B:$B,"&gt;=221",$B:$B,"&lt;=221")</f>
        <v>0</v>
      </c>
      <c r="E33" s="13">
        <f>1*SUMIFS($E:$E,$B:$B,"&gt;=201",$B:$B,"&lt;=201")-1*SUMIFS($E:$E,$B:$B,"&gt;=211",$B:$B,"&lt;=211")-1*SUMIFS($E:$E,$B:$B,"&gt;=221",$B:$B,"&lt;=221")</f>
        <v>0</v>
      </c>
      <c r="F33" s="13">
        <f>1*SUMIFS($F:$F,$B:$B,"&gt;=201",$B:$B,"&lt;=201")-1*SUMIFS($F:$F,$B:$B,"&gt;=211",$B:$B,"&lt;=211")-1*SUMIFS($F:$F,$B:$B,"&gt;=221",$B:$B,"&lt;=221")</f>
        <v>0</v>
      </c>
      <c r="G33" s="13">
        <f t="shared" ref="G33:G40" si="6">$C33+$D33-$E33-$F33</f>
        <v>0</v>
      </c>
      <c r="M33" s="13">
        <f>1*SUMIFS($M:$M,$B:$B,"&gt;=201",$B:$B,"&lt;=201")-1*SUMIFS($M:$M,$B:$B,"&gt;=211",$B:$B,"&lt;=211")-1*SUMIFS($M:$M,$B:$B,"&gt;=221",$B:$B,"&lt;=221")</f>
        <v>0</v>
      </c>
      <c r="N33" s="13">
        <f>1*SUMIFS($N:$N,$B:$B,"&gt;=201",$B:$B,"&lt;=201")-1*SUMIFS($N:$N,$B:$B,"&gt;=211",$B:$B,"&lt;=211")-1*SUMIFS($N:$N,$B:$B,"&gt;=221",$B:$B,"&lt;=221")</f>
        <v>0</v>
      </c>
      <c r="O33" s="13">
        <f>1*SUMIFS($O:$O,$B:$B,"&gt;=201",$B:$B,"&lt;=201")-1*SUMIFS($O:$O,$B:$B,"&gt;=211",$B:$B,"&lt;=211")-1*SUMIFS($O:$O,$B:$B,"&gt;=221",$B:$B,"&lt;=221")</f>
        <v>0</v>
      </c>
      <c r="P33" s="13">
        <f>1*SUMIFS($P:$P,$B:$B,"&gt;=201",$B:$B,"&lt;=201")-1*SUMIFS($P:$P,$B:$B,"&gt;=211",$B:$B,"&lt;=211")-1*SUMIFS($P:$P,$B:$B,"&gt;=221",$B:$B,"&lt;=221")</f>
        <v>0</v>
      </c>
      <c r="Q33" s="13">
        <f t="shared" ref="Q33:Q40" si="7">$M33+$N33-$O33-$P33</f>
        <v>0</v>
      </c>
    </row>
    <row r="34" spans="1:17" ht="15.75" x14ac:dyDescent="0.25">
      <c r="A34" s="11" t="s">
        <v>36</v>
      </c>
      <c r="B34" s="12">
        <v>232</v>
      </c>
      <c r="C34" s="14">
        <f>1*SUMIFS($C:$C,$B:$B,"&gt;=202",$B:$B,"&lt;=202")-1*SUMIFS($C:$C,$B:$B,"&gt;=212",$B:$B,"&lt;=212")-1*SUMIFS($C:$C,$B:$B,"&gt;=222",$B:$B,"&lt;=222")</f>
        <v>0</v>
      </c>
      <c r="D34" s="14">
        <f>1*SUMIFS($D:$D,$B:$B,"&gt;=202",$B:$B,"&lt;=202")-1*SUMIFS($D:$D,$B:$B,"&gt;=212",$B:$B,"&lt;=212")-1*SUMIFS($D:$D,$B:$B,"&gt;=222",$B:$B,"&lt;=222")</f>
        <v>0</v>
      </c>
      <c r="E34" s="14">
        <f>1*SUMIFS($E:$E,$B:$B,"&gt;=202",$B:$B,"&lt;=202")-1*SUMIFS($E:$E,$B:$B,"&gt;=212",$B:$B,"&lt;=212")-1*SUMIFS($E:$E,$B:$B,"&gt;=222",$B:$B,"&lt;=222")</f>
        <v>0</v>
      </c>
      <c r="F34" s="14">
        <f>1*SUMIFS($F:$F,$B:$B,"&gt;=202",$B:$B,"&lt;=202")-1*SUMIFS($F:$F,$B:$B,"&gt;=212",$B:$B,"&lt;=212")-1*SUMIFS($F:$F,$B:$B,"&gt;=222",$B:$B,"&lt;=222")</f>
        <v>0</v>
      </c>
      <c r="G34" s="14">
        <f t="shared" si="6"/>
        <v>0</v>
      </c>
      <c r="M34" s="14">
        <f>1*SUMIFS($M:$M,$B:$B,"&gt;=202",$B:$B,"&lt;=202")-1*SUMIFS($M:$M,$B:$B,"&gt;=212",$B:$B,"&lt;=212")-1*SUMIFS($M:$M,$B:$B,"&gt;=222",$B:$B,"&lt;=222")</f>
        <v>0</v>
      </c>
      <c r="N34" s="14">
        <f>1*SUMIFS($N:$N,$B:$B,"&gt;=202",$B:$B,"&lt;=202")-1*SUMIFS($N:$N,$B:$B,"&gt;=212",$B:$B,"&lt;=212")-1*SUMIFS($N:$N,$B:$B,"&gt;=222",$B:$B,"&lt;=222")</f>
        <v>0</v>
      </c>
      <c r="O34" s="14">
        <f>1*SUMIFS($O:$O,$B:$B,"&gt;=202",$B:$B,"&lt;=202")-1*SUMIFS($O:$O,$B:$B,"&gt;=212",$B:$B,"&lt;=212")-1*SUMIFS($O:$O,$B:$B,"&gt;=222",$B:$B,"&lt;=222")</f>
        <v>0</v>
      </c>
      <c r="P34" s="14">
        <f>1*SUMIFS($P:$P,$B:$B,"&gt;=202",$B:$B,"&lt;=202")-1*SUMIFS($P:$P,$B:$B,"&gt;=212",$B:$B,"&lt;=212")-1*SUMIFS($P:$P,$B:$B,"&gt;=222",$B:$B,"&lt;=222")</f>
        <v>0</v>
      </c>
      <c r="Q34" s="14">
        <f t="shared" si="7"/>
        <v>0</v>
      </c>
    </row>
    <row r="35" spans="1:17" ht="15.75" x14ac:dyDescent="0.25">
      <c r="A35" s="11" t="s">
        <v>37</v>
      </c>
      <c r="B35" s="12">
        <v>233</v>
      </c>
      <c r="C35" s="15">
        <f>1*SUMIFS($C:$C,$B:$B,"&gt;=203",$B:$B,"&lt;=203")-1*SUMIFS($C:$C,$B:$B,"&gt;=213",$B:$B,"&lt;=213")-1*SUMIFS($C:$C,$B:$B,"&gt;=223",$B:$B,"&lt;=223")</f>
        <v>0</v>
      </c>
      <c r="D35" s="15">
        <f>1*SUMIFS($D:$D,$B:$B,"&gt;=203",$B:$B,"&lt;=203")-1*SUMIFS($D:$D,$B:$B,"&gt;=213",$B:$B,"&lt;=213")-1*SUMIFS($D:$D,$B:$B,"&gt;=223",$B:$B,"&lt;=223")</f>
        <v>0</v>
      </c>
      <c r="E35" s="15">
        <f>1*SUMIFS($E:$E,$B:$B,"&gt;=203",$B:$B,"&lt;=203")-1*SUMIFS($E:$E,$B:$B,"&gt;=213",$B:$B,"&lt;=213")-1*SUMIFS($E:$E,$B:$B,"&gt;=223",$B:$B,"&lt;=223")</f>
        <v>0</v>
      </c>
      <c r="F35" s="15">
        <f>1*SUMIFS($F:$F,$B:$B,"&gt;=203",$B:$B,"&lt;=203")-1*SUMIFS($F:$F,$B:$B,"&gt;=213",$B:$B,"&lt;=213")-1*SUMIFS($F:$F,$B:$B,"&gt;=223",$B:$B,"&lt;=223")</f>
        <v>0</v>
      </c>
      <c r="G35" s="15">
        <f t="shared" si="6"/>
        <v>0</v>
      </c>
      <c r="M35" s="15">
        <f>1*SUMIFS($M:$M,$B:$B,"&gt;=203",$B:$B,"&lt;=203")-1*SUMIFS($M:$M,$B:$B,"&gt;=213",$B:$B,"&lt;=213")-1*SUMIFS($M:$M,$B:$B,"&gt;=223",$B:$B,"&lt;=223")</f>
        <v>0</v>
      </c>
      <c r="N35" s="15">
        <f>1*SUMIFS($N:$N,$B:$B,"&gt;=203",$B:$B,"&lt;=203")-1*SUMIFS($N:$N,$B:$B,"&gt;=213",$B:$B,"&lt;=213")-1*SUMIFS($N:$N,$B:$B,"&gt;=223",$B:$B,"&lt;=223")</f>
        <v>0</v>
      </c>
      <c r="O35" s="15">
        <f>1*SUMIFS($O:$O,$B:$B,"&gt;=203",$B:$B,"&lt;=203")-1*SUMIFS($O:$O,$B:$B,"&gt;=213",$B:$B,"&lt;=213")-1*SUMIFS($O:$O,$B:$B,"&gt;=223",$B:$B,"&lt;=223")</f>
        <v>0</v>
      </c>
      <c r="P35" s="15">
        <f>1*SUMIFS($P:$P,$B:$B,"&gt;=203",$B:$B,"&lt;=203")-1*SUMIFS($P:$P,$B:$B,"&gt;=213",$B:$B,"&lt;=213")-1*SUMIFS($P:$P,$B:$B,"&gt;=223",$B:$B,"&lt;=223")</f>
        <v>0</v>
      </c>
      <c r="Q35" s="15">
        <f t="shared" si="7"/>
        <v>0</v>
      </c>
    </row>
    <row r="36" spans="1:17" ht="15.75" x14ac:dyDescent="0.25">
      <c r="A36" s="11" t="s">
        <v>38</v>
      </c>
      <c r="B36" s="12">
        <v>234</v>
      </c>
      <c r="C36" s="16">
        <f>1*SUMIFS($C:$C,$B:$B,"&gt;=204",$B:$B,"&lt;=204")-1*SUMIFS($C:$C,$B:$B,"&gt;=214",$B:$B,"&lt;=214")-1*SUMIFS($C:$C,$B:$B,"&gt;=224",$B:$B,"&lt;=224")</f>
        <v>0</v>
      </c>
      <c r="D36" s="16">
        <f>1*SUMIFS($D:$D,$B:$B,"&gt;=204",$B:$B,"&lt;=204")-1*SUMIFS($D:$D,$B:$B,"&gt;=214",$B:$B,"&lt;=214")-1*SUMIFS($D:$D,$B:$B,"&gt;=224",$B:$B,"&lt;=224")</f>
        <v>0</v>
      </c>
      <c r="E36" s="16">
        <f>1*SUMIFS($E:$E,$B:$B,"&gt;=204",$B:$B,"&lt;=204")-1*SUMIFS($E:$E,$B:$B,"&gt;=214",$B:$B,"&lt;=214")-1*SUMIFS($E:$E,$B:$B,"&gt;=224",$B:$B,"&lt;=224")</f>
        <v>0</v>
      </c>
      <c r="F36" s="16">
        <f>1*SUMIFS($F:$F,$B:$B,"&gt;=204",$B:$B,"&lt;=204")-1*SUMIFS($F:$F,$B:$B,"&gt;=214",$B:$B,"&lt;=214")-1*SUMIFS($F:$F,$B:$B,"&gt;=224",$B:$B,"&lt;=224")</f>
        <v>0</v>
      </c>
      <c r="G36" s="16">
        <f t="shared" si="6"/>
        <v>0</v>
      </c>
      <c r="M36" s="16">
        <f>1*SUMIFS($M:$M,$B:$B,"&gt;=204",$B:$B,"&lt;=204")-1*SUMIFS($M:$M,$B:$B,"&gt;=214",$B:$B,"&lt;=214")-1*SUMIFS($M:$M,$B:$B,"&gt;=224",$B:$B,"&lt;=224")</f>
        <v>0</v>
      </c>
      <c r="N36" s="16">
        <f>1*SUMIFS($N:$N,$B:$B,"&gt;=204",$B:$B,"&lt;=204")-1*SUMIFS($N:$N,$B:$B,"&gt;=214",$B:$B,"&lt;=214")-1*SUMIFS($N:$N,$B:$B,"&gt;=224",$B:$B,"&lt;=224")</f>
        <v>0</v>
      </c>
      <c r="O36" s="16">
        <f>1*SUMIFS($O:$O,$B:$B,"&gt;=204",$B:$B,"&lt;=204")-1*SUMIFS($O:$O,$B:$B,"&gt;=214",$B:$B,"&lt;=214")-1*SUMIFS($O:$O,$B:$B,"&gt;=224",$B:$B,"&lt;=224")</f>
        <v>0</v>
      </c>
      <c r="P36" s="16">
        <f>1*SUMIFS($P:$P,$B:$B,"&gt;=204",$B:$B,"&lt;=204")-1*SUMIFS($P:$P,$B:$B,"&gt;=214",$B:$B,"&lt;=214")-1*SUMIFS($P:$P,$B:$B,"&gt;=224",$B:$B,"&lt;=224")</f>
        <v>0</v>
      </c>
      <c r="Q36" s="16">
        <f t="shared" si="7"/>
        <v>0</v>
      </c>
    </row>
    <row r="37" spans="1:17" ht="15.75" x14ac:dyDescent="0.25">
      <c r="A37" s="11" t="s">
        <v>39</v>
      </c>
      <c r="B37" s="12">
        <v>235</v>
      </c>
      <c r="C37" s="17">
        <f>1*SUMIFS($C:$C,$B:$B,"&gt;=205",$B:$B,"&lt;=205")-1*SUMIFS($C:$C,$B:$B,"&gt;=215",$B:$B,"&lt;=215")-1*SUMIFS($C:$C,$B:$B,"&gt;=225",$B:$B,"&lt;=225")</f>
        <v>0</v>
      </c>
      <c r="D37" s="17">
        <f>1*SUMIFS($D:$D,$B:$B,"&gt;=205",$B:$B,"&lt;=205")-1*SUMIFS($D:$D,$B:$B,"&gt;=215",$B:$B,"&lt;=215")-1*SUMIFS($D:$D,$B:$B,"&gt;=225",$B:$B,"&lt;=225")</f>
        <v>0</v>
      </c>
      <c r="E37" s="17">
        <f>1*SUMIFS($E:$E,$B:$B,"&gt;=205",$B:$B,"&lt;=205")-1*SUMIFS($E:$E,$B:$B,"&gt;=215",$B:$B,"&lt;=215")-1*SUMIFS($E:$E,$B:$B,"&gt;=225",$B:$B,"&lt;=225")</f>
        <v>0</v>
      </c>
      <c r="F37" s="17">
        <f>1*SUMIFS($F:$F,$B:$B,"&gt;=205",$B:$B,"&lt;=205")-1*SUMIFS($F:$F,$B:$B,"&gt;=215",$B:$B,"&lt;=215")-1*SUMIFS($F:$F,$B:$B,"&gt;=225",$B:$B,"&lt;=225")</f>
        <v>0</v>
      </c>
      <c r="G37" s="17">
        <f t="shared" si="6"/>
        <v>0</v>
      </c>
      <c r="M37" s="17">
        <f>1*SUMIFS($M:$M,$B:$B,"&gt;=205",$B:$B,"&lt;=205")-1*SUMIFS($M:$M,$B:$B,"&gt;=215",$B:$B,"&lt;=215")-1*SUMIFS($M:$M,$B:$B,"&gt;=225",$B:$B,"&lt;=225")</f>
        <v>0</v>
      </c>
      <c r="N37" s="17">
        <f>1*SUMIFS($N:$N,$B:$B,"&gt;=205",$B:$B,"&lt;=205")-1*SUMIFS($N:$N,$B:$B,"&gt;=215",$B:$B,"&lt;=215")-1*SUMIFS($N:$N,$B:$B,"&gt;=225",$B:$B,"&lt;=225")</f>
        <v>0</v>
      </c>
      <c r="O37" s="17">
        <f>1*SUMIFS($O:$O,$B:$B,"&gt;=205",$B:$B,"&lt;=205")-1*SUMIFS($O:$O,$B:$B,"&gt;=215",$B:$B,"&lt;=215")-1*SUMIFS($O:$O,$B:$B,"&gt;=225",$B:$B,"&lt;=225")</f>
        <v>0</v>
      </c>
      <c r="P37" s="17">
        <f>1*SUMIFS($P:$P,$B:$B,"&gt;=205",$B:$B,"&lt;=205")-1*SUMIFS($P:$P,$B:$B,"&gt;=215",$B:$B,"&lt;=215")-1*SUMIFS($P:$P,$B:$B,"&gt;=225",$B:$B,"&lt;=225")</f>
        <v>0</v>
      </c>
      <c r="Q37" s="17">
        <f t="shared" si="7"/>
        <v>0</v>
      </c>
    </row>
    <row r="38" spans="1:17" ht="15.75" x14ac:dyDescent="0.25">
      <c r="A38" s="11" t="s">
        <v>40</v>
      </c>
      <c r="B38" s="12">
        <v>236</v>
      </c>
      <c r="C38" s="18">
        <f>1*SUMIFS($C:$C,$B:$B,"&gt;=206",$B:$B,"&lt;=206")-1*SUMIFS($C:$C,$B:$B,"&gt;=216",$B:$B,"&lt;=216")-1*SUMIFS($C:$C,$B:$B,"&gt;=226",$B:$B,"&lt;=226")</f>
        <v>0</v>
      </c>
      <c r="D38" s="18">
        <f>1*SUMIFS($D:$D,$B:$B,"&gt;=206",$B:$B,"&lt;=206")-1*SUMIFS($D:$D,$B:$B,"&gt;=216",$B:$B,"&lt;=216")-1*SUMIFS($D:$D,$B:$B,"&gt;=226",$B:$B,"&lt;=226")</f>
        <v>0</v>
      </c>
      <c r="E38" s="18">
        <f>1*SUMIFS($E:$E,$B:$B,"&gt;=206",$B:$B,"&lt;=206")-1*SUMIFS($E:$E,$B:$B,"&gt;=216",$B:$B,"&lt;=216")-1*SUMIFS($E:$E,$B:$B,"&gt;=226",$B:$B,"&lt;=226")</f>
        <v>0</v>
      </c>
      <c r="F38" s="18">
        <f>1*SUMIFS($F:$F,$B:$B,"&gt;=206",$B:$B,"&lt;=206")-1*SUMIFS($F:$F,$B:$B,"&gt;=216",$B:$B,"&lt;=216")-1*SUMIFS($F:$F,$B:$B,"&gt;=226",$B:$B,"&lt;=226")</f>
        <v>0</v>
      </c>
      <c r="G38" s="18">
        <f t="shared" si="6"/>
        <v>0</v>
      </c>
      <c r="M38" s="18">
        <f>1*SUMIFS($M:$M,$B:$B,"&gt;=206",$B:$B,"&lt;=206")-1*SUMIFS($M:$M,$B:$B,"&gt;=216",$B:$B,"&lt;=216")-1*SUMIFS($M:$M,$B:$B,"&gt;=226",$B:$B,"&lt;=226")</f>
        <v>0</v>
      </c>
      <c r="N38" s="18">
        <f>1*SUMIFS($N:$N,$B:$B,"&gt;=206",$B:$B,"&lt;=206")-1*SUMIFS($N:$N,$B:$B,"&gt;=216",$B:$B,"&lt;=216")-1*SUMIFS($N:$N,$B:$B,"&gt;=226",$B:$B,"&lt;=226")</f>
        <v>0</v>
      </c>
      <c r="O38" s="18">
        <f>1*SUMIFS($O:$O,$B:$B,"&gt;=206",$B:$B,"&lt;=206")-1*SUMIFS($O:$O,$B:$B,"&gt;=216",$B:$B,"&lt;=216")-1*SUMIFS($O:$O,$B:$B,"&gt;=226",$B:$B,"&lt;=226")</f>
        <v>0</v>
      </c>
      <c r="P38" s="18">
        <f>1*SUMIFS($P:$P,$B:$B,"&gt;=206",$B:$B,"&lt;=206")-1*SUMIFS($P:$P,$B:$B,"&gt;=216",$B:$B,"&lt;=216")-1*SUMIFS($P:$P,$B:$B,"&gt;=226",$B:$B,"&lt;=226")</f>
        <v>0</v>
      </c>
      <c r="Q38" s="18">
        <f t="shared" si="7"/>
        <v>0</v>
      </c>
    </row>
    <row r="39" spans="1:17" ht="15.75" x14ac:dyDescent="0.25">
      <c r="A39" s="11" t="s">
        <v>41</v>
      </c>
      <c r="B39" s="12">
        <v>237</v>
      </c>
      <c r="C39" s="19">
        <f>1*SUMIFS($C:$C,$B:$B,"&gt;=207",$B:$B,"&lt;=207")-1*SUMIFS($C:$C,$B:$B,"&gt;=217",$B:$B,"&lt;=217")-1*SUMIFS($C:$C,$B:$B,"&gt;=227",$B:$B,"&lt;=227")</f>
        <v>0</v>
      </c>
      <c r="D39" s="19">
        <f>1*SUMIFS($D:$D,$B:$B,"&gt;=207",$B:$B,"&lt;=207")-1*SUMIFS($D:$D,$B:$B,"&gt;=217",$B:$B,"&lt;=217")-1*SUMIFS($D:$D,$B:$B,"&gt;=227",$B:$B,"&lt;=227")</f>
        <v>0</v>
      </c>
      <c r="E39" s="19">
        <f>1*SUMIFS($E:$E,$B:$B,"&gt;=207",$B:$B,"&lt;=207")-1*SUMIFS($E:$E,$B:$B,"&gt;=217",$B:$B,"&lt;=217")-1*SUMIFS($E:$E,$B:$B,"&gt;=227",$B:$B,"&lt;=227")</f>
        <v>0</v>
      </c>
      <c r="F39" s="19">
        <f>1*SUMIFS($F:$F,$B:$B,"&gt;=207",$B:$B,"&lt;=207")-1*SUMIFS($F:$F,$B:$B,"&gt;=217",$B:$B,"&lt;=217")-1*SUMIFS($F:$F,$B:$B,"&gt;=227",$B:$B,"&lt;=227")</f>
        <v>0</v>
      </c>
      <c r="G39" s="19">
        <f t="shared" si="6"/>
        <v>0</v>
      </c>
      <c r="M39" s="19">
        <f>1*SUMIFS($M:$M,$B:$B,"&gt;=207",$B:$B,"&lt;=207")-1*SUMIFS($M:$M,$B:$B,"&gt;=217",$B:$B,"&lt;=217")-1*SUMIFS($M:$M,$B:$B,"&gt;=227",$B:$B,"&lt;=227")</f>
        <v>0</v>
      </c>
      <c r="N39" s="19">
        <f>1*SUMIFS($N:$N,$B:$B,"&gt;=207",$B:$B,"&lt;=207")-1*SUMIFS($N:$N,$B:$B,"&gt;=217",$B:$B,"&lt;=217")-1*SUMIFS($N:$N,$B:$B,"&gt;=227",$B:$B,"&lt;=227")</f>
        <v>0</v>
      </c>
      <c r="O39" s="19">
        <f>1*SUMIFS($O:$O,$B:$B,"&gt;=207",$B:$B,"&lt;=207")-1*SUMIFS($O:$O,$B:$B,"&gt;=217",$B:$B,"&lt;=217")-1*SUMIFS($O:$O,$B:$B,"&gt;=227",$B:$B,"&lt;=227")</f>
        <v>0</v>
      </c>
      <c r="P39" s="19">
        <f>1*SUMIFS($P:$P,$B:$B,"&gt;=207",$B:$B,"&lt;=207")-1*SUMIFS($P:$P,$B:$B,"&gt;=217",$B:$B,"&lt;=217")-1*SUMIFS($P:$P,$B:$B,"&gt;=227",$B:$B,"&lt;=227")</f>
        <v>0</v>
      </c>
      <c r="Q39" s="19">
        <f t="shared" si="7"/>
        <v>0</v>
      </c>
    </row>
    <row r="40" spans="1:17" ht="15.75" x14ac:dyDescent="0.25">
      <c r="A40" s="6" t="s">
        <v>42</v>
      </c>
      <c r="B40" s="7">
        <v>238</v>
      </c>
      <c r="C40" s="10">
        <f>1*SUMIFS($C:$C,$B:$B,"&gt;=231",$B:$B,"&lt;=237")</f>
        <v>0</v>
      </c>
      <c r="D40" s="10">
        <f>1*SUMIFS($D:$D,$B:$B,"&gt;=231",$B:$B,"&lt;=237")</f>
        <v>0</v>
      </c>
      <c r="E40" s="10">
        <f>1*SUMIFS($E:$E,$B:$B,"&gt;=231",$B:$B,"&lt;=237")</f>
        <v>0</v>
      </c>
      <c r="F40" s="10">
        <f>1*SUMIFS($F:$F,$B:$B,"&gt;=231",$B:$B,"&lt;=237")</f>
        <v>0</v>
      </c>
      <c r="G40" s="10">
        <f t="shared" si="6"/>
        <v>0</v>
      </c>
      <c r="M40" s="10">
        <f>1*SUMIFS($M:$M,$B:$B,"&gt;=231",$B:$B,"&lt;=237")</f>
        <v>0</v>
      </c>
      <c r="N40" s="10">
        <f>1*SUMIFS($N:$N,$B:$B,"&gt;=231",$B:$B,"&lt;=237")</f>
        <v>0</v>
      </c>
      <c r="O40" s="10">
        <f>1*SUMIFS($O:$O,$B:$B,"&gt;=231",$B:$B,"&lt;=237")</f>
        <v>0</v>
      </c>
      <c r="P40" s="10">
        <f>1*SUMIFS($P:$P,$B:$B,"&gt;=231",$B:$B,"&lt;=237")</f>
        <v>0</v>
      </c>
      <c r="Q40" s="10">
        <f t="shared" si="7"/>
        <v>0</v>
      </c>
    </row>
    <row r="41" spans="1:17" ht="15.75" x14ac:dyDescent="0.25">
      <c r="A41" s="3"/>
      <c r="C41" s="4">
        <v>0</v>
      </c>
      <c r="D41" s="4">
        <v>0</v>
      </c>
      <c r="E41" s="4">
        <v>0</v>
      </c>
      <c r="F41" s="4">
        <v>0</v>
      </c>
      <c r="G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</row>
    <row r="42" spans="1:17" ht="15.75" x14ac:dyDescent="0.25">
      <c r="A42" s="3"/>
      <c r="C42" s="4">
        <v>0</v>
      </c>
      <c r="D42" s="4">
        <v>0</v>
      </c>
      <c r="E42" s="4">
        <v>0</v>
      </c>
      <c r="F42" s="4">
        <v>0</v>
      </c>
      <c r="G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F3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45.7109375" customWidth="1"/>
    <col min="2" max="2" width="5.7109375" customWidth="1"/>
    <col min="3" max="4" width="17.7109375" customWidth="1"/>
    <col min="5" max="84" width="0" hidden="1" customWidth="1"/>
  </cols>
  <sheetData>
    <row r="1" spans="1:84" ht="31.5" x14ac:dyDescent="0.25">
      <c r="A1" s="1" t="s">
        <v>0</v>
      </c>
      <c r="B1" s="2" t="s">
        <v>1</v>
      </c>
      <c r="C1" s="2" t="s">
        <v>212</v>
      </c>
      <c r="D1" s="2" t="s">
        <v>213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spans="1:84" ht="15.75" x14ac:dyDescent="0.25">
      <c r="A2" s="3" t="s">
        <v>214</v>
      </c>
      <c r="B2" s="5">
        <v>2210</v>
      </c>
      <c r="C2" s="4">
        <v>245</v>
      </c>
      <c r="D2" s="4">
        <v>475</v>
      </c>
    </row>
    <row r="3" spans="1:84" ht="15.75" x14ac:dyDescent="0.25">
      <c r="A3" s="3" t="s">
        <v>215</v>
      </c>
      <c r="B3" s="5">
        <v>2220</v>
      </c>
      <c r="C3" s="4">
        <v>0</v>
      </c>
      <c r="D3" s="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F3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45.7109375" customWidth="1"/>
    <col min="2" max="2" width="5.7109375" customWidth="1"/>
    <col min="3" max="7" width="17.7109375" customWidth="1"/>
    <col min="8" max="12" width="0" hidden="1" customWidth="1"/>
    <col min="13" max="17" width="17.7109375" customWidth="1"/>
    <col min="18" max="84" width="0" hidden="1" customWidth="1"/>
  </cols>
  <sheetData>
    <row r="1" spans="1:84" ht="15.75" x14ac:dyDescent="0.25">
      <c r="A1" s="1" t="s">
        <v>0</v>
      </c>
      <c r="B1" s="2" t="s">
        <v>1</v>
      </c>
      <c r="C1" s="2" t="s">
        <v>216</v>
      </c>
      <c r="D1" s="2" t="s">
        <v>217</v>
      </c>
      <c r="E1" s="2" t="s">
        <v>218</v>
      </c>
      <c r="F1" s="2" t="s">
        <v>219</v>
      </c>
      <c r="G1" s="2" t="s">
        <v>6</v>
      </c>
      <c r="H1" s="2"/>
      <c r="I1" s="2"/>
      <c r="J1" s="2"/>
      <c r="K1" s="2"/>
      <c r="L1" s="2"/>
      <c r="M1" s="2" t="s">
        <v>216</v>
      </c>
      <c r="N1" s="2" t="s">
        <v>217</v>
      </c>
      <c r="O1" s="2" t="s">
        <v>218</v>
      </c>
      <c r="P1" s="2" t="s">
        <v>219</v>
      </c>
      <c r="Q1" s="2" t="s">
        <v>6</v>
      </c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spans="1:84" ht="15.75" x14ac:dyDescent="0.25">
      <c r="A2" s="3" t="s">
        <v>220</v>
      </c>
      <c r="B2" s="5">
        <v>2510</v>
      </c>
      <c r="C2" s="4">
        <v>0</v>
      </c>
      <c r="D2" s="4">
        <v>0</v>
      </c>
      <c r="E2" s="4">
        <v>0</v>
      </c>
      <c r="F2" s="4">
        <v>0</v>
      </c>
      <c r="G2" s="4">
        <f>$C2+$D2-$E2-$F2</f>
        <v>0</v>
      </c>
      <c r="M2" s="4">
        <v>0</v>
      </c>
      <c r="N2" s="4">
        <v>0</v>
      </c>
      <c r="O2" s="4">
        <v>0</v>
      </c>
      <c r="P2" s="4">
        <v>0</v>
      </c>
      <c r="Q2" s="4">
        <f>$M2+$N2-$O2-$P2</f>
        <v>0</v>
      </c>
    </row>
    <row r="3" spans="1:84" ht="15.75" x14ac:dyDescent="0.25">
      <c r="A3" s="3" t="s">
        <v>221</v>
      </c>
      <c r="B3" s="5">
        <v>2520</v>
      </c>
      <c r="C3" s="4">
        <v>170</v>
      </c>
      <c r="D3" s="4">
        <v>0</v>
      </c>
      <c r="E3" s="4">
        <v>0</v>
      </c>
      <c r="F3" s="4">
        <v>0</v>
      </c>
      <c r="G3" s="4">
        <f>$C3+$D3-$E3-$F3</f>
        <v>170</v>
      </c>
      <c r="M3" s="4">
        <v>170</v>
      </c>
      <c r="N3" s="4">
        <v>0</v>
      </c>
      <c r="O3" s="4">
        <v>0</v>
      </c>
      <c r="P3" s="4">
        <v>0</v>
      </c>
      <c r="Q3" s="4">
        <f>$M3+$N3-$O3-$P3</f>
        <v>170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F34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45.7109375" customWidth="1"/>
    <col min="2" max="2" width="5.7109375" customWidth="1"/>
    <col min="3" max="7" width="17.7109375" customWidth="1"/>
    <col min="8" max="84" width="0" hidden="1" customWidth="1"/>
  </cols>
  <sheetData>
    <row r="1" spans="1:84" ht="15.75" x14ac:dyDescent="0.25">
      <c r="A1" s="1" t="s">
        <v>0</v>
      </c>
      <c r="B1" s="2" t="s">
        <v>1</v>
      </c>
      <c r="C1" s="2" t="s">
        <v>151</v>
      </c>
      <c r="D1" s="2" t="s">
        <v>152</v>
      </c>
      <c r="E1" s="2" t="s">
        <v>153</v>
      </c>
      <c r="F1" s="2" t="s">
        <v>154</v>
      </c>
      <c r="G1" s="2" t="s">
        <v>222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spans="1:84" ht="15.75" x14ac:dyDescent="0.25">
      <c r="A2" s="3" t="s">
        <v>223</v>
      </c>
      <c r="C2" s="4">
        <v>0</v>
      </c>
      <c r="D2" s="4">
        <v>0</v>
      </c>
      <c r="E2" s="4">
        <v>0</v>
      </c>
      <c r="F2" s="4">
        <v>0</v>
      </c>
      <c r="G2" s="4">
        <v>0</v>
      </c>
    </row>
    <row r="3" spans="1:84" ht="15.75" x14ac:dyDescent="0.25">
      <c r="A3" s="11" t="s">
        <v>224</v>
      </c>
      <c r="B3" s="12">
        <v>2611</v>
      </c>
      <c r="C3" s="13">
        <f>1*SUMIFS($C:$C,$B:$B,"&gt;=2612",$B:$B,"&lt;=2614")</f>
        <v>0</v>
      </c>
      <c r="D3" s="13">
        <f>1*SUMIFS($D:$D,$B:$B,"&gt;=2612",$B:$B,"&lt;=2614")</f>
        <v>0</v>
      </c>
      <c r="E3" s="13">
        <f>1*SUMIFS($E:$E,$B:$B,"&gt;=2612",$B:$B,"&lt;=2614")</f>
        <v>0</v>
      </c>
      <c r="F3" s="13">
        <f>1*SUMIFS($F:$F,$B:$B,"&gt;=2612",$B:$B,"&lt;=2614")</f>
        <v>0</v>
      </c>
      <c r="G3" s="13">
        <f t="shared" ref="G3:G18" si="0">$C3+$D3+$E3+$F3</f>
        <v>0</v>
      </c>
    </row>
    <row r="4" spans="1:84" ht="15.75" x14ac:dyDescent="0.25">
      <c r="A4" s="3" t="s">
        <v>225</v>
      </c>
      <c r="B4" s="5">
        <v>2612</v>
      </c>
      <c r="C4" s="4">
        <v>0</v>
      </c>
      <c r="D4" s="4">
        <v>0</v>
      </c>
      <c r="E4" s="4">
        <v>0</v>
      </c>
      <c r="F4" s="4">
        <v>0</v>
      </c>
      <c r="G4" s="4">
        <f t="shared" si="0"/>
        <v>0</v>
      </c>
    </row>
    <row r="5" spans="1:84" ht="15.75" x14ac:dyDescent="0.25">
      <c r="A5" s="3" t="s">
        <v>226</v>
      </c>
      <c r="B5" s="5">
        <v>2613</v>
      </c>
      <c r="C5" s="4">
        <v>0</v>
      </c>
      <c r="D5" s="4">
        <v>0</v>
      </c>
      <c r="E5" s="4">
        <v>0</v>
      </c>
      <c r="F5" s="4">
        <v>0</v>
      </c>
      <c r="G5" s="4">
        <f t="shared" si="0"/>
        <v>0</v>
      </c>
    </row>
    <row r="6" spans="1:84" ht="15.75" x14ac:dyDescent="0.25">
      <c r="A6" s="3" t="s">
        <v>227</v>
      </c>
      <c r="B6" s="5">
        <v>2614</v>
      </c>
      <c r="C6" s="4">
        <v>0</v>
      </c>
      <c r="D6" s="4">
        <v>0</v>
      </c>
      <c r="E6" s="4">
        <v>0</v>
      </c>
      <c r="F6" s="4">
        <v>0</v>
      </c>
      <c r="G6" s="4">
        <f t="shared" si="0"/>
        <v>0</v>
      </c>
    </row>
    <row r="7" spans="1:84" ht="15.75" x14ac:dyDescent="0.25">
      <c r="A7" s="3" t="s">
        <v>228</v>
      </c>
      <c r="B7" s="5">
        <v>2615</v>
      </c>
      <c r="C7" s="4">
        <v>0</v>
      </c>
      <c r="D7" s="4">
        <v>0</v>
      </c>
      <c r="E7" s="4">
        <v>0</v>
      </c>
      <c r="F7" s="4">
        <v>0</v>
      </c>
      <c r="G7" s="4">
        <f t="shared" si="0"/>
        <v>0</v>
      </c>
    </row>
    <row r="8" spans="1:84" ht="15.75" x14ac:dyDescent="0.25">
      <c r="A8" s="3" t="s">
        <v>229</v>
      </c>
      <c r="B8" s="5">
        <v>2616</v>
      </c>
      <c r="C8" s="4">
        <v>0</v>
      </c>
      <c r="D8" s="4">
        <v>0</v>
      </c>
      <c r="E8" s="4">
        <v>0</v>
      </c>
      <c r="F8" s="4">
        <v>0</v>
      </c>
      <c r="G8" s="4">
        <f t="shared" si="0"/>
        <v>0</v>
      </c>
    </row>
    <row r="9" spans="1:84" ht="15.75" x14ac:dyDescent="0.25">
      <c r="A9" s="3" t="s">
        <v>230</v>
      </c>
      <c r="B9" s="5">
        <v>2617</v>
      </c>
      <c r="C9" s="4">
        <v>0</v>
      </c>
      <c r="D9" s="4">
        <v>0</v>
      </c>
      <c r="E9" s="4">
        <v>0</v>
      </c>
      <c r="F9" s="4">
        <v>0</v>
      </c>
      <c r="G9" s="4">
        <f t="shared" si="0"/>
        <v>0</v>
      </c>
    </row>
    <row r="10" spans="1:84" ht="15.75" x14ac:dyDescent="0.25">
      <c r="A10" s="3" t="s">
        <v>231</v>
      </c>
      <c r="B10" s="5">
        <v>2618</v>
      </c>
      <c r="C10" s="4">
        <v>0</v>
      </c>
      <c r="D10" s="4">
        <v>0</v>
      </c>
      <c r="E10" s="4">
        <v>0</v>
      </c>
      <c r="F10" s="4">
        <v>0</v>
      </c>
      <c r="G10" s="4">
        <f t="shared" si="0"/>
        <v>0</v>
      </c>
    </row>
    <row r="11" spans="1:84" ht="15.75" x14ac:dyDescent="0.25">
      <c r="A11" s="3" t="s">
        <v>232</v>
      </c>
      <c r="B11" s="5">
        <v>2619</v>
      </c>
      <c r="C11" s="4">
        <v>0</v>
      </c>
      <c r="D11" s="4">
        <v>0</v>
      </c>
      <c r="E11" s="4">
        <v>0</v>
      </c>
      <c r="F11" s="4">
        <v>0</v>
      </c>
      <c r="G11" s="4">
        <f t="shared" si="0"/>
        <v>0</v>
      </c>
    </row>
    <row r="12" spans="1:84" ht="15.75" x14ac:dyDescent="0.25">
      <c r="A12" s="3" t="s">
        <v>233</v>
      </c>
      <c r="B12" s="5">
        <v>2620</v>
      </c>
      <c r="C12" s="4">
        <v>0</v>
      </c>
      <c r="D12" s="4">
        <v>0</v>
      </c>
      <c r="E12" s="4">
        <v>0</v>
      </c>
      <c r="F12" s="4">
        <v>0</v>
      </c>
      <c r="G12" s="4">
        <f t="shared" si="0"/>
        <v>0</v>
      </c>
    </row>
    <row r="13" spans="1:84" ht="15.75" x14ac:dyDescent="0.25">
      <c r="A13" s="3" t="s">
        <v>234</v>
      </c>
      <c r="B13" s="5">
        <v>2621</v>
      </c>
      <c r="C13" s="4">
        <v>0</v>
      </c>
      <c r="D13" s="4">
        <v>0</v>
      </c>
      <c r="E13" s="4">
        <v>0</v>
      </c>
      <c r="F13" s="4">
        <v>0</v>
      </c>
      <c r="G13" s="4">
        <f t="shared" si="0"/>
        <v>0</v>
      </c>
    </row>
    <row r="14" spans="1:84" ht="15.75" x14ac:dyDescent="0.25">
      <c r="A14" s="3" t="s">
        <v>235</v>
      </c>
      <c r="B14" s="5">
        <v>2622</v>
      </c>
      <c r="C14" s="4">
        <v>2592</v>
      </c>
      <c r="D14" s="4">
        <v>0</v>
      </c>
      <c r="E14" s="4">
        <v>0</v>
      </c>
      <c r="F14" s="4">
        <v>0</v>
      </c>
      <c r="G14" s="4">
        <f t="shared" si="0"/>
        <v>2592</v>
      </c>
    </row>
    <row r="15" spans="1:84" ht="15.75" x14ac:dyDescent="0.25">
      <c r="A15" s="3" t="s">
        <v>236</v>
      </c>
      <c r="B15" s="5">
        <v>2623</v>
      </c>
      <c r="C15" s="4">
        <v>0</v>
      </c>
      <c r="D15" s="4">
        <v>0</v>
      </c>
      <c r="E15" s="4">
        <v>0</v>
      </c>
      <c r="F15" s="4">
        <v>0</v>
      </c>
      <c r="G15" s="4">
        <f t="shared" si="0"/>
        <v>0</v>
      </c>
    </row>
    <row r="16" spans="1:84" ht="15.75" x14ac:dyDescent="0.25">
      <c r="A16" s="3" t="s">
        <v>237</v>
      </c>
      <c r="B16" s="5">
        <v>2624</v>
      </c>
      <c r="C16" s="4">
        <v>0</v>
      </c>
      <c r="D16" s="4">
        <v>0</v>
      </c>
      <c r="E16" s="4">
        <v>0</v>
      </c>
      <c r="F16" s="4">
        <v>0</v>
      </c>
      <c r="G16" s="4">
        <f t="shared" si="0"/>
        <v>0</v>
      </c>
    </row>
    <row r="17" spans="1:7" ht="15.75" x14ac:dyDescent="0.25">
      <c r="A17" s="3" t="s">
        <v>238</v>
      </c>
      <c r="B17" s="5">
        <v>2625</v>
      </c>
      <c r="C17" s="4">
        <v>0</v>
      </c>
      <c r="D17" s="4">
        <v>0</v>
      </c>
      <c r="E17" s="4">
        <v>0</v>
      </c>
      <c r="F17" s="4">
        <v>0</v>
      </c>
      <c r="G17" s="4">
        <f t="shared" si="0"/>
        <v>0</v>
      </c>
    </row>
    <row r="18" spans="1:7" ht="15.75" x14ac:dyDescent="0.25">
      <c r="A18" s="6" t="s">
        <v>239</v>
      </c>
      <c r="B18" s="7">
        <v>2629</v>
      </c>
      <c r="C18" s="26">
        <f>1*SUMIFS($C:$C,$B:$B,"&gt;=2611",$B:$B,"&lt;=2611")+1*SUMIFS($C:$C,$B:$B,"&gt;=2615",$B:$B,"&lt;=2628")</f>
        <v>2592</v>
      </c>
      <c r="D18" s="26">
        <f>1*SUMIFS($D:$D,$B:$B,"&gt;=2611",$B:$B,"&lt;=2611")+1*SUMIFS($D:$D,$B:$B,"&gt;=2615",$B:$B,"&lt;=2628")</f>
        <v>0</v>
      </c>
      <c r="E18" s="26">
        <f>1*SUMIFS($E:$E,$B:$B,"&gt;=2611",$B:$B,"&lt;=2611")+1*SUMIFS($E:$E,$B:$B,"&gt;=2615",$B:$B,"&lt;=2628")</f>
        <v>0</v>
      </c>
      <c r="F18" s="26">
        <f>1*SUMIFS($F:$F,$B:$B,"&gt;=2611",$B:$B,"&lt;=2611")+1*SUMIFS($F:$F,$B:$B,"&gt;=2615",$B:$B,"&lt;=2628")</f>
        <v>0</v>
      </c>
      <c r="G18" s="26">
        <f t="shared" si="0"/>
        <v>2592</v>
      </c>
    </row>
    <row r="19" spans="1:7" ht="15.75" x14ac:dyDescent="0.25">
      <c r="A19" s="3"/>
      <c r="C19" s="4">
        <v>0</v>
      </c>
      <c r="D19" s="4">
        <v>0</v>
      </c>
      <c r="E19" s="4">
        <v>0</v>
      </c>
      <c r="F19" s="4">
        <v>0</v>
      </c>
      <c r="G19" s="4">
        <v>0</v>
      </c>
    </row>
    <row r="20" spans="1:7" ht="15.75" x14ac:dyDescent="0.25">
      <c r="A20" s="3" t="s">
        <v>240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</row>
    <row r="21" spans="1:7" ht="15.75" x14ac:dyDescent="0.25">
      <c r="A21" s="11" t="s">
        <v>241</v>
      </c>
      <c r="B21" s="12">
        <v>2631</v>
      </c>
      <c r="C21" s="13">
        <f>1*SUMIFS($C:$C,$B:$B,"&gt;=2632",$B:$B,"&lt;=2634")</f>
        <v>320357</v>
      </c>
      <c r="D21" s="13">
        <f>1*SUMIFS($D:$D,$B:$B,"&gt;=2632",$B:$B,"&lt;=2634")</f>
        <v>0</v>
      </c>
      <c r="E21" s="13">
        <f>1*SUMIFS($E:$E,$B:$B,"&gt;=2632",$B:$B,"&lt;=2634")</f>
        <v>0</v>
      </c>
      <c r="F21" s="13">
        <f>1*SUMIFS($F:$F,$B:$B,"&gt;=2632",$B:$B,"&lt;=2634")</f>
        <v>0</v>
      </c>
      <c r="G21" s="13">
        <f t="shared" ref="G21:G34" si="1">$C21+$D21+$E21+$F21</f>
        <v>320357</v>
      </c>
    </row>
    <row r="22" spans="1:7" ht="15.75" x14ac:dyDescent="0.25">
      <c r="A22" s="3" t="s">
        <v>242</v>
      </c>
      <c r="B22" s="5">
        <v>2632</v>
      </c>
      <c r="C22" s="4">
        <v>0</v>
      </c>
      <c r="D22" s="4">
        <v>0</v>
      </c>
      <c r="E22" s="4">
        <v>0</v>
      </c>
      <c r="F22" s="4">
        <v>0</v>
      </c>
      <c r="G22" s="4">
        <f t="shared" si="1"/>
        <v>0</v>
      </c>
    </row>
    <row r="23" spans="1:7" ht="15.75" x14ac:dyDescent="0.25">
      <c r="A23" s="3" t="s">
        <v>243</v>
      </c>
      <c r="B23" s="5">
        <v>2633</v>
      </c>
      <c r="C23" s="4">
        <v>0</v>
      </c>
      <c r="D23" s="4">
        <v>0</v>
      </c>
      <c r="E23" s="4">
        <v>0</v>
      </c>
      <c r="F23" s="4">
        <v>0</v>
      </c>
      <c r="G23" s="4">
        <f t="shared" si="1"/>
        <v>0</v>
      </c>
    </row>
    <row r="24" spans="1:7" ht="15.75" x14ac:dyDescent="0.25">
      <c r="A24" s="3" t="s">
        <v>244</v>
      </c>
      <c r="B24" s="5">
        <v>2634</v>
      </c>
      <c r="C24" s="4">
        <v>320357</v>
      </c>
      <c r="D24" s="4">
        <v>0</v>
      </c>
      <c r="E24" s="4">
        <v>0</v>
      </c>
      <c r="F24" s="4">
        <v>0</v>
      </c>
      <c r="G24" s="4">
        <f t="shared" si="1"/>
        <v>320357</v>
      </c>
    </row>
    <row r="25" spans="1:7" ht="15.75" x14ac:dyDescent="0.25">
      <c r="A25" s="3" t="s">
        <v>245</v>
      </c>
      <c r="B25" s="5">
        <v>2635</v>
      </c>
      <c r="C25" s="4">
        <v>0</v>
      </c>
      <c r="D25" s="4">
        <v>0</v>
      </c>
      <c r="E25" s="4">
        <v>0</v>
      </c>
      <c r="F25" s="4">
        <v>0</v>
      </c>
      <c r="G25" s="4">
        <f t="shared" si="1"/>
        <v>0</v>
      </c>
    </row>
    <row r="26" spans="1:7" ht="15.75" x14ac:dyDescent="0.25">
      <c r="A26" s="3" t="s">
        <v>246</v>
      </c>
      <c r="B26" s="5">
        <v>2636</v>
      </c>
      <c r="C26" s="4">
        <v>0</v>
      </c>
      <c r="D26" s="4">
        <v>0</v>
      </c>
      <c r="E26" s="4">
        <v>0</v>
      </c>
      <c r="F26" s="4">
        <v>0</v>
      </c>
      <c r="G26" s="4">
        <f t="shared" si="1"/>
        <v>0</v>
      </c>
    </row>
    <row r="27" spans="1:7" ht="15.75" x14ac:dyDescent="0.25">
      <c r="A27" s="3" t="s">
        <v>247</v>
      </c>
      <c r="B27" s="5">
        <v>2637</v>
      </c>
      <c r="C27" s="4">
        <v>0</v>
      </c>
      <c r="D27" s="4">
        <v>0</v>
      </c>
      <c r="E27" s="4">
        <v>0</v>
      </c>
      <c r="F27" s="4">
        <v>0</v>
      </c>
      <c r="G27" s="4">
        <f t="shared" si="1"/>
        <v>0</v>
      </c>
    </row>
    <row r="28" spans="1:7" ht="15.75" x14ac:dyDescent="0.25">
      <c r="A28" s="3" t="s">
        <v>248</v>
      </c>
      <c r="B28" s="5">
        <v>2638</v>
      </c>
      <c r="C28" s="4">
        <v>34193</v>
      </c>
      <c r="D28" s="4">
        <v>0</v>
      </c>
      <c r="E28" s="4">
        <v>0</v>
      </c>
      <c r="F28" s="4">
        <v>0</v>
      </c>
      <c r="G28" s="4">
        <f t="shared" si="1"/>
        <v>34193</v>
      </c>
    </row>
    <row r="29" spans="1:7" ht="15.75" x14ac:dyDescent="0.25">
      <c r="A29" s="3" t="s">
        <v>249</v>
      </c>
      <c r="B29" s="5">
        <v>2639</v>
      </c>
      <c r="C29" s="4">
        <v>2766</v>
      </c>
      <c r="D29" s="4">
        <v>0</v>
      </c>
      <c r="E29" s="4">
        <v>0</v>
      </c>
      <c r="F29" s="4">
        <v>0</v>
      </c>
      <c r="G29" s="4">
        <f t="shared" si="1"/>
        <v>2766</v>
      </c>
    </row>
    <row r="30" spans="1:7" ht="15.75" x14ac:dyDescent="0.25">
      <c r="A30" s="3" t="s">
        <v>250</v>
      </c>
      <c r="B30" s="5">
        <v>2640</v>
      </c>
      <c r="C30" s="4">
        <v>5824</v>
      </c>
      <c r="D30" s="4">
        <v>0</v>
      </c>
      <c r="E30" s="4">
        <v>0</v>
      </c>
      <c r="F30" s="4">
        <v>0</v>
      </c>
      <c r="G30" s="4">
        <f t="shared" si="1"/>
        <v>5824</v>
      </c>
    </row>
    <row r="31" spans="1:7" ht="15.75" x14ac:dyDescent="0.25">
      <c r="A31" s="3" t="s">
        <v>251</v>
      </c>
      <c r="B31" s="5">
        <v>2641</v>
      </c>
      <c r="C31" s="4">
        <v>24259</v>
      </c>
      <c r="D31" s="4">
        <v>0</v>
      </c>
      <c r="E31" s="4">
        <v>0</v>
      </c>
      <c r="F31" s="4">
        <v>0</v>
      </c>
      <c r="G31" s="4">
        <f t="shared" si="1"/>
        <v>24259</v>
      </c>
    </row>
    <row r="32" spans="1:7" ht="15.75" x14ac:dyDescent="0.25">
      <c r="A32" s="3" t="s">
        <v>252</v>
      </c>
      <c r="B32" s="5">
        <v>2642</v>
      </c>
      <c r="C32" s="4">
        <v>0</v>
      </c>
      <c r="D32" s="4">
        <v>0</v>
      </c>
      <c r="E32" s="4">
        <v>0</v>
      </c>
      <c r="F32" s="4">
        <v>0</v>
      </c>
      <c r="G32" s="4">
        <f t="shared" si="1"/>
        <v>0</v>
      </c>
    </row>
    <row r="33" spans="1:7" ht="15.75" x14ac:dyDescent="0.25">
      <c r="A33" s="3" t="s">
        <v>253</v>
      </c>
      <c r="B33" s="5">
        <v>2643</v>
      </c>
      <c r="C33" s="4">
        <v>340</v>
      </c>
      <c r="D33" s="4">
        <v>0</v>
      </c>
      <c r="E33" s="4">
        <v>0</v>
      </c>
      <c r="F33" s="4">
        <v>0</v>
      </c>
      <c r="G33" s="4">
        <f t="shared" si="1"/>
        <v>340</v>
      </c>
    </row>
    <row r="34" spans="1:7" ht="15.75" x14ac:dyDescent="0.25">
      <c r="A34" s="6" t="s">
        <v>254</v>
      </c>
      <c r="B34" s="7">
        <v>2649</v>
      </c>
      <c r="C34" s="26">
        <f>1*SUMIFS($C:$C,$B:$B,"&gt;=2631",$B:$B,"&lt;=2631")+1*SUMIFS($C:$C,$B:$B,"&gt;=2635",$B:$B,"&lt;=2648")</f>
        <v>387739</v>
      </c>
      <c r="D34" s="26">
        <f>1*SUMIFS($D:$D,$B:$B,"&gt;=2631",$B:$B,"&lt;=2631")+1*SUMIFS($D:$D,$B:$B,"&gt;=2635",$B:$B,"&lt;=2648")</f>
        <v>0</v>
      </c>
      <c r="E34" s="26">
        <f>1*SUMIFS($E:$E,$B:$B,"&gt;=2631",$B:$B,"&lt;=2631")+1*SUMIFS($E:$E,$B:$B,"&gt;=2635",$B:$B,"&lt;=2648")</f>
        <v>0</v>
      </c>
      <c r="F34" s="26">
        <f>1*SUMIFS($F:$F,$B:$B,"&gt;=2631",$B:$B,"&lt;=2631")+1*SUMIFS($F:$F,$B:$B,"&gt;=2635",$B:$B,"&lt;=2648")</f>
        <v>0</v>
      </c>
      <c r="G34" s="26">
        <f t="shared" si="1"/>
        <v>387739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F8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45.7109375" customWidth="1"/>
    <col min="2" max="2" width="5.7109375" customWidth="1"/>
    <col min="3" max="4" width="17.7109375" customWidth="1"/>
    <col min="5" max="84" width="0" hidden="1" customWidth="1"/>
  </cols>
  <sheetData>
    <row r="1" spans="1:84" ht="31.5" x14ac:dyDescent="0.25">
      <c r="A1" s="1" t="s">
        <v>0</v>
      </c>
      <c r="B1" s="2" t="s">
        <v>1</v>
      </c>
      <c r="C1" s="2" t="s">
        <v>212</v>
      </c>
      <c r="D1" s="2" t="s">
        <v>213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spans="1:84" ht="15.75" x14ac:dyDescent="0.25">
      <c r="A2" s="3" t="s">
        <v>255</v>
      </c>
      <c r="B2" s="5">
        <v>2810</v>
      </c>
      <c r="C2" s="4">
        <v>2414</v>
      </c>
      <c r="D2" s="4">
        <v>2216</v>
      </c>
    </row>
    <row r="3" spans="1:84" ht="15.75" x14ac:dyDescent="0.25">
      <c r="A3" s="3" t="s">
        <v>256</v>
      </c>
      <c r="B3" s="5">
        <v>2811</v>
      </c>
      <c r="C3" s="4">
        <v>178</v>
      </c>
      <c r="D3" s="4">
        <v>198</v>
      </c>
    </row>
    <row r="4" spans="1:84" ht="15.75" x14ac:dyDescent="0.25">
      <c r="A4" s="3" t="s">
        <v>257</v>
      </c>
      <c r="B4" s="5">
        <v>2812</v>
      </c>
      <c r="C4" s="4">
        <v>0</v>
      </c>
      <c r="D4" s="4">
        <v>0</v>
      </c>
    </row>
    <row r="5" spans="1:84" ht="15.75" x14ac:dyDescent="0.25">
      <c r="A5" s="3" t="s">
        <v>258</v>
      </c>
      <c r="B5" s="5">
        <v>2813</v>
      </c>
      <c r="C5" s="4">
        <v>0</v>
      </c>
      <c r="D5" s="4">
        <v>0</v>
      </c>
    </row>
    <row r="6" spans="1:84" ht="15.75" x14ac:dyDescent="0.25">
      <c r="A6" s="11" t="s">
        <v>259</v>
      </c>
      <c r="B6" s="12">
        <v>2819</v>
      </c>
      <c r="C6" s="13">
        <f>1*SUMIFS($C:$C,$B:$B,"&gt;=2811",$B:$B,"&lt;=2818")</f>
        <v>178</v>
      </c>
      <c r="D6" s="13">
        <f>1*SUMIFS($D:$D,$B:$B,"&gt;=2811",$B:$B,"&lt;=2818")</f>
        <v>198</v>
      </c>
    </row>
    <row r="7" spans="1:84" ht="15.75" x14ac:dyDescent="0.25">
      <c r="A7" s="3" t="s">
        <v>260</v>
      </c>
      <c r="B7" s="5">
        <v>2829</v>
      </c>
      <c r="C7" s="4">
        <v>0</v>
      </c>
      <c r="D7" s="4">
        <v>0</v>
      </c>
    </row>
    <row r="8" spans="1:84" ht="15.75" x14ac:dyDescent="0.25">
      <c r="A8" s="6" t="s">
        <v>261</v>
      </c>
      <c r="B8" s="7">
        <v>2839</v>
      </c>
      <c r="C8" s="26">
        <f>1*SUMIFS($C:$C,$B:$B,"&gt;=2810",$B:$B,"&lt;=2810")+1*SUMIFS($C:$C,$B:$B,"&gt;=2819",$B:$B,"&lt;=2819")-1*SUMIFS($C:$C,$B:$B,"&gt;=2829",$B:$B,"&lt;=2829")</f>
        <v>2592</v>
      </c>
      <c r="D8" s="26">
        <f>1*SUMIFS($D:$D,$B:$B,"&gt;=2810",$B:$B,"&lt;=2810")+1*SUMIFS($D:$D,$B:$B,"&gt;=2819",$B:$B,"&lt;=2819")-1*SUMIFS($D:$D,$B:$B,"&gt;=2829",$B:$B,"&lt;=2829")</f>
        <v>2414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F6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45.7109375" customWidth="1"/>
    <col min="2" max="2" width="5.7109375" customWidth="1"/>
    <col min="3" max="9" width="17.7109375" customWidth="1"/>
    <col min="10" max="84" width="0" hidden="1" customWidth="1"/>
  </cols>
  <sheetData>
    <row r="1" spans="1:84" ht="15.75" x14ac:dyDescent="0.25">
      <c r="A1" s="1" t="s">
        <v>0</v>
      </c>
      <c r="B1" s="2" t="s">
        <v>1</v>
      </c>
      <c r="C1" s="2" t="s">
        <v>262</v>
      </c>
      <c r="D1" s="2" t="s">
        <v>263</v>
      </c>
      <c r="E1" s="2" t="s">
        <v>264</v>
      </c>
      <c r="F1" s="2" t="s">
        <v>265</v>
      </c>
      <c r="G1" s="2" t="s">
        <v>266</v>
      </c>
      <c r="H1" s="2" t="s">
        <v>267</v>
      </c>
      <c r="I1" s="2" t="s">
        <v>268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spans="1:84" ht="15.75" x14ac:dyDescent="0.25">
      <c r="A2" s="3" t="s">
        <v>269</v>
      </c>
      <c r="B2" s="5">
        <v>3010</v>
      </c>
      <c r="C2" s="4">
        <v>0</v>
      </c>
      <c r="D2" s="4">
        <v>0</v>
      </c>
      <c r="E2" s="4">
        <v>0</v>
      </c>
      <c r="F2" s="4">
        <v>0</v>
      </c>
      <c r="G2" s="4">
        <v>139024</v>
      </c>
      <c r="H2" s="4">
        <v>0</v>
      </c>
      <c r="I2" s="4">
        <v>130271</v>
      </c>
    </row>
    <row r="3" spans="1:84" ht="15.75" x14ac:dyDescent="0.25">
      <c r="A3" s="3" t="s">
        <v>270</v>
      </c>
      <c r="B3" s="5">
        <v>3020</v>
      </c>
      <c r="C3" s="4">
        <v>0</v>
      </c>
      <c r="D3" s="4">
        <v>0</v>
      </c>
      <c r="E3" s="4">
        <v>0</v>
      </c>
      <c r="F3" s="4">
        <v>0</v>
      </c>
      <c r="G3" s="4">
        <v>0</v>
      </c>
      <c r="H3" s="4">
        <v>0</v>
      </c>
      <c r="I3" s="4">
        <v>0</v>
      </c>
    </row>
    <row r="4" spans="1:84" ht="15.75" x14ac:dyDescent="0.25">
      <c r="A4" s="3" t="s">
        <v>271</v>
      </c>
      <c r="B4" s="5">
        <v>3030</v>
      </c>
      <c r="C4" s="4">
        <v>0</v>
      </c>
      <c r="D4" s="4">
        <v>0</v>
      </c>
      <c r="E4" s="4">
        <v>0</v>
      </c>
      <c r="F4" s="4">
        <v>0</v>
      </c>
      <c r="G4" s="4">
        <v>0</v>
      </c>
      <c r="H4" s="4">
        <v>0</v>
      </c>
      <c r="I4" s="4">
        <v>0</v>
      </c>
    </row>
    <row r="5" spans="1:84" ht="15.75" x14ac:dyDescent="0.25">
      <c r="A5" s="3" t="s">
        <v>272</v>
      </c>
      <c r="B5" s="5">
        <v>3040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</row>
    <row r="6" spans="1:84" ht="15.75" x14ac:dyDescent="0.25">
      <c r="A6" s="3" t="s">
        <v>273</v>
      </c>
      <c r="B6" s="5">
        <v>3050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CF3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45.7109375" customWidth="1"/>
    <col min="2" max="2" width="5.7109375" customWidth="1"/>
    <col min="3" max="4" width="17.7109375" customWidth="1"/>
    <col min="5" max="84" width="0" hidden="1" customWidth="1"/>
  </cols>
  <sheetData>
    <row r="1" spans="1:84" ht="31.5" x14ac:dyDescent="0.25">
      <c r="A1" s="1" t="s">
        <v>0</v>
      </c>
      <c r="B1" s="2" t="s">
        <v>1</v>
      </c>
      <c r="C1" s="2" t="s">
        <v>212</v>
      </c>
      <c r="D1" s="2" t="s">
        <v>213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spans="1:84" ht="15.75" x14ac:dyDescent="0.25">
      <c r="A2" s="3" t="s">
        <v>274</v>
      </c>
      <c r="B2" s="5">
        <v>3110</v>
      </c>
      <c r="C2" s="4">
        <v>0</v>
      </c>
      <c r="D2" s="4">
        <v>0</v>
      </c>
    </row>
    <row r="3" spans="1:84" ht="15.75" x14ac:dyDescent="0.25">
      <c r="A3" s="3" t="s">
        <v>275</v>
      </c>
      <c r="B3" s="5">
        <v>3120</v>
      </c>
      <c r="C3" s="4">
        <v>0</v>
      </c>
      <c r="D3" s="4">
        <v>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F8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45.7109375" customWidth="1"/>
    <col min="2" max="2" width="5.7109375" customWidth="1"/>
    <col min="3" max="9" width="17.7109375" customWidth="1"/>
    <col min="10" max="12" width="0" hidden="1" customWidth="1"/>
    <col min="13" max="19" width="17.7109375" customWidth="1"/>
    <col min="20" max="84" width="0" hidden="1" customWidth="1"/>
  </cols>
  <sheetData>
    <row r="1" spans="1:84" ht="15.75" x14ac:dyDescent="0.25">
      <c r="A1" s="1" t="s">
        <v>0</v>
      </c>
      <c r="B1" s="2" t="s">
        <v>1</v>
      </c>
      <c r="C1" s="2" t="s">
        <v>276</v>
      </c>
      <c r="D1" s="2" t="s">
        <v>277</v>
      </c>
      <c r="E1" s="2" t="s">
        <v>278</v>
      </c>
      <c r="F1" s="2" t="s">
        <v>279</v>
      </c>
      <c r="G1" s="2" t="s">
        <v>280</v>
      </c>
      <c r="H1" s="2" t="s">
        <v>281</v>
      </c>
      <c r="I1" s="2" t="s">
        <v>282</v>
      </c>
      <c r="J1" s="2"/>
      <c r="K1" s="2"/>
      <c r="L1" s="2"/>
      <c r="M1" s="2" t="s">
        <v>283</v>
      </c>
      <c r="N1" s="2" t="s">
        <v>277</v>
      </c>
      <c r="O1" s="2" t="s">
        <v>278</v>
      </c>
      <c r="P1" s="2" t="s">
        <v>279</v>
      </c>
      <c r="Q1" s="2" t="s">
        <v>280</v>
      </c>
      <c r="R1" s="2" t="s">
        <v>281</v>
      </c>
      <c r="S1" s="2" t="s">
        <v>284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spans="1:84" ht="15.75" x14ac:dyDescent="0.25">
      <c r="A2" s="3" t="s">
        <v>285</v>
      </c>
      <c r="B2" s="5">
        <v>3311</v>
      </c>
      <c r="C2" s="4">
        <v>154281</v>
      </c>
      <c r="D2" s="4">
        <v>0</v>
      </c>
      <c r="E2" s="4">
        <v>0</v>
      </c>
      <c r="F2" s="4">
        <v>0</v>
      </c>
      <c r="G2" s="4">
        <v>0</v>
      </c>
      <c r="H2" s="4">
        <v>0</v>
      </c>
      <c r="I2" s="4">
        <f t="shared" ref="I2:I8" si="0">$C2+$D2+$E2+$F2+$G2+$H2</f>
        <v>154281</v>
      </c>
      <c r="M2" s="4">
        <v>251104</v>
      </c>
      <c r="N2" s="4">
        <v>0</v>
      </c>
      <c r="O2" s="4">
        <v>0</v>
      </c>
      <c r="P2" s="4">
        <v>0</v>
      </c>
      <c r="Q2" s="4">
        <v>0</v>
      </c>
      <c r="R2" s="4">
        <v>0</v>
      </c>
      <c r="S2" s="4">
        <f t="shared" ref="S2:S8" si="1">$M2+$N2+$O2+$P2+$Q2+$R2</f>
        <v>251104</v>
      </c>
    </row>
    <row r="3" spans="1:84" ht="15.75" x14ac:dyDescent="0.25">
      <c r="A3" s="3" t="s">
        <v>286</v>
      </c>
      <c r="B3" s="5">
        <v>3312</v>
      </c>
      <c r="C3" s="4">
        <v>0</v>
      </c>
      <c r="D3" s="4">
        <v>0</v>
      </c>
      <c r="E3" s="4">
        <v>0</v>
      </c>
      <c r="F3" s="4">
        <v>0</v>
      </c>
      <c r="G3" s="4">
        <v>0</v>
      </c>
      <c r="H3" s="4">
        <v>0</v>
      </c>
      <c r="I3" s="4">
        <f t="shared" si="0"/>
        <v>0</v>
      </c>
      <c r="M3" s="4">
        <v>99157</v>
      </c>
      <c r="N3" s="4">
        <v>0</v>
      </c>
      <c r="O3" s="4">
        <v>0</v>
      </c>
      <c r="P3" s="4">
        <v>0</v>
      </c>
      <c r="Q3" s="4">
        <v>0</v>
      </c>
      <c r="R3" s="4">
        <v>0</v>
      </c>
      <c r="S3" s="4">
        <f t="shared" si="1"/>
        <v>99157</v>
      </c>
    </row>
    <row r="4" spans="1:84" ht="15.75" x14ac:dyDescent="0.25">
      <c r="A4" s="3" t="s">
        <v>287</v>
      </c>
      <c r="B4" s="5">
        <v>3313</v>
      </c>
      <c r="C4" s="4">
        <v>0</v>
      </c>
      <c r="D4" s="4">
        <v>0</v>
      </c>
      <c r="E4" s="4">
        <v>0</v>
      </c>
      <c r="F4" s="4">
        <v>0</v>
      </c>
      <c r="G4" s="4">
        <v>0</v>
      </c>
      <c r="H4" s="4">
        <v>0</v>
      </c>
      <c r="I4" s="4">
        <f t="shared" si="0"/>
        <v>0</v>
      </c>
      <c r="M4" s="4">
        <v>364061</v>
      </c>
      <c r="N4" s="4">
        <v>0</v>
      </c>
      <c r="O4" s="4">
        <v>0</v>
      </c>
      <c r="P4" s="4">
        <v>0</v>
      </c>
      <c r="Q4" s="4">
        <v>0</v>
      </c>
      <c r="R4" s="4">
        <v>0</v>
      </c>
      <c r="S4" s="4">
        <f t="shared" si="1"/>
        <v>364061</v>
      </c>
    </row>
    <row r="5" spans="1:84" ht="15.75" x14ac:dyDescent="0.25">
      <c r="A5" s="3" t="s">
        <v>288</v>
      </c>
      <c r="B5" s="5">
        <v>3314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f t="shared" si="0"/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f t="shared" si="1"/>
        <v>0</v>
      </c>
    </row>
    <row r="6" spans="1:84" ht="15.75" x14ac:dyDescent="0.25">
      <c r="A6" s="3" t="s">
        <v>289</v>
      </c>
      <c r="B6" s="5">
        <v>3315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f t="shared" si="0"/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f t="shared" si="1"/>
        <v>0</v>
      </c>
    </row>
    <row r="7" spans="1:84" ht="15.75" x14ac:dyDescent="0.25">
      <c r="A7" s="3" t="s">
        <v>290</v>
      </c>
      <c r="B7" s="5">
        <v>3316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f t="shared" si="0"/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f t="shared" si="1"/>
        <v>0</v>
      </c>
    </row>
    <row r="8" spans="1:84" ht="15.75" x14ac:dyDescent="0.25">
      <c r="A8" s="11" t="s">
        <v>291</v>
      </c>
      <c r="B8" s="12">
        <v>3319</v>
      </c>
      <c r="C8" s="13">
        <f>1*SUMIFS($C:$C,$B:$B,"&gt;=3311",$B:$B,"&lt;=3318")</f>
        <v>154281</v>
      </c>
      <c r="D8" s="13">
        <f>1*SUMIFS($D:$D,$B:$B,"&gt;=3311",$B:$B,"&lt;=3318")</f>
        <v>0</v>
      </c>
      <c r="E8" s="13">
        <f>1*SUMIFS($E:$E,$B:$B,"&gt;=3311",$B:$B,"&lt;=3318")</f>
        <v>0</v>
      </c>
      <c r="F8" s="13">
        <f>1*SUMIFS($F:$F,$B:$B,"&gt;=3311",$B:$B,"&lt;=3318")</f>
        <v>0</v>
      </c>
      <c r="G8" s="13">
        <f>1*SUMIFS($G:$G,$B:$B,"&gt;=3311",$B:$B,"&lt;=3318")</f>
        <v>0</v>
      </c>
      <c r="H8" s="13">
        <f>1*SUMIFS($H:$H,$B:$B,"&gt;=3311",$B:$B,"&lt;=3318")</f>
        <v>0</v>
      </c>
      <c r="I8" s="13">
        <f t="shared" si="0"/>
        <v>154281</v>
      </c>
      <c r="M8" s="13">
        <f>1*SUMIFS($M:$M,$B:$B,"&gt;=3311",$B:$B,"&lt;=3318")</f>
        <v>714322</v>
      </c>
      <c r="N8" s="13">
        <f>1*SUMIFS($N:$N,$B:$B,"&gt;=3311",$B:$B,"&lt;=3318")</f>
        <v>0</v>
      </c>
      <c r="O8" s="13">
        <f>1*SUMIFS($O:$O,$B:$B,"&gt;=3311",$B:$B,"&lt;=3318")</f>
        <v>0</v>
      </c>
      <c r="P8" s="13">
        <f>1*SUMIFS($P:$P,$B:$B,"&gt;=3311",$B:$B,"&lt;=3318")</f>
        <v>0</v>
      </c>
      <c r="Q8" s="13">
        <f>1*SUMIFS($Q:$Q,$B:$B,"&gt;=3311",$B:$B,"&lt;=3318")</f>
        <v>0</v>
      </c>
      <c r="R8" s="13">
        <f>1*SUMIFS($R:$R,$B:$B,"&gt;=3311",$B:$B,"&lt;=3318")</f>
        <v>0</v>
      </c>
      <c r="S8" s="13">
        <f t="shared" si="1"/>
        <v>714322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F11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45.7109375" customWidth="1"/>
    <col min="2" max="2" width="5.7109375" customWidth="1"/>
    <col min="3" max="8" width="17.7109375" customWidth="1"/>
    <col min="9" max="84" width="0" hidden="1" customWidth="1"/>
  </cols>
  <sheetData>
    <row r="1" spans="1:84" ht="15.75" x14ac:dyDescent="0.25">
      <c r="A1" s="1" t="s">
        <v>0</v>
      </c>
      <c r="B1" s="2" t="s">
        <v>1</v>
      </c>
      <c r="C1" s="2" t="s">
        <v>292</v>
      </c>
      <c r="D1" s="2" t="s">
        <v>293</v>
      </c>
      <c r="E1" s="2" t="s">
        <v>294</v>
      </c>
      <c r="F1" s="2" t="s">
        <v>295</v>
      </c>
      <c r="G1" s="2" t="s">
        <v>296</v>
      </c>
      <c r="H1" s="2" t="s">
        <v>297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spans="1:84" ht="15.75" x14ac:dyDescent="0.25">
      <c r="A2" s="3" t="s">
        <v>298</v>
      </c>
      <c r="B2" s="5">
        <v>3611</v>
      </c>
      <c r="C2" s="4">
        <v>100069</v>
      </c>
      <c r="D2" s="4">
        <v>52000</v>
      </c>
      <c r="E2" s="4">
        <v>52000</v>
      </c>
      <c r="F2" s="4">
        <v>72006</v>
      </c>
      <c r="G2" s="4">
        <v>48069</v>
      </c>
      <c r="H2" s="4">
        <v>-20006</v>
      </c>
    </row>
    <row r="3" spans="1:84" ht="15.75" x14ac:dyDescent="0.25">
      <c r="A3" s="3" t="s">
        <v>299</v>
      </c>
      <c r="B3" s="5">
        <v>3612</v>
      </c>
      <c r="C3" s="4">
        <v>0</v>
      </c>
      <c r="D3" s="4">
        <v>0</v>
      </c>
      <c r="E3" s="4">
        <v>0</v>
      </c>
      <c r="F3" s="4">
        <v>0</v>
      </c>
      <c r="G3" s="4">
        <v>0</v>
      </c>
      <c r="H3" s="4">
        <v>0</v>
      </c>
    </row>
    <row r="4" spans="1:84" ht="15.75" x14ac:dyDescent="0.25">
      <c r="A4" s="3" t="s">
        <v>300</v>
      </c>
      <c r="B4" s="5">
        <v>3613</v>
      </c>
      <c r="C4" s="4">
        <v>0</v>
      </c>
      <c r="D4" s="4">
        <v>0</v>
      </c>
      <c r="E4" s="4">
        <v>0</v>
      </c>
      <c r="F4" s="4">
        <v>0</v>
      </c>
      <c r="G4" s="4">
        <v>0</v>
      </c>
      <c r="H4" s="4">
        <v>0</v>
      </c>
    </row>
    <row r="5" spans="1:84" ht="15.75" x14ac:dyDescent="0.25">
      <c r="A5" s="11" t="s">
        <v>301</v>
      </c>
      <c r="B5" s="12">
        <v>3614</v>
      </c>
      <c r="C5" s="13">
        <f>1*SUMIFS($C:$C,$B:$B,"&gt;=3611",$B:$B,"&lt;=3613")</f>
        <v>100069</v>
      </c>
      <c r="D5" s="13">
        <f>1*SUMIFS($D:$D,$B:$B,"&gt;=3611",$B:$B,"&lt;=3613")</f>
        <v>52000</v>
      </c>
      <c r="E5" s="13">
        <f>1*SUMIFS($E:$E,$B:$B,"&gt;=3611",$B:$B,"&lt;=3613")</f>
        <v>52000</v>
      </c>
      <c r="F5" s="13">
        <f>1*SUMIFS($F:$F,$B:$B,"&gt;=3611",$B:$B,"&lt;=3613")</f>
        <v>72006</v>
      </c>
      <c r="G5" s="13">
        <f>1*SUMIFS($G:$G,$B:$B,"&gt;=3611",$B:$B,"&lt;=3613")</f>
        <v>48069</v>
      </c>
      <c r="H5" s="13">
        <f>1*SUMIFS($H:$H,$B:$B,"&gt;=3611",$B:$B,"&lt;=3613")</f>
        <v>-20006</v>
      </c>
    </row>
    <row r="6" spans="1:84" ht="15.75" x14ac:dyDescent="0.25">
      <c r="A6" s="3" t="s">
        <v>302</v>
      </c>
      <c r="B6" s="5">
        <v>3615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</row>
    <row r="7" spans="1:84" ht="15.75" x14ac:dyDescent="0.25">
      <c r="A7" s="3" t="s">
        <v>303</v>
      </c>
      <c r="B7" s="5">
        <v>3616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</row>
    <row r="8" spans="1:84" ht="15.75" x14ac:dyDescent="0.25">
      <c r="A8" s="3" t="s">
        <v>304</v>
      </c>
      <c r="B8" s="5">
        <v>3617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</row>
    <row r="9" spans="1:84" ht="15.75" x14ac:dyDescent="0.25">
      <c r="A9" s="3" t="s">
        <v>305</v>
      </c>
      <c r="B9" s="5">
        <v>3618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</row>
    <row r="10" spans="1:84" ht="15.75" x14ac:dyDescent="0.25">
      <c r="A10" s="11" t="s">
        <v>306</v>
      </c>
      <c r="B10" s="12">
        <v>3619</v>
      </c>
      <c r="C10" s="13">
        <v>0</v>
      </c>
      <c r="D10" s="13">
        <v>0</v>
      </c>
      <c r="E10" s="13">
        <v>0</v>
      </c>
      <c r="F10" s="13">
        <v>0</v>
      </c>
      <c r="G10" s="13">
        <f>1*SUMIFS($G:$G,$B:$B,"&gt;=3611",$B:$B,"&lt;=3613")</f>
        <v>48069</v>
      </c>
      <c r="H10" s="13">
        <f>1*SUMIFS($H:$H,$B:$B,"&gt;=3611",$B:$B,"&lt;=3613")</f>
        <v>-20006</v>
      </c>
    </row>
    <row r="11" spans="1:84" ht="15.75" x14ac:dyDescent="0.25">
      <c r="A11" s="3"/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CF25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45.7109375" customWidth="1"/>
    <col min="2" max="2" width="5.7109375" customWidth="1"/>
    <col min="3" max="4" width="17.7109375" customWidth="1"/>
    <col min="5" max="84" width="0" hidden="1" customWidth="1"/>
  </cols>
  <sheetData>
    <row r="1" spans="1:84" ht="31.5" x14ac:dyDescent="0.25">
      <c r="A1" s="1" t="s">
        <v>0</v>
      </c>
      <c r="B1" s="2" t="s">
        <v>1</v>
      </c>
      <c r="C1" s="2" t="s">
        <v>212</v>
      </c>
      <c r="D1" s="2" t="s">
        <v>213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spans="1:84" ht="15.75" x14ac:dyDescent="0.25">
      <c r="A2" s="11" t="s">
        <v>307</v>
      </c>
      <c r="B2" s="12">
        <v>3710</v>
      </c>
      <c r="C2" s="13">
        <f>1*SUMIFS($C:$C,$B:$B,"&gt;=3711",$B:$B,"&lt;=3719")</f>
        <v>154281</v>
      </c>
      <c r="D2" s="13">
        <f>1*SUMIFS($D:$D,$B:$B,"&gt;=3711",$B:$B,"&lt;=3719")</f>
        <v>714322</v>
      </c>
    </row>
    <row r="3" spans="1:84" ht="15.75" x14ac:dyDescent="0.25">
      <c r="A3" s="3" t="s">
        <v>308</v>
      </c>
      <c r="B3" s="5">
        <v>3711</v>
      </c>
      <c r="C3" s="4">
        <v>154281</v>
      </c>
      <c r="D3" s="4">
        <v>251104</v>
      </c>
    </row>
    <row r="4" spans="1:84" ht="15.75" x14ac:dyDescent="0.25">
      <c r="A4" s="3" t="s">
        <v>309</v>
      </c>
      <c r="B4" s="5">
        <v>3712</v>
      </c>
      <c r="C4" s="4">
        <v>0</v>
      </c>
      <c r="D4" s="4">
        <v>99157</v>
      </c>
    </row>
    <row r="5" spans="1:84" ht="15.75" x14ac:dyDescent="0.25">
      <c r="A5" s="3" t="s">
        <v>310</v>
      </c>
      <c r="B5" s="5">
        <v>3713</v>
      </c>
      <c r="C5" s="4">
        <v>0</v>
      </c>
      <c r="D5" s="4">
        <v>364061</v>
      </c>
    </row>
    <row r="6" spans="1:84" ht="15.75" x14ac:dyDescent="0.25">
      <c r="A6" s="3" t="s">
        <v>311</v>
      </c>
      <c r="B6" s="5">
        <v>3714</v>
      </c>
      <c r="C6" s="4">
        <v>0</v>
      </c>
      <c r="D6" s="4">
        <v>0</v>
      </c>
    </row>
    <row r="7" spans="1:84" ht="15.75" x14ac:dyDescent="0.25">
      <c r="A7" s="11" t="s">
        <v>312</v>
      </c>
      <c r="B7" s="12">
        <v>3730</v>
      </c>
      <c r="C7" s="13">
        <f>1*SUMIFS($C:$C,$B:$B,"&gt;=3731",$B:$B,"&lt;=3739")</f>
        <v>0</v>
      </c>
      <c r="D7" s="13">
        <f>1*SUMIFS($D:$D,$B:$B,"&gt;=3731",$B:$B,"&lt;=3739")</f>
        <v>0</v>
      </c>
    </row>
    <row r="8" spans="1:84" ht="15.75" x14ac:dyDescent="0.25">
      <c r="A8" s="3" t="s">
        <v>313</v>
      </c>
      <c r="B8" s="5">
        <v>3731</v>
      </c>
      <c r="C8" s="4">
        <v>0</v>
      </c>
      <c r="D8" s="4">
        <v>0</v>
      </c>
    </row>
    <row r="9" spans="1:84" ht="15.75" x14ac:dyDescent="0.25">
      <c r="A9" s="3" t="s">
        <v>314</v>
      </c>
      <c r="B9" s="5">
        <v>3732</v>
      </c>
      <c r="C9" s="4">
        <v>0</v>
      </c>
      <c r="D9" s="4">
        <v>0</v>
      </c>
    </row>
    <row r="10" spans="1:84" ht="15.75" x14ac:dyDescent="0.25">
      <c r="A10" s="3" t="s">
        <v>315</v>
      </c>
      <c r="B10" s="5">
        <v>3733</v>
      </c>
      <c r="C10" s="4">
        <v>0</v>
      </c>
      <c r="D10" s="4">
        <v>0</v>
      </c>
    </row>
    <row r="11" spans="1:84" ht="15.75" x14ac:dyDescent="0.25">
      <c r="A11" s="11" t="s">
        <v>316</v>
      </c>
      <c r="B11" s="12">
        <v>3740</v>
      </c>
      <c r="C11" s="13">
        <f>1*SUMIFS($C:$C,$B:$B,"&gt;=3741",$B:$B,"&lt;=3749")</f>
        <v>71071</v>
      </c>
      <c r="D11" s="13">
        <f>1*SUMIFS($D:$D,$B:$B,"&gt;=3741",$B:$B,"&lt;=3749")</f>
        <v>64042</v>
      </c>
    </row>
    <row r="12" spans="1:84" ht="15.75" x14ac:dyDescent="0.25">
      <c r="A12" s="3" t="s">
        <v>317</v>
      </c>
      <c r="B12" s="5">
        <v>3741</v>
      </c>
      <c r="C12" s="4">
        <v>16667</v>
      </c>
      <c r="D12" s="4">
        <v>6000</v>
      </c>
    </row>
    <row r="13" spans="1:84" ht="15.75" x14ac:dyDescent="0.25">
      <c r="A13" s="3" t="s">
        <v>318</v>
      </c>
      <c r="B13" s="5">
        <v>3742</v>
      </c>
      <c r="C13" s="4">
        <v>0</v>
      </c>
      <c r="D13" s="4">
        <v>0</v>
      </c>
    </row>
    <row r="14" spans="1:84" ht="15.75" x14ac:dyDescent="0.25">
      <c r="A14" s="3" t="s">
        <v>319</v>
      </c>
      <c r="B14" s="5">
        <v>3743</v>
      </c>
      <c r="C14" s="4">
        <v>0</v>
      </c>
      <c r="D14" s="4">
        <v>0</v>
      </c>
    </row>
    <row r="15" spans="1:84" ht="15.75" x14ac:dyDescent="0.25">
      <c r="A15" s="3" t="s">
        <v>320</v>
      </c>
      <c r="B15" s="5">
        <v>3744</v>
      </c>
      <c r="C15" s="4">
        <v>0</v>
      </c>
      <c r="D15" s="4">
        <v>0</v>
      </c>
    </row>
    <row r="16" spans="1:84" ht="15.75" x14ac:dyDescent="0.25">
      <c r="A16" s="3" t="s">
        <v>321</v>
      </c>
      <c r="B16" s="5">
        <v>3745</v>
      </c>
      <c r="C16" s="4">
        <v>54404</v>
      </c>
      <c r="D16" s="4">
        <v>58042</v>
      </c>
    </row>
    <row r="17" spans="1:4" ht="15.75" x14ac:dyDescent="0.25">
      <c r="A17" s="11" t="s">
        <v>322</v>
      </c>
      <c r="B17" s="12">
        <v>3750</v>
      </c>
      <c r="C17" s="13">
        <f>1*SUMIFS($C:$C,$B:$B,"&gt;=3751",$B:$B,"&lt;=3759")</f>
        <v>0</v>
      </c>
      <c r="D17" s="13">
        <f>1*SUMIFS($D:$D,$B:$B,"&gt;=3751",$B:$B,"&lt;=3759")</f>
        <v>0</v>
      </c>
    </row>
    <row r="18" spans="1:4" ht="15.75" x14ac:dyDescent="0.25">
      <c r="A18" s="3" t="s">
        <v>323</v>
      </c>
      <c r="B18" s="5">
        <v>3751</v>
      </c>
      <c r="C18" s="4">
        <v>0</v>
      </c>
      <c r="D18" s="4">
        <v>0</v>
      </c>
    </row>
    <row r="19" spans="1:4" ht="15.75" x14ac:dyDescent="0.25">
      <c r="A19" s="3" t="s">
        <v>324</v>
      </c>
      <c r="B19" s="5">
        <v>3752</v>
      </c>
      <c r="C19" s="4">
        <v>0</v>
      </c>
      <c r="D19" s="4">
        <v>0</v>
      </c>
    </row>
    <row r="20" spans="1:4" ht="15.75" x14ac:dyDescent="0.25">
      <c r="A20" s="3" t="s">
        <v>325</v>
      </c>
      <c r="B20" s="5">
        <v>3753</v>
      </c>
      <c r="C20" s="4">
        <v>0</v>
      </c>
      <c r="D20" s="4">
        <v>0</v>
      </c>
    </row>
    <row r="21" spans="1:4" ht="15.75" x14ac:dyDescent="0.25">
      <c r="A21" s="3" t="s">
        <v>326</v>
      </c>
      <c r="B21" s="5">
        <v>3754</v>
      </c>
      <c r="C21" s="4">
        <v>0</v>
      </c>
      <c r="D21" s="4">
        <v>0</v>
      </c>
    </row>
    <row r="22" spans="1:4" ht="15.75" x14ac:dyDescent="0.25">
      <c r="A22" s="3" t="s">
        <v>327</v>
      </c>
      <c r="B22" s="5">
        <v>3755</v>
      </c>
      <c r="C22" s="4">
        <v>0</v>
      </c>
      <c r="D22" s="4">
        <v>0</v>
      </c>
    </row>
    <row r="23" spans="1:4" ht="15.75" x14ac:dyDescent="0.25">
      <c r="A23" s="3" t="s">
        <v>328</v>
      </c>
      <c r="B23" s="5">
        <v>3756</v>
      </c>
      <c r="C23" s="4">
        <v>0</v>
      </c>
      <c r="D23" s="4">
        <v>0</v>
      </c>
    </row>
    <row r="24" spans="1:4" ht="15.75" x14ac:dyDescent="0.25">
      <c r="A24" s="3" t="s">
        <v>329</v>
      </c>
      <c r="B24" s="5">
        <v>3760</v>
      </c>
      <c r="C24" s="4">
        <v>0</v>
      </c>
      <c r="D24" s="4">
        <v>0</v>
      </c>
    </row>
    <row r="25" spans="1:4" ht="15.75" x14ac:dyDescent="0.25">
      <c r="A25" s="3"/>
      <c r="C25" s="4">
        <v>0</v>
      </c>
      <c r="D25" s="4">
        <v>0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CF28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45.7109375" customWidth="1"/>
    <col min="2" max="2" width="5.7109375" customWidth="1"/>
    <col min="3" max="4" width="17.7109375" customWidth="1"/>
    <col min="5" max="84" width="0" hidden="1" customWidth="1"/>
  </cols>
  <sheetData>
    <row r="1" spans="1:84" ht="31.5" x14ac:dyDescent="0.25">
      <c r="A1" s="1" t="s">
        <v>0</v>
      </c>
      <c r="B1" s="2" t="s">
        <v>1</v>
      </c>
      <c r="C1" s="2" t="s">
        <v>212</v>
      </c>
      <c r="D1" s="2" t="s">
        <v>213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spans="1:84" ht="15.75" x14ac:dyDescent="0.25">
      <c r="A2" s="11" t="s">
        <v>330</v>
      </c>
      <c r="B2" s="12">
        <v>3910</v>
      </c>
      <c r="C2" s="13">
        <f>1*SUMIFS($C:$C,$B:$B,"&gt;=3911",$B:$B,"&lt;=3919")</f>
        <v>49263</v>
      </c>
      <c r="D2" s="13">
        <f>1*SUMIFS($D:$D,$B:$B,"&gt;=3911",$B:$B,"&lt;=3919")</f>
        <v>54998</v>
      </c>
    </row>
    <row r="3" spans="1:84" ht="15.75" x14ac:dyDescent="0.25">
      <c r="A3" s="3" t="s">
        <v>331</v>
      </c>
      <c r="B3" s="5">
        <v>3911</v>
      </c>
      <c r="C3" s="4">
        <v>35278</v>
      </c>
      <c r="D3" s="4">
        <v>39475</v>
      </c>
    </row>
    <row r="4" spans="1:84" ht="15.75" x14ac:dyDescent="0.25">
      <c r="A4" s="3" t="s">
        <v>332</v>
      </c>
      <c r="B4" s="5">
        <v>3912</v>
      </c>
      <c r="C4" s="4">
        <v>0</v>
      </c>
      <c r="D4" s="4">
        <v>0</v>
      </c>
    </row>
    <row r="5" spans="1:84" ht="15.75" x14ac:dyDescent="0.25">
      <c r="A5" s="3" t="s">
        <v>333</v>
      </c>
      <c r="B5" s="5">
        <v>3913</v>
      </c>
      <c r="C5" s="4">
        <v>8212</v>
      </c>
      <c r="D5" s="4">
        <v>9378</v>
      </c>
    </row>
    <row r="6" spans="1:84" ht="15.75" x14ac:dyDescent="0.25">
      <c r="A6" s="3" t="s">
        <v>334</v>
      </c>
      <c r="B6" s="5">
        <v>3914</v>
      </c>
      <c r="C6" s="4">
        <v>3790</v>
      </c>
      <c r="D6" s="4">
        <v>3854</v>
      </c>
    </row>
    <row r="7" spans="1:84" ht="15.75" x14ac:dyDescent="0.25">
      <c r="A7" s="3" t="s">
        <v>335</v>
      </c>
      <c r="B7" s="5">
        <v>3915</v>
      </c>
      <c r="C7" s="4">
        <v>1983</v>
      </c>
      <c r="D7" s="4">
        <v>2291</v>
      </c>
    </row>
    <row r="8" spans="1:84" ht="15.75" x14ac:dyDescent="0.25">
      <c r="A8" s="11" t="s">
        <v>336</v>
      </c>
      <c r="B8" s="12">
        <v>3920</v>
      </c>
      <c r="C8" s="13">
        <f>1*SUMIFS($C:$C,$B:$B,"&gt;=3921",$B:$B,"&lt;=3929")</f>
        <v>25124</v>
      </c>
      <c r="D8" s="13">
        <f>1*SUMIFS($D:$D,$B:$B,"&gt;=3921",$B:$B,"&lt;=3929")</f>
        <v>12667</v>
      </c>
    </row>
    <row r="9" spans="1:84" ht="15.75" x14ac:dyDescent="0.25">
      <c r="A9" s="3" t="s">
        <v>337</v>
      </c>
      <c r="B9" s="5">
        <v>3921</v>
      </c>
      <c r="C9" s="4">
        <v>15677</v>
      </c>
      <c r="D9" s="4">
        <v>0</v>
      </c>
    </row>
    <row r="10" spans="1:84" ht="15.75" x14ac:dyDescent="0.25">
      <c r="A10" s="3" t="s">
        <v>338</v>
      </c>
      <c r="B10" s="5">
        <v>3922</v>
      </c>
      <c r="C10" s="4">
        <v>0</v>
      </c>
      <c r="D10" s="4">
        <v>67</v>
      </c>
    </row>
    <row r="11" spans="1:84" ht="15.75" x14ac:dyDescent="0.25">
      <c r="A11" s="3" t="s">
        <v>339</v>
      </c>
      <c r="B11" s="5">
        <v>3923</v>
      </c>
      <c r="C11" s="4">
        <v>0</v>
      </c>
      <c r="D11" s="4">
        <v>0</v>
      </c>
    </row>
    <row r="12" spans="1:84" ht="15.75" x14ac:dyDescent="0.25">
      <c r="A12" s="3" t="s">
        <v>340</v>
      </c>
      <c r="B12" s="5">
        <v>3924</v>
      </c>
      <c r="C12" s="4">
        <v>9447</v>
      </c>
      <c r="D12" s="4">
        <v>12600</v>
      </c>
    </row>
    <row r="13" spans="1:84" ht="15.75" x14ac:dyDescent="0.25">
      <c r="A13" s="11" t="s">
        <v>341</v>
      </c>
      <c r="B13" s="12">
        <v>3930</v>
      </c>
      <c r="C13" s="13">
        <f>1*SUMIFS($C:$C,$B:$B,"&gt;=3931",$B:$B,"&lt;=3939")</f>
        <v>15713</v>
      </c>
      <c r="D13" s="13">
        <f>1*SUMIFS($D:$D,$B:$B,"&gt;=3931",$B:$B,"&lt;=3939")</f>
        <v>16621</v>
      </c>
    </row>
    <row r="14" spans="1:84" ht="15.75" x14ac:dyDescent="0.25">
      <c r="A14" s="3" t="s">
        <v>342</v>
      </c>
      <c r="B14" s="5">
        <v>3931</v>
      </c>
      <c r="C14" s="4">
        <v>0</v>
      </c>
      <c r="D14" s="4">
        <v>0</v>
      </c>
    </row>
    <row r="15" spans="1:84" ht="15.75" x14ac:dyDescent="0.25">
      <c r="A15" s="3" t="s">
        <v>343</v>
      </c>
      <c r="B15" s="5">
        <v>3932</v>
      </c>
      <c r="C15" s="4">
        <v>0</v>
      </c>
      <c r="D15" s="4">
        <v>0</v>
      </c>
    </row>
    <row r="16" spans="1:84" ht="15.75" x14ac:dyDescent="0.25">
      <c r="A16" s="3" t="s">
        <v>344</v>
      </c>
      <c r="B16" s="5">
        <v>3933</v>
      </c>
      <c r="C16" s="4">
        <v>0</v>
      </c>
      <c r="D16" s="4">
        <v>0</v>
      </c>
    </row>
    <row r="17" spans="1:4" ht="15.75" x14ac:dyDescent="0.25">
      <c r="A17" s="3" t="s">
        <v>345</v>
      </c>
      <c r="B17" s="5">
        <v>3934</v>
      </c>
      <c r="C17" s="4">
        <v>186</v>
      </c>
      <c r="D17" s="4">
        <v>0</v>
      </c>
    </row>
    <row r="18" spans="1:4" ht="15.75" x14ac:dyDescent="0.25">
      <c r="A18" s="3" t="s">
        <v>346</v>
      </c>
      <c r="B18" s="5">
        <v>3935</v>
      </c>
      <c r="C18" s="4">
        <v>0</v>
      </c>
      <c r="D18" s="4">
        <v>0</v>
      </c>
    </row>
    <row r="19" spans="1:4" ht="15.75" x14ac:dyDescent="0.25">
      <c r="A19" s="3" t="s">
        <v>347</v>
      </c>
      <c r="B19" s="5">
        <v>3936</v>
      </c>
      <c r="C19" s="4">
        <v>15527</v>
      </c>
      <c r="D19" s="4">
        <v>16621</v>
      </c>
    </row>
    <row r="20" spans="1:4" ht="15.75" x14ac:dyDescent="0.25">
      <c r="A20" s="11" t="s">
        <v>348</v>
      </c>
      <c r="B20" s="12">
        <v>3940</v>
      </c>
      <c r="C20" s="13">
        <f>1*SUMIFS($C:$C,$B:$B,"&gt;=3941",$B:$B,"&lt;=3949")</f>
        <v>6698</v>
      </c>
      <c r="D20" s="13">
        <f>1*SUMIFS($D:$D,$B:$B,"&gt;=3941",$B:$B,"&lt;=3949")</f>
        <v>8489</v>
      </c>
    </row>
    <row r="21" spans="1:4" ht="15.75" x14ac:dyDescent="0.25">
      <c r="A21" s="3" t="s">
        <v>349</v>
      </c>
      <c r="B21" s="5">
        <v>3941</v>
      </c>
      <c r="C21" s="4">
        <v>0</v>
      </c>
      <c r="D21" s="4">
        <v>0</v>
      </c>
    </row>
    <row r="22" spans="1:4" ht="15.75" x14ac:dyDescent="0.25">
      <c r="A22" s="3" t="s">
        <v>350</v>
      </c>
      <c r="B22" s="5">
        <v>3942</v>
      </c>
      <c r="C22" s="4">
        <v>0</v>
      </c>
      <c r="D22" s="4">
        <v>0</v>
      </c>
    </row>
    <row r="23" spans="1:4" ht="15.75" x14ac:dyDescent="0.25">
      <c r="A23" s="3" t="s">
        <v>351</v>
      </c>
      <c r="B23" s="5">
        <v>3943</v>
      </c>
      <c r="C23" s="4">
        <v>0</v>
      </c>
      <c r="D23" s="4">
        <v>0</v>
      </c>
    </row>
    <row r="24" spans="1:4" ht="15.75" x14ac:dyDescent="0.25">
      <c r="A24" s="3" t="s">
        <v>352</v>
      </c>
      <c r="B24" s="5">
        <v>3944</v>
      </c>
      <c r="C24" s="4">
        <v>6614</v>
      </c>
      <c r="D24" s="4">
        <v>8489</v>
      </c>
    </row>
    <row r="25" spans="1:4" ht="15.75" x14ac:dyDescent="0.25">
      <c r="A25" s="3" t="s">
        <v>353</v>
      </c>
      <c r="B25" s="5">
        <v>3945</v>
      </c>
      <c r="C25" s="4">
        <v>0</v>
      </c>
      <c r="D25" s="4">
        <v>0</v>
      </c>
    </row>
    <row r="26" spans="1:4" ht="15.75" x14ac:dyDescent="0.25">
      <c r="A26" s="3" t="s">
        <v>354</v>
      </c>
      <c r="B26" s="5">
        <v>3946</v>
      </c>
      <c r="C26" s="4">
        <v>84</v>
      </c>
      <c r="D26" s="4">
        <v>0</v>
      </c>
    </row>
    <row r="27" spans="1:4" ht="15.75" x14ac:dyDescent="0.25">
      <c r="A27" s="3" t="s">
        <v>355</v>
      </c>
      <c r="B27" s="5">
        <v>3950</v>
      </c>
      <c r="C27" s="4">
        <v>0</v>
      </c>
      <c r="D27" s="4">
        <v>0</v>
      </c>
    </row>
    <row r="28" spans="1:4" ht="15.75" x14ac:dyDescent="0.25">
      <c r="A28" s="3"/>
      <c r="C28" s="4">
        <v>0</v>
      </c>
      <c r="D28" s="4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F49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45.7109375" customWidth="1"/>
    <col min="2" max="2" width="5.7109375" customWidth="1"/>
    <col min="3" max="7" width="17.7109375" customWidth="1"/>
    <col min="8" max="12" width="0" hidden="1" customWidth="1"/>
    <col min="13" max="17" width="17.7109375" customWidth="1"/>
    <col min="18" max="84" width="0" hidden="1" customWidth="1"/>
  </cols>
  <sheetData>
    <row r="1" spans="1:84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 t="s">
        <v>2</v>
      </c>
      <c r="N1" s="2" t="s">
        <v>3</v>
      </c>
      <c r="O1" s="2" t="s">
        <v>4</v>
      </c>
      <c r="P1" s="2" t="s">
        <v>5</v>
      </c>
      <c r="Q1" s="2" t="s">
        <v>6</v>
      </c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spans="1:84" ht="15.75" x14ac:dyDescent="0.25">
      <c r="A2" s="3" t="s">
        <v>43</v>
      </c>
      <c r="C2" s="4">
        <v>0</v>
      </c>
      <c r="D2" s="4">
        <v>0</v>
      </c>
      <c r="E2" s="4">
        <v>0</v>
      </c>
      <c r="F2" s="4">
        <v>0</v>
      </c>
      <c r="G2" s="4">
        <v>0</v>
      </c>
      <c r="M2" s="4">
        <v>0</v>
      </c>
      <c r="N2" s="4">
        <v>0</v>
      </c>
      <c r="O2" s="4">
        <v>0</v>
      </c>
      <c r="P2" s="4">
        <v>0</v>
      </c>
      <c r="Q2" s="4">
        <v>0</v>
      </c>
    </row>
    <row r="3" spans="1:84" ht="15.75" x14ac:dyDescent="0.25">
      <c r="A3" s="3" t="s">
        <v>44</v>
      </c>
      <c r="B3" s="5">
        <v>401</v>
      </c>
      <c r="C3" s="4">
        <v>28215</v>
      </c>
      <c r="D3" s="4">
        <v>0</v>
      </c>
      <c r="E3" s="4">
        <v>0</v>
      </c>
      <c r="F3" s="4">
        <v>0</v>
      </c>
      <c r="G3" s="4">
        <f t="shared" ref="G3:G12" si="0">$C3+$D3-$E3-$F3</f>
        <v>28215</v>
      </c>
      <c r="M3" s="4">
        <v>28215</v>
      </c>
      <c r="N3" s="4">
        <v>0</v>
      </c>
      <c r="O3" s="4">
        <v>0</v>
      </c>
      <c r="P3" s="4">
        <v>0</v>
      </c>
      <c r="Q3" s="4">
        <f t="shared" ref="Q3:Q12" si="1">$M3+$N3-$O3-$P3</f>
        <v>28215</v>
      </c>
    </row>
    <row r="4" spans="1:84" ht="15.75" x14ac:dyDescent="0.25">
      <c r="A4" s="3" t="s">
        <v>45</v>
      </c>
      <c r="B4" s="5">
        <v>402</v>
      </c>
      <c r="C4" s="4">
        <v>165222</v>
      </c>
      <c r="D4" s="4">
        <v>0</v>
      </c>
      <c r="E4" s="4">
        <v>0</v>
      </c>
      <c r="F4" s="4">
        <v>0</v>
      </c>
      <c r="G4" s="4">
        <f t="shared" si="0"/>
        <v>165222</v>
      </c>
      <c r="M4" s="4">
        <v>165222</v>
      </c>
      <c r="N4" s="4">
        <v>0</v>
      </c>
      <c r="O4" s="4">
        <v>0</v>
      </c>
      <c r="P4" s="4">
        <v>0</v>
      </c>
      <c r="Q4" s="4">
        <f t="shared" si="1"/>
        <v>165222</v>
      </c>
    </row>
    <row r="5" spans="1:84" ht="15.75" x14ac:dyDescent="0.25">
      <c r="A5" s="3" t="s">
        <v>46</v>
      </c>
      <c r="B5" s="5">
        <v>403</v>
      </c>
      <c r="C5" s="4">
        <v>1185728</v>
      </c>
      <c r="D5" s="4">
        <v>81175</v>
      </c>
      <c r="E5" s="4">
        <v>0</v>
      </c>
      <c r="F5" s="4">
        <v>0</v>
      </c>
      <c r="G5" s="4">
        <f t="shared" si="0"/>
        <v>1266903</v>
      </c>
      <c r="M5" s="4">
        <v>1361300</v>
      </c>
      <c r="N5" s="4">
        <v>0</v>
      </c>
      <c r="O5" s="4">
        <v>175572</v>
      </c>
      <c r="P5" s="4">
        <v>0</v>
      </c>
      <c r="Q5" s="4">
        <f t="shared" si="1"/>
        <v>1185728</v>
      </c>
    </row>
    <row r="6" spans="1:84" ht="15.75" x14ac:dyDescent="0.25">
      <c r="A6" s="3" t="s">
        <v>47</v>
      </c>
      <c r="B6" s="5">
        <v>404</v>
      </c>
      <c r="C6" s="4">
        <v>0</v>
      </c>
      <c r="D6" s="4">
        <v>0</v>
      </c>
      <c r="E6" s="4">
        <v>0</v>
      </c>
      <c r="F6" s="4">
        <v>0</v>
      </c>
      <c r="G6" s="4">
        <f t="shared" si="0"/>
        <v>0</v>
      </c>
      <c r="M6" s="4">
        <v>0</v>
      </c>
      <c r="N6" s="4">
        <v>0</v>
      </c>
      <c r="O6" s="4">
        <v>0</v>
      </c>
      <c r="P6" s="4">
        <v>0</v>
      </c>
      <c r="Q6" s="4">
        <f t="shared" si="1"/>
        <v>0</v>
      </c>
    </row>
    <row r="7" spans="1:84" ht="15.75" x14ac:dyDescent="0.25">
      <c r="A7" s="3" t="s">
        <v>48</v>
      </c>
      <c r="B7" s="5">
        <v>405</v>
      </c>
      <c r="C7" s="4">
        <v>0</v>
      </c>
      <c r="D7" s="4">
        <v>0</v>
      </c>
      <c r="E7" s="4">
        <v>0</v>
      </c>
      <c r="F7" s="4">
        <v>0</v>
      </c>
      <c r="G7" s="4">
        <f t="shared" si="0"/>
        <v>0</v>
      </c>
      <c r="M7" s="4">
        <v>0</v>
      </c>
      <c r="N7" s="4">
        <v>0</v>
      </c>
      <c r="O7" s="4">
        <v>0</v>
      </c>
      <c r="P7" s="4">
        <v>0</v>
      </c>
      <c r="Q7" s="4">
        <f t="shared" si="1"/>
        <v>0</v>
      </c>
    </row>
    <row r="8" spans="1:84" ht="15.75" x14ac:dyDescent="0.25">
      <c r="A8" s="3" t="s">
        <v>49</v>
      </c>
      <c r="B8" s="5">
        <v>406</v>
      </c>
      <c r="C8" s="4">
        <v>0</v>
      </c>
      <c r="D8" s="4">
        <v>0</v>
      </c>
      <c r="E8" s="4">
        <v>0</v>
      </c>
      <c r="F8" s="4">
        <v>0</v>
      </c>
      <c r="G8" s="4">
        <f t="shared" si="0"/>
        <v>0</v>
      </c>
      <c r="M8" s="4">
        <v>0</v>
      </c>
      <c r="N8" s="4">
        <v>0</v>
      </c>
      <c r="O8" s="4">
        <v>0</v>
      </c>
      <c r="P8" s="4">
        <v>0</v>
      </c>
      <c r="Q8" s="4">
        <f t="shared" si="1"/>
        <v>0</v>
      </c>
    </row>
    <row r="9" spans="1:84" ht="15.75" x14ac:dyDescent="0.25">
      <c r="A9" s="3" t="s">
        <v>50</v>
      </c>
      <c r="B9" s="5">
        <v>407</v>
      </c>
      <c r="C9" s="4">
        <v>-3497</v>
      </c>
      <c r="D9" s="4">
        <v>81175</v>
      </c>
      <c r="E9" s="4">
        <v>0</v>
      </c>
      <c r="F9" s="4">
        <v>81175</v>
      </c>
      <c r="G9" s="4">
        <f t="shared" si="0"/>
        <v>-3497</v>
      </c>
      <c r="M9" s="4">
        <v>-3497</v>
      </c>
      <c r="N9" s="4">
        <v>0</v>
      </c>
      <c r="O9" s="4">
        <v>0</v>
      </c>
      <c r="P9" s="4">
        <v>0</v>
      </c>
      <c r="Q9" s="4">
        <f t="shared" si="1"/>
        <v>-3497</v>
      </c>
    </row>
    <row r="10" spans="1:84" ht="15.75" x14ac:dyDescent="0.25">
      <c r="A10" s="3" t="s">
        <v>51</v>
      </c>
      <c r="B10" s="5">
        <v>408</v>
      </c>
      <c r="C10" s="4">
        <v>7935</v>
      </c>
      <c r="D10" s="4">
        <v>0</v>
      </c>
      <c r="E10" s="4">
        <v>0</v>
      </c>
      <c r="F10" s="4">
        <v>0</v>
      </c>
      <c r="G10" s="4">
        <f t="shared" si="0"/>
        <v>7935</v>
      </c>
      <c r="M10" s="4">
        <v>7935</v>
      </c>
      <c r="N10" s="4">
        <v>0</v>
      </c>
      <c r="O10" s="4">
        <v>0</v>
      </c>
      <c r="P10" s="4">
        <v>0</v>
      </c>
      <c r="Q10" s="4">
        <f t="shared" si="1"/>
        <v>7935</v>
      </c>
    </row>
    <row r="11" spans="1:84" ht="15.75" x14ac:dyDescent="0.25">
      <c r="A11" s="3" t="s">
        <v>52</v>
      </c>
      <c r="B11" s="5">
        <v>409</v>
      </c>
      <c r="C11" s="4">
        <v>0</v>
      </c>
      <c r="D11" s="4">
        <v>0</v>
      </c>
      <c r="E11" s="4">
        <v>0</v>
      </c>
      <c r="F11" s="4">
        <v>0</v>
      </c>
      <c r="G11" s="4">
        <f t="shared" si="0"/>
        <v>0</v>
      </c>
      <c r="M11" s="4">
        <v>0</v>
      </c>
      <c r="N11" s="4">
        <v>0</v>
      </c>
      <c r="O11" s="4">
        <v>0</v>
      </c>
      <c r="P11" s="4">
        <v>0</v>
      </c>
      <c r="Q11" s="4">
        <f t="shared" si="1"/>
        <v>0</v>
      </c>
    </row>
    <row r="12" spans="1:84" ht="15.75" x14ac:dyDescent="0.25">
      <c r="A12" s="6" t="s">
        <v>53</v>
      </c>
      <c r="B12" s="7">
        <v>410</v>
      </c>
      <c r="C12" s="10">
        <f>1*SUMIFS($C:$C,$B:$B,"&gt;=401",$B:$B,"&lt;=409")</f>
        <v>1383603</v>
      </c>
      <c r="D12" s="10">
        <f>1*SUMIFS($D:$D,$B:$B,"&gt;=401",$B:$B,"&lt;=409")</f>
        <v>162350</v>
      </c>
      <c r="E12" s="10">
        <f>1*SUMIFS($E:$E,$B:$B,"&gt;=401",$B:$B,"&lt;=409")</f>
        <v>0</v>
      </c>
      <c r="F12" s="10">
        <f>1*SUMIFS($F:$F,$B:$B,"&gt;=401",$B:$B,"&lt;=409")</f>
        <v>81175</v>
      </c>
      <c r="G12" s="10">
        <f t="shared" si="0"/>
        <v>1464778</v>
      </c>
      <c r="M12" s="10">
        <f>1*SUMIFS($M:$M,$B:$B,"&gt;=401",$B:$B,"&lt;=409")</f>
        <v>1559175</v>
      </c>
      <c r="N12" s="10">
        <f>1*SUMIFS($N:$N,$B:$B,"&gt;=401",$B:$B,"&lt;=409")</f>
        <v>0</v>
      </c>
      <c r="O12" s="10">
        <f>1*SUMIFS($O:$O,$B:$B,"&gt;=401",$B:$B,"&lt;=409")</f>
        <v>175572</v>
      </c>
      <c r="P12" s="10">
        <f>1*SUMIFS($P:$P,$B:$B,"&gt;=401",$B:$B,"&lt;=409")</f>
        <v>0</v>
      </c>
      <c r="Q12" s="10">
        <f t="shared" si="1"/>
        <v>1383603</v>
      </c>
    </row>
    <row r="13" spans="1:84" ht="15.75" x14ac:dyDescent="0.25">
      <c r="A13" s="3"/>
      <c r="C13" s="4">
        <v>0</v>
      </c>
      <c r="D13" s="4">
        <v>0</v>
      </c>
      <c r="E13" s="4">
        <v>0</v>
      </c>
      <c r="F13" s="4">
        <v>0</v>
      </c>
      <c r="G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</row>
    <row r="14" spans="1:84" ht="15.75" x14ac:dyDescent="0.25">
      <c r="A14" s="3" t="s">
        <v>54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</row>
    <row r="15" spans="1:84" ht="15.75" x14ac:dyDescent="0.25">
      <c r="A15" s="3" t="s">
        <v>55</v>
      </c>
      <c r="B15" s="5">
        <v>411</v>
      </c>
      <c r="C15" s="4">
        <v>0</v>
      </c>
      <c r="D15" s="4">
        <v>0</v>
      </c>
      <c r="E15" s="4">
        <v>0</v>
      </c>
      <c r="F15" s="4">
        <v>0</v>
      </c>
      <c r="G15" s="4">
        <f t="shared" ref="G15:G24" si="2">$C15+$D15-$E15-$F15</f>
        <v>0</v>
      </c>
      <c r="M15" s="4">
        <v>0</v>
      </c>
      <c r="N15" s="4">
        <v>0</v>
      </c>
      <c r="O15" s="4">
        <v>0</v>
      </c>
      <c r="P15" s="4">
        <v>0</v>
      </c>
      <c r="Q15" s="4">
        <f t="shared" ref="Q15:Q24" si="3">$M15+$N15-$O15-$P15</f>
        <v>0</v>
      </c>
    </row>
    <row r="16" spans="1:84" ht="15.75" x14ac:dyDescent="0.25">
      <c r="A16" s="3" t="s">
        <v>56</v>
      </c>
      <c r="B16" s="5">
        <v>412</v>
      </c>
      <c r="C16" s="4">
        <v>92120</v>
      </c>
      <c r="D16" s="4">
        <v>7395</v>
      </c>
      <c r="E16" s="4">
        <v>0</v>
      </c>
      <c r="F16" s="4">
        <v>0</v>
      </c>
      <c r="G16" s="4">
        <f t="shared" si="2"/>
        <v>99515</v>
      </c>
      <c r="M16" s="4">
        <v>84725</v>
      </c>
      <c r="N16" s="4">
        <v>7395</v>
      </c>
      <c r="O16" s="4">
        <v>0</v>
      </c>
      <c r="P16" s="4">
        <v>0</v>
      </c>
      <c r="Q16" s="4">
        <f t="shared" si="3"/>
        <v>92120</v>
      </c>
    </row>
    <row r="17" spans="1:17" ht="15.75" x14ac:dyDescent="0.25">
      <c r="A17" s="3" t="s">
        <v>57</v>
      </c>
      <c r="B17" s="5">
        <v>413</v>
      </c>
      <c r="C17" s="4">
        <v>917708</v>
      </c>
      <c r="D17" s="4">
        <v>39803</v>
      </c>
      <c r="E17" s="4">
        <v>0</v>
      </c>
      <c r="F17" s="4">
        <v>0</v>
      </c>
      <c r="G17" s="4">
        <f t="shared" si="2"/>
        <v>957511</v>
      </c>
      <c r="M17" s="4">
        <v>980880</v>
      </c>
      <c r="N17" s="4">
        <v>112400</v>
      </c>
      <c r="O17" s="4">
        <v>175572</v>
      </c>
      <c r="P17" s="4">
        <v>0</v>
      </c>
      <c r="Q17" s="4">
        <f t="shared" si="3"/>
        <v>917708</v>
      </c>
    </row>
    <row r="18" spans="1:17" ht="15.75" x14ac:dyDescent="0.25">
      <c r="A18" s="3" t="s">
        <v>58</v>
      </c>
      <c r="B18" s="5">
        <v>414</v>
      </c>
      <c r="C18" s="4">
        <v>0</v>
      </c>
      <c r="D18" s="4">
        <v>0</v>
      </c>
      <c r="E18" s="4">
        <v>0</v>
      </c>
      <c r="F18" s="4">
        <v>0</v>
      </c>
      <c r="G18" s="4">
        <f t="shared" si="2"/>
        <v>0</v>
      </c>
      <c r="M18" s="4">
        <v>0</v>
      </c>
      <c r="N18" s="4">
        <v>0</v>
      </c>
      <c r="O18" s="4">
        <v>0</v>
      </c>
      <c r="P18" s="4">
        <v>0</v>
      </c>
      <c r="Q18" s="4">
        <f t="shared" si="3"/>
        <v>0</v>
      </c>
    </row>
    <row r="19" spans="1:17" ht="15.75" x14ac:dyDescent="0.25">
      <c r="A19" s="3" t="s">
        <v>59</v>
      </c>
      <c r="B19" s="5">
        <v>415</v>
      </c>
      <c r="C19" s="4">
        <v>0</v>
      </c>
      <c r="D19" s="4">
        <v>0</v>
      </c>
      <c r="E19" s="4">
        <v>0</v>
      </c>
      <c r="F19" s="4">
        <v>0</v>
      </c>
      <c r="G19" s="4">
        <f t="shared" si="2"/>
        <v>0</v>
      </c>
      <c r="M19" s="4">
        <v>0</v>
      </c>
      <c r="N19" s="4">
        <v>0</v>
      </c>
      <c r="O19" s="4">
        <v>0</v>
      </c>
      <c r="P19" s="4">
        <v>0</v>
      </c>
      <c r="Q19" s="4">
        <f t="shared" si="3"/>
        <v>0</v>
      </c>
    </row>
    <row r="20" spans="1:17" ht="15.75" x14ac:dyDescent="0.25">
      <c r="A20" s="3" t="s">
        <v>60</v>
      </c>
      <c r="B20" s="5">
        <v>416</v>
      </c>
      <c r="C20" s="4">
        <v>0</v>
      </c>
      <c r="D20" s="4">
        <v>0</v>
      </c>
      <c r="E20" s="4">
        <v>0</v>
      </c>
      <c r="F20" s="4">
        <v>0</v>
      </c>
      <c r="G20" s="4">
        <f t="shared" si="2"/>
        <v>0</v>
      </c>
      <c r="M20" s="4">
        <v>0</v>
      </c>
      <c r="N20" s="4">
        <v>0</v>
      </c>
      <c r="O20" s="4">
        <v>0</v>
      </c>
      <c r="P20" s="4">
        <v>0</v>
      </c>
      <c r="Q20" s="4">
        <f t="shared" si="3"/>
        <v>0</v>
      </c>
    </row>
    <row r="21" spans="1:17" ht="15.75" x14ac:dyDescent="0.25">
      <c r="A21" s="3" t="s">
        <v>61</v>
      </c>
      <c r="B21" s="5">
        <v>417</v>
      </c>
      <c r="C21" s="4">
        <v>0</v>
      </c>
      <c r="D21" s="4">
        <v>0</v>
      </c>
      <c r="E21" s="4">
        <v>0</v>
      </c>
      <c r="F21" s="4">
        <v>0</v>
      </c>
      <c r="G21" s="4">
        <f t="shared" si="2"/>
        <v>0</v>
      </c>
      <c r="M21" s="4">
        <v>0</v>
      </c>
      <c r="N21" s="4">
        <v>0</v>
      </c>
      <c r="O21" s="4">
        <v>0</v>
      </c>
      <c r="P21" s="4">
        <v>0</v>
      </c>
      <c r="Q21" s="4">
        <f t="shared" si="3"/>
        <v>0</v>
      </c>
    </row>
    <row r="22" spans="1:17" ht="15.75" x14ac:dyDescent="0.25">
      <c r="A22" s="3" t="s">
        <v>62</v>
      </c>
      <c r="B22" s="5">
        <v>418</v>
      </c>
      <c r="C22" s="4">
        <v>0</v>
      </c>
      <c r="D22" s="4">
        <v>0</v>
      </c>
      <c r="E22" s="4">
        <v>0</v>
      </c>
      <c r="F22" s="4">
        <v>0</v>
      </c>
      <c r="G22" s="4">
        <f t="shared" si="2"/>
        <v>0</v>
      </c>
      <c r="M22" s="4">
        <v>0</v>
      </c>
      <c r="N22" s="4">
        <v>0</v>
      </c>
      <c r="O22" s="4">
        <v>0</v>
      </c>
      <c r="P22" s="4">
        <v>0</v>
      </c>
      <c r="Q22" s="4">
        <f t="shared" si="3"/>
        <v>0</v>
      </c>
    </row>
    <row r="23" spans="1:17" ht="15.75" x14ac:dyDescent="0.25">
      <c r="A23" s="3" t="s">
        <v>63</v>
      </c>
      <c r="B23" s="5">
        <v>419</v>
      </c>
      <c r="C23" s="4">
        <v>0</v>
      </c>
      <c r="D23" s="4">
        <v>0</v>
      </c>
      <c r="E23" s="4">
        <v>0</v>
      </c>
      <c r="F23" s="4">
        <v>0</v>
      </c>
      <c r="G23" s="4">
        <f t="shared" si="2"/>
        <v>0</v>
      </c>
      <c r="M23" s="4">
        <v>0</v>
      </c>
      <c r="N23" s="4">
        <v>0</v>
      </c>
      <c r="O23" s="4">
        <v>0</v>
      </c>
      <c r="P23" s="4">
        <v>0</v>
      </c>
      <c r="Q23" s="4">
        <f t="shared" si="3"/>
        <v>0</v>
      </c>
    </row>
    <row r="24" spans="1:17" ht="15.75" x14ac:dyDescent="0.25">
      <c r="A24" s="6" t="s">
        <v>64</v>
      </c>
      <c r="B24" s="7">
        <v>420</v>
      </c>
      <c r="C24" s="10">
        <f>1*SUMIFS($C:$C,$B:$B,"&gt;=411",$B:$B,"&lt;=419")</f>
        <v>1009828</v>
      </c>
      <c r="D24" s="10">
        <f>1*SUMIFS($D:$D,$B:$B,"&gt;=411",$B:$B,"&lt;=419")</f>
        <v>47198</v>
      </c>
      <c r="E24" s="10">
        <f>1*SUMIFS($E:$E,$B:$B,"&gt;=411",$B:$B,"&lt;=419")</f>
        <v>0</v>
      </c>
      <c r="F24" s="10">
        <f>1*SUMIFS($F:$F,$B:$B,"&gt;=411",$B:$B,"&lt;=419")</f>
        <v>0</v>
      </c>
      <c r="G24" s="10">
        <f t="shared" si="2"/>
        <v>1057026</v>
      </c>
      <c r="M24" s="10">
        <f>1*SUMIFS($M:$M,$B:$B,"&gt;=411",$B:$B,"&lt;=419")</f>
        <v>1065605</v>
      </c>
      <c r="N24" s="10">
        <f>1*SUMIFS($N:$N,$B:$B,"&gt;=411",$B:$B,"&lt;=419")</f>
        <v>119795</v>
      </c>
      <c r="O24" s="10">
        <f>1*SUMIFS($O:$O,$B:$B,"&gt;=411",$B:$B,"&lt;=419")</f>
        <v>175572</v>
      </c>
      <c r="P24" s="10">
        <f>1*SUMIFS($P:$P,$B:$B,"&gt;=411",$B:$B,"&lt;=419")</f>
        <v>0</v>
      </c>
      <c r="Q24" s="10">
        <f t="shared" si="3"/>
        <v>1009828</v>
      </c>
    </row>
    <row r="25" spans="1:17" ht="15.75" x14ac:dyDescent="0.25">
      <c r="A25" s="3"/>
      <c r="C25" s="4">
        <v>0</v>
      </c>
      <c r="D25" s="4">
        <v>0</v>
      </c>
      <c r="E25" s="4">
        <v>0</v>
      </c>
      <c r="F25" s="4">
        <v>0</v>
      </c>
      <c r="G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</row>
    <row r="26" spans="1:17" ht="15.75" x14ac:dyDescent="0.25">
      <c r="A26" s="3" t="s">
        <v>65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</row>
    <row r="27" spans="1:17" ht="15.75" x14ac:dyDescent="0.25">
      <c r="A27" s="3" t="s">
        <v>66</v>
      </c>
      <c r="B27" s="5">
        <v>421</v>
      </c>
      <c r="C27" s="4">
        <v>0</v>
      </c>
      <c r="D27" s="4">
        <v>0</v>
      </c>
      <c r="E27" s="4">
        <v>0</v>
      </c>
      <c r="F27" s="4">
        <v>0</v>
      </c>
      <c r="G27" s="4">
        <f t="shared" ref="G27:G36" si="4">$C27+$D27-$E27-$F27</f>
        <v>0</v>
      </c>
      <c r="M27" s="4">
        <v>0</v>
      </c>
      <c r="N27" s="4">
        <v>0</v>
      </c>
      <c r="O27" s="4">
        <v>0</v>
      </c>
      <c r="P27" s="4">
        <v>0</v>
      </c>
      <c r="Q27" s="4">
        <f t="shared" ref="Q27:Q36" si="5">$M27+$N27-$O27-$P27</f>
        <v>0</v>
      </c>
    </row>
    <row r="28" spans="1:17" ht="15.75" x14ac:dyDescent="0.25">
      <c r="A28" s="3" t="s">
        <v>67</v>
      </c>
      <c r="B28" s="5">
        <v>422</v>
      </c>
      <c r="C28" s="4">
        <v>0</v>
      </c>
      <c r="D28" s="4">
        <v>0</v>
      </c>
      <c r="E28" s="4">
        <v>0</v>
      </c>
      <c r="F28" s="4">
        <v>0</v>
      </c>
      <c r="G28" s="4">
        <f t="shared" si="4"/>
        <v>0</v>
      </c>
      <c r="M28" s="4">
        <v>0</v>
      </c>
      <c r="N28" s="4">
        <v>0</v>
      </c>
      <c r="O28" s="4">
        <v>0</v>
      </c>
      <c r="P28" s="4">
        <v>0</v>
      </c>
      <c r="Q28" s="4">
        <f t="shared" si="5"/>
        <v>0</v>
      </c>
    </row>
    <row r="29" spans="1:17" ht="15.75" x14ac:dyDescent="0.25">
      <c r="A29" s="3" t="s">
        <v>68</v>
      </c>
      <c r="B29" s="5">
        <v>423</v>
      </c>
      <c r="C29" s="4">
        <v>0</v>
      </c>
      <c r="D29" s="4">
        <v>0</v>
      </c>
      <c r="E29" s="4">
        <v>0</v>
      </c>
      <c r="F29" s="4">
        <v>0</v>
      </c>
      <c r="G29" s="4">
        <f t="shared" si="4"/>
        <v>0</v>
      </c>
      <c r="M29" s="4">
        <v>0</v>
      </c>
      <c r="N29" s="4">
        <v>0</v>
      </c>
      <c r="O29" s="4">
        <v>0</v>
      </c>
      <c r="P29" s="4">
        <v>0</v>
      </c>
      <c r="Q29" s="4">
        <f t="shared" si="5"/>
        <v>0</v>
      </c>
    </row>
    <row r="30" spans="1:17" ht="15.75" x14ac:dyDescent="0.25">
      <c r="A30" s="3" t="s">
        <v>69</v>
      </c>
      <c r="B30" s="5">
        <v>424</v>
      </c>
      <c r="C30" s="4">
        <v>0</v>
      </c>
      <c r="D30" s="4">
        <v>0</v>
      </c>
      <c r="E30" s="4">
        <v>0</v>
      </c>
      <c r="F30" s="4">
        <v>0</v>
      </c>
      <c r="G30" s="4">
        <f t="shared" si="4"/>
        <v>0</v>
      </c>
      <c r="M30" s="4">
        <v>0</v>
      </c>
      <c r="N30" s="4">
        <v>0</v>
      </c>
      <c r="O30" s="4">
        <v>0</v>
      </c>
      <c r="P30" s="4">
        <v>0</v>
      </c>
      <c r="Q30" s="4">
        <f t="shared" si="5"/>
        <v>0</v>
      </c>
    </row>
    <row r="31" spans="1:17" ht="15.75" x14ac:dyDescent="0.25">
      <c r="A31" s="3" t="s">
        <v>70</v>
      </c>
      <c r="B31" s="5">
        <v>425</v>
      </c>
      <c r="C31" s="4">
        <v>0</v>
      </c>
      <c r="D31" s="4">
        <v>0</v>
      </c>
      <c r="E31" s="4">
        <v>0</v>
      </c>
      <c r="F31" s="4">
        <v>0</v>
      </c>
      <c r="G31" s="4">
        <f t="shared" si="4"/>
        <v>0</v>
      </c>
      <c r="M31" s="4">
        <v>0</v>
      </c>
      <c r="N31" s="4">
        <v>0</v>
      </c>
      <c r="O31" s="4">
        <v>0</v>
      </c>
      <c r="P31" s="4">
        <v>0</v>
      </c>
      <c r="Q31" s="4">
        <f t="shared" si="5"/>
        <v>0</v>
      </c>
    </row>
    <row r="32" spans="1:17" ht="15.75" x14ac:dyDescent="0.25">
      <c r="A32" s="3" t="s">
        <v>71</v>
      </c>
      <c r="B32" s="5">
        <v>426</v>
      </c>
      <c r="C32" s="4">
        <v>0</v>
      </c>
      <c r="D32" s="4">
        <v>0</v>
      </c>
      <c r="E32" s="4">
        <v>0</v>
      </c>
      <c r="F32" s="4">
        <v>0</v>
      </c>
      <c r="G32" s="4">
        <f t="shared" si="4"/>
        <v>0</v>
      </c>
      <c r="M32" s="4">
        <v>0</v>
      </c>
      <c r="N32" s="4">
        <v>0</v>
      </c>
      <c r="O32" s="4">
        <v>0</v>
      </c>
      <c r="P32" s="4">
        <v>0</v>
      </c>
      <c r="Q32" s="4">
        <f t="shared" si="5"/>
        <v>0</v>
      </c>
    </row>
    <row r="33" spans="1:17" ht="15.75" x14ac:dyDescent="0.25">
      <c r="A33" s="3" t="s">
        <v>72</v>
      </c>
      <c r="B33" s="5">
        <v>427</v>
      </c>
      <c r="C33" s="4">
        <v>0</v>
      </c>
      <c r="D33" s="4">
        <v>0</v>
      </c>
      <c r="E33" s="4">
        <v>0</v>
      </c>
      <c r="F33" s="4">
        <v>0</v>
      </c>
      <c r="G33" s="4">
        <f t="shared" si="4"/>
        <v>0</v>
      </c>
      <c r="M33" s="4">
        <v>0</v>
      </c>
      <c r="N33" s="4">
        <v>0</v>
      </c>
      <c r="O33" s="4">
        <v>0</v>
      </c>
      <c r="P33" s="4">
        <v>0</v>
      </c>
      <c r="Q33" s="4">
        <f t="shared" si="5"/>
        <v>0</v>
      </c>
    </row>
    <row r="34" spans="1:17" ht="15.75" x14ac:dyDescent="0.25">
      <c r="A34" s="3" t="s">
        <v>73</v>
      </c>
      <c r="B34" s="5">
        <v>428</v>
      </c>
      <c r="C34" s="4">
        <v>0</v>
      </c>
      <c r="D34" s="4">
        <v>0</v>
      </c>
      <c r="E34" s="4">
        <v>0</v>
      </c>
      <c r="F34" s="4">
        <v>0</v>
      </c>
      <c r="G34" s="4">
        <f t="shared" si="4"/>
        <v>0</v>
      </c>
      <c r="M34" s="4">
        <v>0</v>
      </c>
      <c r="N34" s="4">
        <v>0</v>
      </c>
      <c r="O34" s="4">
        <v>0</v>
      </c>
      <c r="P34" s="4">
        <v>0</v>
      </c>
      <c r="Q34" s="4">
        <f t="shared" si="5"/>
        <v>0</v>
      </c>
    </row>
    <row r="35" spans="1:17" ht="15.75" x14ac:dyDescent="0.25">
      <c r="A35" s="3" t="s">
        <v>74</v>
      </c>
      <c r="B35" s="5">
        <v>429</v>
      </c>
      <c r="C35" s="4">
        <v>0</v>
      </c>
      <c r="D35" s="4">
        <v>0</v>
      </c>
      <c r="E35" s="4">
        <v>0</v>
      </c>
      <c r="F35" s="4">
        <v>0</v>
      </c>
      <c r="G35" s="4">
        <f t="shared" si="4"/>
        <v>0</v>
      </c>
      <c r="M35" s="4">
        <v>0</v>
      </c>
      <c r="N35" s="4">
        <v>0</v>
      </c>
      <c r="O35" s="4">
        <v>0</v>
      </c>
      <c r="P35" s="4">
        <v>0</v>
      </c>
      <c r="Q35" s="4">
        <f t="shared" si="5"/>
        <v>0</v>
      </c>
    </row>
    <row r="36" spans="1:17" ht="15.75" x14ac:dyDescent="0.25">
      <c r="A36" s="6" t="s">
        <v>75</v>
      </c>
      <c r="B36" s="7">
        <v>430</v>
      </c>
      <c r="C36" s="10">
        <f>1*SUMIFS($C:$C,$B:$B,"&gt;=421",$B:$B,"&lt;=429")</f>
        <v>0</v>
      </c>
      <c r="D36" s="10">
        <f>1*SUMIFS($D:$D,$B:$B,"&gt;=421",$B:$B,"&lt;=429")</f>
        <v>0</v>
      </c>
      <c r="E36" s="10">
        <f>1*SUMIFS($E:$E,$B:$B,"&gt;=421",$B:$B,"&lt;=429")</f>
        <v>0</v>
      </c>
      <c r="F36" s="10">
        <f>1*SUMIFS($F:$F,$B:$B,"&gt;=421",$B:$B,"&lt;=429")</f>
        <v>0</v>
      </c>
      <c r="G36" s="10">
        <f t="shared" si="4"/>
        <v>0</v>
      </c>
      <c r="M36" s="10">
        <f>1*SUMIFS($M:$M,$B:$B,"&gt;=421",$B:$B,"&lt;=429")</f>
        <v>0</v>
      </c>
      <c r="N36" s="10">
        <f>1*SUMIFS($N:$N,$B:$B,"&gt;=421",$B:$B,"&lt;=429")</f>
        <v>0</v>
      </c>
      <c r="O36" s="10">
        <f>1*SUMIFS($O:$O,$B:$B,"&gt;=421",$B:$B,"&lt;=429")</f>
        <v>0</v>
      </c>
      <c r="P36" s="10">
        <f>1*SUMIFS($P:$P,$B:$B,"&gt;=421",$B:$B,"&lt;=429")</f>
        <v>0</v>
      </c>
      <c r="Q36" s="10">
        <f t="shared" si="5"/>
        <v>0</v>
      </c>
    </row>
    <row r="37" spans="1:17" ht="15.75" x14ac:dyDescent="0.25">
      <c r="A37" s="3"/>
      <c r="C37" s="4">
        <v>0</v>
      </c>
      <c r="D37" s="4">
        <v>0</v>
      </c>
      <c r="E37" s="4">
        <v>0</v>
      </c>
      <c r="F37" s="4">
        <v>0</v>
      </c>
      <c r="G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</row>
    <row r="38" spans="1:17" ht="15.75" x14ac:dyDescent="0.25">
      <c r="A38" s="3" t="s">
        <v>34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</row>
    <row r="39" spans="1:17" ht="15.75" x14ac:dyDescent="0.25">
      <c r="A39" s="11" t="s">
        <v>76</v>
      </c>
      <c r="B39" s="12">
        <v>431</v>
      </c>
      <c r="C39" s="20">
        <f>1*SUMIFS($C:$C,$B:$B,"&gt;=401",$B:$B,"&lt;=401")-1*SUMIFS($C:$C,$B:$B,"&gt;=411",$B:$B,"&lt;=411")-1*SUMIFS($C:$C,$B:$B,"&gt;=421",$B:$B,"&lt;=421")</f>
        <v>28215</v>
      </c>
      <c r="D39" s="20">
        <f>1*SUMIFS($D:$D,$B:$B,"&gt;=401",$B:$B,"&lt;=401")-1*SUMIFS($D:$D,$B:$B,"&gt;=411",$B:$B,"&lt;=411")-1*SUMIFS($D:$D,$B:$B,"&gt;=421",$B:$B,"&lt;=421")</f>
        <v>0</v>
      </c>
      <c r="E39" s="20">
        <f>1*SUMIFS($E:$E,$B:$B,"&gt;=401",$B:$B,"&lt;=401")-1*SUMIFS($E:$E,$B:$B,"&gt;=411",$B:$B,"&lt;=411")-1*SUMIFS($E:$E,$B:$B,"&gt;=421",$B:$B,"&lt;=421")</f>
        <v>0</v>
      </c>
      <c r="F39" s="20">
        <f>1*SUMIFS($F:$F,$B:$B,"&gt;=401",$B:$B,"&lt;=401")-1*SUMIFS($F:$F,$B:$B,"&gt;=411",$B:$B,"&lt;=411")-1*SUMIFS($F:$F,$B:$B,"&gt;=421",$B:$B,"&lt;=421")</f>
        <v>0</v>
      </c>
      <c r="G39" s="20">
        <f t="shared" ref="G39:G48" si="6">$C39+$D39-$E39-$F39</f>
        <v>28215</v>
      </c>
      <c r="M39" s="20">
        <f>1*SUMIFS($M:$M,$B:$B,"&gt;=401",$B:$B,"&lt;=401")-1*SUMIFS($M:$M,$B:$B,"&gt;=411",$B:$B,"&lt;=411")-1*SUMIFS($M:$M,$B:$B,"&gt;=421",$B:$B,"&lt;=421")</f>
        <v>28215</v>
      </c>
      <c r="N39" s="20">
        <f>1*SUMIFS($N:$N,$B:$B,"&gt;=401",$B:$B,"&lt;=401")-1*SUMIFS($N:$N,$B:$B,"&gt;=411",$B:$B,"&lt;=411")-1*SUMIFS($N:$N,$B:$B,"&gt;=421",$B:$B,"&lt;=421")</f>
        <v>0</v>
      </c>
      <c r="O39" s="20">
        <f>1*SUMIFS($O:$O,$B:$B,"&gt;=401",$B:$B,"&lt;=401")-1*SUMIFS($O:$O,$B:$B,"&gt;=411",$B:$B,"&lt;=411")-1*SUMIFS($O:$O,$B:$B,"&gt;=421",$B:$B,"&lt;=421")</f>
        <v>0</v>
      </c>
      <c r="P39" s="20">
        <f>1*SUMIFS($P:$P,$B:$B,"&gt;=401",$B:$B,"&lt;=401")-1*SUMIFS($P:$P,$B:$B,"&gt;=411",$B:$B,"&lt;=411")-1*SUMIFS($P:$P,$B:$B,"&gt;=421",$B:$B,"&lt;=421")</f>
        <v>0</v>
      </c>
      <c r="Q39" s="20">
        <f t="shared" ref="Q39:Q48" si="7">$M39+$N39-$O39-$P39</f>
        <v>28215</v>
      </c>
    </row>
    <row r="40" spans="1:17" ht="15.75" x14ac:dyDescent="0.25">
      <c r="A40" s="11" t="s">
        <v>77</v>
      </c>
      <c r="B40" s="12">
        <v>432</v>
      </c>
      <c r="C40" s="21">
        <f>1*SUMIFS($C:$C,$B:$B,"&gt;=402",$B:$B,"&lt;=402")-1*SUMIFS($C:$C,$B:$B,"&gt;=412",$B:$B,"&lt;=412")-1*SUMIFS($C:$C,$B:$B,"&gt;=422",$B:$B,"&lt;=422")</f>
        <v>73102</v>
      </c>
      <c r="D40" s="21">
        <f>1*SUMIFS($D:$D,$B:$B,"&gt;=402",$B:$B,"&lt;=402")-1*SUMIFS($D:$D,$B:$B,"&gt;=412",$B:$B,"&lt;=412")-1*SUMIFS($D:$D,$B:$B,"&gt;=422",$B:$B,"&lt;=422")</f>
        <v>-7395</v>
      </c>
      <c r="E40" s="21">
        <f>1*SUMIFS($E:$E,$B:$B,"&gt;=402",$B:$B,"&lt;=402")-1*SUMIFS($E:$E,$B:$B,"&gt;=412",$B:$B,"&lt;=412")-1*SUMIFS($E:$E,$B:$B,"&gt;=422",$B:$B,"&lt;=422")</f>
        <v>0</v>
      </c>
      <c r="F40" s="21">
        <f>1*SUMIFS($F:$F,$B:$B,"&gt;=402",$B:$B,"&lt;=402")-1*SUMIFS($F:$F,$B:$B,"&gt;=412",$B:$B,"&lt;=412")-1*SUMIFS($F:$F,$B:$B,"&gt;=422",$B:$B,"&lt;=422")</f>
        <v>0</v>
      </c>
      <c r="G40" s="21">
        <f t="shared" si="6"/>
        <v>65707</v>
      </c>
      <c r="M40" s="21">
        <f>1*SUMIFS($M:$M,$B:$B,"&gt;=402",$B:$B,"&lt;=402")-1*SUMIFS($M:$M,$B:$B,"&gt;=412",$B:$B,"&lt;=412")-1*SUMIFS($M:$M,$B:$B,"&gt;=422",$B:$B,"&lt;=422")</f>
        <v>80497</v>
      </c>
      <c r="N40" s="21">
        <f>1*SUMIFS($N:$N,$B:$B,"&gt;=402",$B:$B,"&lt;=402")-1*SUMIFS($N:$N,$B:$B,"&gt;=412",$B:$B,"&lt;=412")-1*SUMIFS($N:$N,$B:$B,"&gt;=422",$B:$B,"&lt;=422")</f>
        <v>-7395</v>
      </c>
      <c r="O40" s="21">
        <f>1*SUMIFS($O:$O,$B:$B,"&gt;=402",$B:$B,"&lt;=402")-1*SUMIFS($O:$O,$B:$B,"&gt;=412",$B:$B,"&lt;=412")-1*SUMIFS($O:$O,$B:$B,"&gt;=422",$B:$B,"&lt;=422")</f>
        <v>0</v>
      </c>
      <c r="P40" s="21">
        <f>1*SUMIFS($P:$P,$B:$B,"&gt;=402",$B:$B,"&lt;=402")-1*SUMIFS($P:$P,$B:$B,"&gt;=412",$B:$B,"&lt;=412")-1*SUMIFS($P:$P,$B:$B,"&gt;=422",$B:$B,"&lt;=422")</f>
        <v>0</v>
      </c>
      <c r="Q40" s="21">
        <f t="shared" si="7"/>
        <v>73102</v>
      </c>
    </row>
    <row r="41" spans="1:17" ht="15.75" x14ac:dyDescent="0.25">
      <c r="A41" s="11" t="s">
        <v>78</v>
      </c>
      <c r="B41" s="12">
        <v>433</v>
      </c>
      <c r="C41" s="22">
        <f>1*SUMIFS($C:$C,$B:$B,"&gt;=403",$B:$B,"&lt;=403")-1*SUMIFS($C:$C,$B:$B,"&gt;=413",$B:$B,"&lt;=413")-1*SUMIFS($C:$C,$B:$B,"&gt;=423",$B:$B,"&lt;=423")</f>
        <v>268020</v>
      </c>
      <c r="D41" s="22">
        <f>1*SUMIFS($D:$D,$B:$B,"&gt;=403",$B:$B,"&lt;=403")-1*SUMIFS($D:$D,$B:$B,"&gt;=413",$B:$B,"&lt;=413")-1*SUMIFS($D:$D,$B:$B,"&gt;=423",$B:$B,"&lt;=423")</f>
        <v>41372</v>
      </c>
      <c r="E41" s="22">
        <f>1*SUMIFS($E:$E,$B:$B,"&gt;=403",$B:$B,"&lt;=403")-1*SUMIFS($E:$E,$B:$B,"&gt;=413",$B:$B,"&lt;=413")-1*SUMIFS($E:$E,$B:$B,"&gt;=423",$B:$B,"&lt;=423")</f>
        <v>0</v>
      </c>
      <c r="F41" s="22">
        <f>1*SUMIFS($F:$F,$B:$B,"&gt;=403",$B:$B,"&lt;=403")-1*SUMIFS($F:$F,$B:$B,"&gt;=413",$B:$B,"&lt;=413")-1*SUMIFS($F:$F,$B:$B,"&gt;=423",$B:$B,"&lt;=423")</f>
        <v>0</v>
      </c>
      <c r="G41" s="22">
        <f t="shared" si="6"/>
        <v>309392</v>
      </c>
      <c r="M41" s="22">
        <f>1*SUMIFS($M:$M,$B:$B,"&gt;=403",$B:$B,"&lt;=403")-1*SUMIFS($M:$M,$B:$B,"&gt;=413",$B:$B,"&lt;=413")-1*SUMIFS($M:$M,$B:$B,"&gt;=423",$B:$B,"&lt;=423")</f>
        <v>380420</v>
      </c>
      <c r="N41" s="22">
        <f>1*SUMIFS($N:$N,$B:$B,"&gt;=403",$B:$B,"&lt;=403")-1*SUMIFS($N:$N,$B:$B,"&gt;=413",$B:$B,"&lt;=413")-1*SUMIFS($N:$N,$B:$B,"&gt;=423",$B:$B,"&lt;=423")</f>
        <v>-112400</v>
      </c>
      <c r="O41" s="22">
        <f>1*SUMIFS($O:$O,$B:$B,"&gt;=403",$B:$B,"&lt;=403")-1*SUMIFS($O:$O,$B:$B,"&gt;=413",$B:$B,"&lt;=413")-1*SUMIFS($O:$O,$B:$B,"&gt;=423",$B:$B,"&lt;=423")</f>
        <v>0</v>
      </c>
      <c r="P41" s="22">
        <f>1*SUMIFS($P:$P,$B:$B,"&gt;=403",$B:$B,"&lt;=403")-1*SUMIFS($P:$P,$B:$B,"&gt;=413",$B:$B,"&lt;=413")-1*SUMIFS($P:$P,$B:$B,"&gt;=423",$B:$B,"&lt;=423")</f>
        <v>0</v>
      </c>
      <c r="Q41" s="22">
        <f t="shared" si="7"/>
        <v>268020</v>
      </c>
    </row>
    <row r="42" spans="1:17" ht="15.75" x14ac:dyDescent="0.25">
      <c r="A42" s="11" t="s">
        <v>79</v>
      </c>
      <c r="B42" s="12">
        <v>434</v>
      </c>
      <c r="C42" s="23">
        <f>1*SUMIFS($C:$C,$B:$B,"&gt;=404",$B:$B,"&lt;=404")-1*SUMIFS($C:$C,$B:$B,"&gt;=414",$B:$B,"&lt;=414")-1*SUMIFS($C:$C,$B:$B,"&gt;=424",$B:$B,"&lt;=424")</f>
        <v>0</v>
      </c>
      <c r="D42" s="23">
        <f>1*SUMIFS($D:$D,$B:$B,"&gt;=404",$B:$B,"&lt;=404")-1*SUMIFS($D:$D,$B:$B,"&gt;=414",$B:$B,"&lt;=414")-1*SUMIFS($D:$D,$B:$B,"&gt;=424",$B:$B,"&lt;=424")</f>
        <v>0</v>
      </c>
      <c r="E42" s="23">
        <f>1*SUMIFS($E:$E,$B:$B,"&gt;=404",$B:$B,"&lt;=404")-1*SUMIFS($E:$E,$B:$B,"&gt;=414",$B:$B,"&lt;=414")-1*SUMIFS($E:$E,$B:$B,"&gt;=424",$B:$B,"&lt;=424")</f>
        <v>0</v>
      </c>
      <c r="F42" s="23">
        <f>1*SUMIFS($F:$F,$B:$B,"&gt;=404",$B:$B,"&lt;=404")-1*SUMIFS($F:$F,$B:$B,"&gt;=414",$B:$B,"&lt;=414")-1*SUMIFS($F:$F,$B:$B,"&gt;=424",$B:$B,"&lt;=424")</f>
        <v>0</v>
      </c>
      <c r="G42" s="23">
        <f t="shared" si="6"/>
        <v>0</v>
      </c>
      <c r="M42" s="23">
        <f>1*SUMIFS($M:$M,$B:$B,"&gt;=404",$B:$B,"&lt;=404")-1*SUMIFS($M:$M,$B:$B,"&gt;=414",$B:$B,"&lt;=414")-1*SUMIFS($M:$M,$B:$B,"&gt;=424",$B:$B,"&lt;=424")</f>
        <v>0</v>
      </c>
      <c r="N42" s="23">
        <f>1*SUMIFS($N:$N,$B:$B,"&gt;=404",$B:$B,"&lt;=404")-1*SUMIFS($N:$N,$B:$B,"&gt;=414",$B:$B,"&lt;=414")-1*SUMIFS($N:$N,$B:$B,"&gt;=424",$B:$B,"&lt;=424")</f>
        <v>0</v>
      </c>
      <c r="O42" s="23">
        <f>1*SUMIFS($O:$O,$B:$B,"&gt;=404",$B:$B,"&lt;=404")-1*SUMIFS($O:$O,$B:$B,"&gt;=414",$B:$B,"&lt;=414")-1*SUMIFS($O:$O,$B:$B,"&gt;=424",$B:$B,"&lt;=424")</f>
        <v>0</v>
      </c>
      <c r="P42" s="23">
        <f>1*SUMIFS($P:$P,$B:$B,"&gt;=404",$B:$B,"&lt;=404")-1*SUMIFS($P:$P,$B:$B,"&gt;=414",$B:$B,"&lt;=414")-1*SUMIFS($P:$P,$B:$B,"&gt;=424",$B:$B,"&lt;=424")</f>
        <v>0</v>
      </c>
      <c r="Q42" s="23">
        <f t="shared" si="7"/>
        <v>0</v>
      </c>
    </row>
    <row r="43" spans="1:17" ht="15.75" x14ac:dyDescent="0.25">
      <c r="A43" s="11" t="s">
        <v>80</v>
      </c>
      <c r="B43" s="12">
        <v>435</v>
      </c>
      <c r="C43" s="24">
        <f>1*SUMIFS($C:$C,$B:$B,"&gt;=405",$B:$B,"&lt;=405")-1*SUMIFS($C:$C,$B:$B,"&gt;=415",$B:$B,"&lt;=415")-1*SUMIFS($C:$C,$B:$B,"&gt;=425",$B:$B,"&lt;=425")</f>
        <v>0</v>
      </c>
      <c r="D43" s="24">
        <f>1*SUMIFS($D:$D,$B:$B,"&gt;=405",$B:$B,"&lt;=405")-1*SUMIFS($D:$D,$B:$B,"&gt;=415",$B:$B,"&lt;=415")-1*SUMIFS($D:$D,$B:$B,"&gt;=425",$B:$B,"&lt;=425")</f>
        <v>0</v>
      </c>
      <c r="E43" s="24">
        <f>1*SUMIFS($E:$E,$B:$B,"&gt;=405",$B:$B,"&lt;=405")-1*SUMIFS($E:$E,$B:$B,"&gt;=415",$B:$B,"&lt;=415")-1*SUMIFS($E:$E,$B:$B,"&gt;=425",$B:$B,"&lt;=425")</f>
        <v>0</v>
      </c>
      <c r="F43" s="24">
        <f>1*SUMIFS($F:$F,$B:$B,"&gt;=405",$B:$B,"&lt;=405")-1*SUMIFS($F:$F,$B:$B,"&gt;=415",$B:$B,"&lt;=415")-1*SUMIFS($F:$F,$B:$B,"&gt;=425",$B:$B,"&lt;=425")</f>
        <v>0</v>
      </c>
      <c r="G43" s="24">
        <f t="shared" si="6"/>
        <v>0</v>
      </c>
      <c r="M43" s="24">
        <f>1*SUMIFS($M:$M,$B:$B,"&gt;=405",$B:$B,"&lt;=405")-1*SUMIFS($M:$M,$B:$B,"&gt;=415",$B:$B,"&lt;=415")-1*SUMIFS($M:$M,$B:$B,"&gt;=425",$B:$B,"&lt;=425")</f>
        <v>0</v>
      </c>
      <c r="N43" s="24">
        <f>1*SUMIFS($N:$N,$B:$B,"&gt;=405",$B:$B,"&lt;=405")-1*SUMIFS($N:$N,$B:$B,"&gt;=415",$B:$B,"&lt;=415")-1*SUMIFS($N:$N,$B:$B,"&gt;=425",$B:$B,"&lt;=425")</f>
        <v>0</v>
      </c>
      <c r="O43" s="24">
        <f>1*SUMIFS($O:$O,$B:$B,"&gt;=405",$B:$B,"&lt;=405")-1*SUMIFS($O:$O,$B:$B,"&gt;=415",$B:$B,"&lt;=415")-1*SUMIFS($O:$O,$B:$B,"&gt;=425",$B:$B,"&lt;=425")</f>
        <v>0</v>
      </c>
      <c r="P43" s="24">
        <f>1*SUMIFS($P:$P,$B:$B,"&gt;=405",$B:$B,"&lt;=405")-1*SUMIFS($P:$P,$B:$B,"&gt;=415",$B:$B,"&lt;=415")-1*SUMIFS($P:$P,$B:$B,"&gt;=425",$B:$B,"&lt;=425")</f>
        <v>0</v>
      </c>
      <c r="Q43" s="24">
        <f t="shared" si="7"/>
        <v>0</v>
      </c>
    </row>
    <row r="44" spans="1:17" ht="15.75" x14ac:dyDescent="0.25">
      <c r="A44" s="11" t="s">
        <v>81</v>
      </c>
      <c r="B44" s="12">
        <v>436</v>
      </c>
      <c r="C44" s="25">
        <f>1*SUMIFS($C:$C,$B:$B,"&gt;=406",$B:$B,"&lt;=406")-1*SUMIFS($C:$C,$B:$B,"&gt;=416",$B:$B,"&lt;=416")-1*SUMIFS($C:$C,$B:$B,"&gt;=426",$B:$B,"&lt;=426")</f>
        <v>0</v>
      </c>
      <c r="D44" s="25">
        <f>1*SUMIFS($D:$D,$B:$B,"&gt;=406",$B:$B,"&lt;=406")-1*SUMIFS($D:$D,$B:$B,"&gt;=416",$B:$B,"&lt;=416")-1*SUMIFS($D:$D,$B:$B,"&gt;=426",$B:$B,"&lt;=426")</f>
        <v>0</v>
      </c>
      <c r="E44" s="25">
        <f>1*SUMIFS($E:$E,$B:$B,"&gt;=406",$B:$B,"&lt;=406")-1*SUMIFS($E:$E,$B:$B,"&gt;=416",$B:$B,"&lt;=416")-1*SUMIFS($E:$E,$B:$B,"&gt;=426",$B:$B,"&lt;=426")</f>
        <v>0</v>
      </c>
      <c r="F44" s="25">
        <f>1*SUMIFS($F:$F,$B:$B,"&gt;=406",$B:$B,"&lt;=406")-1*SUMIFS($F:$F,$B:$B,"&gt;=416",$B:$B,"&lt;=416")-1*SUMIFS($F:$F,$B:$B,"&gt;=426",$B:$B,"&lt;=426")</f>
        <v>0</v>
      </c>
      <c r="G44" s="25">
        <f t="shared" si="6"/>
        <v>0</v>
      </c>
      <c r="M44" s="25">
        <f>1*SUMIFS($M:$M,$B:$B,"&gt;=406",$B:$B,"&lt;=406")-1*SUMIFS($M:$M,$B:$B,"&gt;=416",$B:$B,"&lt;=416")-1*SUMIFS($M:$M,$B:$B,"&gt;=426",$B:$B,"&lt;=426")</f>
        <v>0</v>
      </c>
      <c r="N44" s="25">
        <f>1*SUMIFS($N:$N,$B:$B,"&gt;=406",$B:$B,"&lt;=406")-1*SUMIFS($N:$N,$B:$B,"&gt;=416",$B:$B,"&lt;=416")-1*SUMIFS($N:$N,$B:$B,"&gt;=426",$B:$B,"&lt;=426")</f>
        <v>0</v>
      </c>
      <c r="O44" s="25">
        <f>1*SUMIFS($O:$O,$B:$B,"&gt;=406",$B:$B,"&lt;=406")-1*SUMIFS($O:$O,$B:$B,"&gt;=416",$B:$B,"&lt;=416")-1*SUMIFS($O:$O,$B:$B,"&gt;=426",$B:$B,"&lt;=426")</f>
        <v>0</v>
      </c>
      <c r="P44" s="25">
        <f>1*SUMIFS($P:$P,$B:$B,"&gt;=406",$B:$B,"&lt;=406")-1*SUMIFS($P:$P,$B:$B,"&gt;=416",$B:$B,"&lt;=416")-1*SUMIFS($P:$P,$B:$B,"&gt;=426",$B:$B,"&lt;=426")</f>
        <v>0</v>
      </c>
      <c r="Q44" s="25">
        <f t="shared" si="7"/>
        <v>0</v>
      </c>
    </row>
    <row r="45" spans="1:17" ht="15.75" x14ac:dyDescent="0.25">
      <c r="A45" s="11" t="s">
        <v>82</v>
      </c>
      <c r="B45" s="12">
        <v>437</v>
      </c>
      <c r="C45" s="13">
        <f>1*SUMIFS($C:$C,$B:$B,"&gt;=407",$B:$B,"&lt;=407")-1*SUMIFS($C:$C,$B:$B,"&gt;=417",$B:$B,"&lt;=417")-1*SUMIFS($C:$C,$B:$B,"&gt;=427",$B:$B,"&lt;=427")</f>
        <v>-3497</v>
      </c>
      <c r="D45" s="13">
        <f>1*SUMIFS($D:$D,$B:$B,"&gt;=407",$B:$B,"&lt;=407")-1*SUMIFS($D:$D,$B:$B,"&gt;=417",$B:$B,"&lt;=417")-1*SUMIFS($D:$D,$B:$B,"&gt;=427",$B:$B,"&lt;=427")</f>
        <v>81175</v>
      </c>
      <c r="E45" s="13">
        <f>1*SUMIFS($E:$E,$B:$B,"&gt;=407",$B:$B,"&lt;=407")-1*SUMIFS($E:$E,$B:$B,"&gt;=417",$B:$B,"&lt;=417")-1*SUMIFS($E:$E,$B:$B,"&gt;=427",$B:$B,"&lt;=427")</f>
        <v>0</v>
      </c>
      <c r="F45" s="13">
        <f>1*SUMIFS($F:$F,$B:$B,"&gt;=407",$B:$B,"&lt;=407")-1*SUMIFS($F:$F,$B:$B,"&gt;=417",$B:$B,"&lt;=417")-1*SUMIFS($F:$F,$B:$B,"&gt;=427",$B:$B,"&lt;=427")</f>
        <v>81175</v>
      </c>
      <c r="G45" s="13">
        <f t="shared" si="6"/>
        <v>-3497</v>
      </c>
      <c r="M45" s="13">
        <f>1*SUMIFS($M:$M,$B:$B,"&gt;=407",$B:$B,"&lt;=407")-1*SUMIFS($M:$M,$B:$B,"&gt;=417",$B:$B,"&lt;=417")-1*SUMIFS($M:$M,$B:$B,"&gt;=427",$B:$B,"&lt;=427")</f>
        <v>-3497</v>
      </c>
      <c r="N45" s="13">
        <f>1*SUMIFS($N:$N,$B:$B,"&gt;=407",$B:$B,"&lt;=407")-1*SUMIFS($N:$N,$B:$B,"&gt;=417",$B:$B,"&lt;=417")-1*SUMIFS($N:$N,$B:$B,"&gt;=427",$B:$B,"&lt;=427")</f>
        <v>0</v>
      </c>
      <c r="O45" s="13">
        <f>1*SUMIFS($O:$O,$B:$B,"&gt;=407",$B:$B,"&lt;=407")-1*SUMIFS($O:$O,$B:$B,"&gt;=417",$B:$B,"&lt;=417")-1*SUMIFS($O:$O,$B:$B,"&gt;=427",$B:$B,"&lt;=427")</f>
        <v>0</v>
      </c>
      <c r="P45" s="13">
        <f>1*SUMIFS($P:$P,$B:$B,"&gt;=407",$B:$B,"&lt;=407")-1*SUMIFS($P:$P,$B:$B,"&gt;=417",$B:$B,"&lt;=417")-1*SUMIFS($P:$P,$B:$B,"&gt;=427",$B:$B,"&lt;=427")</f>
        <v>0</v>
      </c>
      <c r="Q45" s="13">
        <f t="shared" si="7"/>
        <v>-3497</v>
      </c>
    </row>
    <row r="46" spans="1:17" ht="15.75" x14ac:dyDescent="0.25">
      <c r="A46" s="11" t="s">
        <v>83</v>
      </c>
      <c r="B46" s="12">
        <v>438</v>
      </c>
      <c r="C46" s="13">
        <f>1*SUMIFS($C:$C,$B:$B,"&gt;=408",$B:$B,"&lt;=408")-1*SUMIFS($C:$C,$B:$B,"&gt;=418",$B:$B,"&lt;=418")-1*SUMIFS($C:$C,$B:$B,"&gt;=428",$B:$B,"&lt;=428")</f>
        <v>7935</v>
      </c>
      <c r="D46" s="13">
        <f>1*SUMIFS($D:$D,$B:$B,"&gt;=408",$B:$B,"&lt;=408")-1*SUMIFS($D:$D,$B:$B,"&gt;=418",$B:$B,"&lt;=418")-1*SUMIFS($D:$D,$B:$B,"&gt;=428",$B:$B,"&lt;=428")</f>
        <v>0</v>
      </c>
      <c r="E46" s="13">
        <f>1*SUMIFS($E:$E,$B:$B,"&gt;=408",$B:$B,"&lt;=408")-1*SUMIFS($E:$E,$B:$B,"&gt;=418",$B:$B,"&lt;=418")-1*SUMIFS($E:$E,$B:$B,"&gt;=428",$B:$B,"&lt;=428")</f>
        <v>0</v>
      </c>
      <c r="F46" s="13">
        <f>1*SUMIFS($F:$F,$B:$B,"&gt;=408",$B:$B,"&lt;=408")-1*SUMIFS($F:$F,$B:$B,"&gt;=418",$B:$B,"&lt;=418")-1*SUMIFS($F:$F,$B:$B,"&gt;=428",$B:$B,"&lt;=428")</f>
        <v>0</v>
      </c>
      <c r="G46" s="13">
        <f t="shared" si="6"/>
        <v>7935</v>
      </c>
      <c r="M46" s="13">
        <f>1*SUMIFS($M:$M,$B:$B,"&gt;=408",$B:$B,"&lt;=408")-1*SUMIFS($M:$M,$B:$B,"&gt;=418",$B:$B,"&lt;=418")-1*SUMIFS($M:$M,$B:$B,"&gt;=428",$B:$B,"&lt;=428")</f>
        <v>7935</v>
      </c>
      <c r="N46" s="13">
        <f>1*SUMIFS($N:$N,$B:$B,"&gt;=408",$B:$B,"&lt;=408")-1*SUMIFS($N:$N,$B:$B,"&gt;=418",$B:$B,"&lt;=418")-1*SUMIFS($N:$N,$B:$B,"&gt;=428",$B:$B,"&lt;=428")</f>
        <v>0</v>
      </c>
      <c r="O46" s="13">
        <f>1*SUMIFS($O:$O,$B:$B,"&gt;=408",$B:$B,"&lt;=408")-1*SUMIFS($O:$O,$B:$B,"&gt;=418",$B:$B,"&lt;=418")-1*SUMIFS($O:$O,$B:$B,"&gt;=428",$B:$B,"&lt;=428")</f>
        <v>0</v>
      </c>
      <c r="P46" s="13">
        <f>1*SUMIFS($P:$P,$B:$B,"&gt;=408",$B:$B,"&lt;=408")-1*SUMIFS($P:$P,$B:$B,"&gt;=418",$B:$B,"&lt;=418")-1*SUMIFS($P:$P,$B:$B,"&gt;=428",$B:$B,"&lt;=428")</f>
        <v>0</v>
      </c>
      <c r="Q46" s="13">
        <f t="shared" si="7"/>
        <v>7935</v>
      </c>
    </row>
    <row r="47" spans="1:17" ht="15.75" x14ac:dyDescent="0.25">
      <c r="A47" s="11" t="s">
        <v>84</v>
      </c>
      <c r="B47" s="12">
        <v>439</v>
      </c>
      <c r="C47" s="13">
        <f>1*SUMIFS($C:$C,$B:$B,"&gt;=409",$B:$B,"&lt;=409")-1*SUMIFS($C:$C,$B:$B,"&gt;=419",$B:$B,"&lt;=419")-1*SUMIFS($C:$C,$B:$B,"&gt;=429",$B:$B,"&lt;=429")</f>
        <v>0</v>
      </c>
      <c r="D47" s="13">
        <f>1*SUMIFS($D:$D,$B:$B,"&gt;=409",$B:$B,"&lt;=409")-1*SUMIFS($D:$D,$B:$B,"&gt;=419",$B:$B,"&lt;=419")-1*SUMIFS($D:$D,$B:$B,"&gt;=429",$B:$B,"&lt;=429")</f>
        <v>0</v>
      </c>
      <c r="E47" s="13">
        <f>1*SUMIFS($E:$E,$B:$B,"&gt;=409",$B:$B,"&lt;=409")-1*SUMIFS($E:$E,$B:$B,"&gt;=419",$B:$B,"&lt;=419")-1*SUMIFS($E:$E,$B:$B,"&gt;=429",$B:$B,"&lt;=429")</f>
        <v>0</v>
      </c>
      <c r="F47" s="13">
        <f>1*SUMIFS($F:$F,$B:$B,"&gt;=409",$B:$B,"&lt;=409")-1*SUMIFS($F:$F,$B:$B,"&gt;=419",$B:$B,"&lt;=419")-1*SUMIFS($F:$F,$B:$B,"&gt;=429",$B:$B,"&lt;=429")</f>
        <v>0</v>
      </c>
      <c r="G47" s="13">
        <f t="shared" si="6"/>
        <v>0</v>
      </c>
      <c r="M47" s="13">
        <f>1*SUMIFS($M:$M,$B:$B,"&gt;=409",$B:$B,"&lt;=409")-1*SUMIFS($M:$M,$B:$B,"&gt;=419",$B:$B,"&lt;=419")-1*SUMIFS($M:$M,$B:$B,"&gt;=429",$B:$B,"&lt;=429")</f>
        <v>0</v>
      </c>
      <c r="N47" s="13">
        <f>1*SUMIFS($N:$N,$B:$B,"&gt;=409",$B:$B,"&lt;=409")-1*SUMIFS($N:$N,$B:$B,"&gt;=419",$B:$B,"&lt;=419")-1*SUMIFS($N:$N,$B:$B,"&gt;=429",$B:$B,"&lt;=429")</f>
        <v>0</v>
      </c>
      <c r="O47" s="13">
        <f>1*SUMIFS($O:$O,$B:$B,"&gt;=409",$B:$B,"&lt;=409")-1*SUMIFS($O:$O,$B:$B,"&gt;=419",$B:$B,"&lt;=419")-1*SUMIFS($O:$O,$B:$B,"&gt;=429",$B:$B,"&lt;=429")</f>
        <v>0</v>
      </c>
      <c r="P47" s="13">
        <f>1*SUMIFS($P:$P,$B:$B,"&gt;=409",$B:$B,"&lt;=409")-1*SUMIFS($P:$P,$B:$B,"&gt;=419",$B:$B,"&lt;=419")-1*SUMIFS($P:$P,$B:$B,"&gt;=429",$B:$B,"&lt;=429")</f>
        <v>0</v>
      </c>
      <c r="Q47" s="13">
        <f t="shared" si="7"/>
        <v>0</v>
      </c>
    </row>
    <row r="48" spans="1:17" ht="15.75" x14ac:dyDescent="0.25">
      <c r="A48" s="6" t="s">
        <v>85</v>
      </c>
      <c r="B48" s="7">
        <v>440</v>
      </c>
      <c r="C48" s="26">
        <f>1*SUMIFS($C:$C,$B:$B,"&gt;=431",$B:$B,"&lt;=439")</f>
        <v>373775</v>
      </c>
      <c r="D48" s="26">
        <f>1*SUMIFS($D:$D,$B:$B,"&gt;=431",$B:$B,"&lt;=439")</f>
        <v>115152</v>
      </c>
      <c r="E48" s="26">
        <f>1*SUMIFS($E:$E,$B:$B,"&gt;=431",$B:$B,"&lt;=439")</f>
        <v>0</v>
      </c>
      <c r="F48" s="26">
        <f>1*SUMIFS($F:$F,$B:$B,"&gt;=431",$B:$B,"&lt;=439")</f>
        <v>81175</v>
      </c>
      <c r="G48" s="26">
        <f t="shared" si="6"/>
        <v>407752</v>
      </c>
      <c r="M48" s="26">
        <f>1*SUMIFS($M:$M,$B:$B,"&gt;=431",$B:$B,"&lt;=439")</f>
        <v>493570</v>
      </c>
      <c r="N48" s="26">
        <f>1*SUMIFS($N:$N,$B:$B,"&gt;=431",$B:$B,"&lt;=439")</f>
        <v>-119795</v>
      </c>
      <c r="O48" s="26">
        <f>1*SUMIFS($O:$O,$B:$B,"&gt;=431",$B:$B,"&lt;=439")</f>
        <v>0</v>
      </c>
      <c r="P48" s="26">
        <f>1*SUMIFS($P:$P,$B:$B,"&gt;=431",$B:$B,"&lt;=439")</f>
        <v>0</v>
      </c>
      <c r="Q48" s="26">
        <f t="shared" si="7"/>
        <v>373775</v>
      </c>
    </row>
    <row r="49" spans="1:17" ht="15.75" x14ac:dyDescent="0.25">
      <c r="A49" s="3"/>
      <c r="C49" s="4">
        <v>0</v>
      </c>
      <c r="D49" s="4">
        <v>0</v>
      </c>
      <c r="E49" s="4">
        <v>0</v>
      </c>
      <c r="F49" s="4">
        <v>0</v>
      </c>
      <c r="G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CF5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45.7109375" customWidth="1"/>
    <col min="2" max="2" width="5.7109375" customWidth="1"/>
    <col min="3" max="8" width="17.7109375" customWidth="1"/>
    <col min="9" max="84" width="0" hidden="1" customWidth="1"/>
  </cols>
  <sheetData>
    <row r="1" spans="1:84" ht="15.75" x14ac:dyDescent="0.25">
      <c r="A1" s="1" t="s">
        <v>0</v>
      </c>
      <c r="B1" s="2" t="s">
        <v>1</v>
      </c>
      <c r="C1" s="2" t="s">
        <v>356</v>
      </c>
      <c r="D1" s="2" t="s">
        <v>357</v>
      </c>
      <c r="E1" s="2" t="s">
        <v>358</v>
      </c>
      <c r="F1" s="2" t="s">
        <v>359</v>
      </c>
      <c r="G1" s="2" t="s">
        <v>360</v>
      </c>
      <c r="H1" s="2" t="s">
        <v>358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spans="1:84" ht="15.75" x14ac:dyDescent="0.25">
      <c r="A2" s="3" t="s">
        <v>361</v>
      </c>
      <c r="B2" s="5">
        <v>4117</v>
      </c>
      <c r="C2" s="4">
        <v>0</v>
      </c>
      <c r="D2" s="4">
        <v>1920</v>
      </c>
      <c r="E2" s="4">
        <v>0</v>
      </c>
      <c r="F2" s="4">
        <v>0</v>
      </c>
      <c r="G2" s="4">
        <v>1303</v>
      </c>
      <c r="H2" s="4">
        <v>0</v>
      </c>
    </row>
    <row r="3" spans="1:84" ht="15.75" x14ac:dyDescent="0.25">
      <c r="A3" s="3" t="s">
        <v>362</v>
      </c>
      <c r="B3" s="5">
        <v>4118</v>
      </c>
      <c r="C3" s="4">
        <v>0</v>
      </c>
      <c r="D3" s="4">
        <v>0</v>
      </c>
      <c r="E3" s="4">
        <v>0</v>
      </c>
      <c r="F3" s="4">
        <v>0</v>
      </c>
      <c r="G3" s="4">
        <v>0</v>
      </c>
      <c r="H3" s="4">
        <v>0</v>
      </c>
    </row>
    <row r="4" spans="1:84" ht="15.75" x14ac:dyDescent="0.25">
      <c r="A4" s="11" t="s">
        <v>363</v>
      </c>
      <c r="B4" s="12">
        <v>4119</v>
      </c>
      <c r="C4" s="13">
        <f>1*SUMIFS($C:$C,$B:$B,"&gt;=4111",$B:$B,"&lt;=4118")</f>
        <v>0</v>
      </c>
      <c r="D4" s="13">
        <f>1*SUMIFS($D:$D,$B:$B,"&gt;=4111",$B:$B,"&lt;=4118")</f>
        <v>1920</v>
      </c>
      <c r="E4" s="13">
        <f>1*SUMIFS($E:$E,$B:$B,"&gt;=4111",$B:$B,"&lt;=4118")</f>
        <v>0</v>
      </c>
      <c r="F4" s="13">
        <f>1*SUMIFS($F:$F,$B:$B,"&gt;=4111",$B:$B,"&lt;=4118")</f>
        <v>0</v>
      </c>
      <c r="G4" s="13">
        <f>1*SUMIFS($G:$G,$B:$B,"&gt;=4111",$B:$B,"&lt;=4118")</f>
        <v>1303</v>
      </c>
      <c r="H4" s="13">
        <f>1*SUMIFS($H:$H,$B:$B,"&gt;=4111",$B:$B,"&lt;=4118")</f>
        <v>0</v>
      </c>
    </row>
    <row r="5" spans="1:84" ht="15.75" x14ac:dyDescent="0.25">
      <c r="A5" s="3"/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CF17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45.7109375" customWidth="1"/>
    <col min="2" max="2" width="5.7109375" customWidth="1"/>
    <col min="3" max="7" width="17.7109375" customWidth="1"/>
    <col min="8" max="12" width="0" hidden="1" customWidth="1"/>
    <col min="13" max="17" width="17.7109375" customWidth="1"/>
    <col min="18" max="84" width="0" hidden="1" customWidth="1"/>
  </cols>
  <sheetData>
    <row r="1" spans="1:84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 t="s">
        <v>2</v>
      </c>
      <c r="N1" s="2" t="s">
        <v>3</v>
      </c>
      <c r="O1" s="2" t="s">
        <v>4</v>
      </c>
      <c r="P1" s="2" t="s">
        <v>5</v>
      </c>
      <c r="Q1" s="2" t="s">
        <v>6</v>
      </c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spans="1:84" ht="15.75" x14ac:dyDescent="0.25">
      <c r="A2" s="3" t="s">
        <v>364</v>
      </c>
      <c r="B2" s="5">
        <v>4770</v>
      </c>
      <c r="C2" s="4">
        <v>6972</v>
      </c>
      <c r="D2" s="4">
        <v>0</v>
      </c>
      <c r="E2" s="4">
        <v>0</v>
      </c>
      <c r="F2" s="4">
        <f t="shared" ref="F2:F17" si="0">$C2+$D2-$E2-$G2</f>
        <v>0</v>
      </c>
      <c r="G2" s="4">
        <v>6972</v>
      </c>
      <c r="M2" s="4">
        <v>6972</v>
      </c>
      <c r="N2" s="4">
        <v>0</v>
      </c>
      <c r="O2" s="4">
        <v>0</v>
      </c>
      <c r="P2" s="4">
        <f t="shared" ref="P2:P17" si="1">$M2+$N2-$O2-$Q2</f>
        <v>0</v>
      </c>
      <c r="Q2" s="4">
        <v>6972</v>
      </c>
    </row>
    <row r="3" spans="1:84" ht="15.75" x14ac:dyDescent="0.25">
      <c r="A3" s="3" t="s">
        <v>365</v>
      </c>
      <c r="B3" s="5">
        <v>4771</v>
      </c>
      <c r="C3" s="4">
        <v>0</v>
      </c>
      <c r="D3" s="4">
        <v>0</v>
      </c>
      <c r="E3" s="4">
        <v>0</v>
      </c>
      <c r="F3" s="4">
        <f t="shared" si="0"/>
        <v>0</v>
      </c>
      <c r="G3" s="4">
        <v>0</v>
      </c>
      <c r="M3" s="4">
        <v>0</v>
      </c>
      <c r="N3" s="4">
        <v>0</v>
      </c>
      <c r="O3" s="4">
        <v>0</v>
      </c>
      <c r="P3" s="4">
        <f t="shared" si="1"/>
        <v>0</v>
      </c>
      <c r="Q3" s="4">
        <v>0</v>
      </c>
    </row>
    <row r="4" spans="1:84" ht="15.75" x14ac:dyDescent="0.25">
      <c r="A4" s="3" t="s">
        <v>366</v>
      </c>
      <c r="B4" s="5">
        <v>4772</v>
      </c>
      <c r="C4" s="4">
        <v>0</v>
      </c>
      <c r="D4" s="4">
        <v>0</v>
      </c>
      <c r="E4" s="4">
        <v>0</v>
      </c>
      <c r="F4" s="4">
        <f t="shared" si="0"/>
        <v>0</v>
      </c>
      <c r="G4" s="4">
        <v>0</v>
      </c>
      <c r="M4" s="4">
        <v>0</v>
      </c>
      <c r="N4" s="4">
        <v>0</v>
      </c>
      <c r="O4" s="4">
        <v>0</v>
      </c>
      <c r="P4" s="4">
        <f t="shared" si="1"/>
        <v>0</v>
      </c>
      <c r="Q4" s="4">
        <v>0</v>
      </c>
    </row>
    <row r="5" spans="1:84" ht="15.75" x14ac:dyDescent="0.25">
      <c r="A5" s="3" t="s">
        <v>367</v>
      </c>
      <c r="B5" s="5">
        <v>4774</v>
      </c>
      <c r="C5" s="4">
        <v>0</v>
      </c>
      <c r="D5" s="4">
        <v>0</v>
      </c>
      <c r="E5" s="4">
        <v>0</v>
      </c>
      <c r="F5" s="4">
        <f t="shared" si="0"/>
        <v>0</v>
      </c>
      <c r="G5" s="4">
        <v>0</v>
      </c>
      <c r="M5" s="4">
        <v>0</v>
      </c>
      <c r="N5" s="4">
        <v>0</v>
      </c>
      <c r="O5" s="4">
        <v>0</v>
      </c>
      <c r="P5" s="4">
        <f t="shared" si="1"/>
        <v>0</v>
      </c>
      <c r="Q5" s="4">
        <v>0</v>
      </c>
    </row>
    <row r="6" spans="1:84" ht="15.75" x14ac:dyDescent="0.25">
      <c r="A6" s="3" t="s">
        <v>368</v>
      </c>
      <c r="B6" s="5">
        <v>4775</v>
      </c>
      <c r="C6" s="4">
        <v>49807</v>
      </c>
      <c r="D6" s="4">
        <v>0</v>
      </c>
      <c r="E6" s="4">
        <v>0</v>
      </c>
      <c r="F6" s="4">
        <f t="shared" si="0"/>
        <v>0</v>
      </c>
      <c r="G6" s="4">
        <v>49807</v>
      </c>
      <c r="M6" s="4">
        <v>49807</v>
      </c>
      <c r="N6" s="4">
        <v>0</v>
      </c>
      <c r="O6" s="4">
        <v>0</v>
      </c>
      <c r="P6" s="4">
        <f t="shared" si="1"/>
        <v>0</v>
      </c>
      <c r="Q6" s="4">
        <v>49807</v>
      </c>
    </row>
    <row r="7" spans="1:84" ht="15.75" x14ac:dyDescent="0.25">
      <c r="A7" s="3" t="s">
        <v>369</v>
      </c>
      <c r="B7" s="5">
        <v>4776</v>
      </c>
      <c r="C7" s="4">
        <v>9871</v>
      </c>
      <c r="D7" s="4">
        <v>0</v>
      </c>
      <c r="E7" s="4">
        <v>0</v>
      </c>
      <c r="F7" s="4">
        <f t="shared" si="0"/>
        <v>0</v>
      </c>
      <c r="G7" s="4">
        <v>9871</v>
      </c>
      <c r="M7" s="4">
        <v>9871</v>
      </c>
      <c r="N7" s="4">
        <v>0</v>
      </c>
      <c r="O7" s="4">
        <v>0</v>
      </c>
      <c r="P7" s="4">
        <f t="shared" si="1"/>
        <v>0</v>
      </c>
      <c r="Q7" s="4">
        <v>9871</v>
      </c>
    </row>
    <row r="8" spans="1:84" ht="15.75" x14ac:dyDescent="0.25">
      <c r="A8" s="3" t="s">
        <v>370</v>
      </c>
      <c r="B8" s="5">
        <v>4777</v>
      </c>
      <c r="C8" s="4">
        <v>0</v>
      </c>
      <c r="D8" s="4">
        <v>0</v>
      </c>
      <c r="E8" s="4">
        <v>0</v>
      </c>
      <c r="F8" s="4">
        <f t="shared" si="0"/>
        <v>0</v>
      </c>
      <c r="G8" s="4">
        <v>0</v>
      </c>
      <c r="M8" s="4">
        <v>0</v>
      </c>
      <c r="N8" s="4">
        <v>0</v>
      </c>
      <c r="O8" s="4">
        <v>0</v>
      </c>
      <c r="P8" s="4">
        <f t="shared" si="1"/>
        <v>0</v>
      </c>
      <c r="Q8" s="4">
        <v>0</v>
      </c>
    </row>
    <row r="9" spans="1:84" ht="15.75" x14ac:dyDescent="0.25">
      <c r="A9" s="3" t="s">
        <v>371</v>
      </c>
      <c r="B9" s="5">
        <v>4778</v>
      </c>
      <c r="C9" s="4">
        <v>0</v>
      </c>
      <c r="D9" s="4">
        <v>0</v>
      </c>
      <c r="E9" s="4">
        <v>0</v>
      </c>
      <c r="F9" s="4">
        <f t="shared" si="0"/>
        <v>0</v>
      </c>
      <c r="G9" s="4">
        <v>0</v>
      </c>
      <c r="M9" s="4">
        <v>0</v>
      </c>
      <c r="N9" s="4">
        <v>0</v>
      </c>
      <c r="O9" s="4">
        <v>0</v>
      </c>
      <c r="P9" s="4">
        <f t="shared" si="1"/>
        <v>0</v>
      </c>
      <c r="Q9" s="4">
        <v>0</v>
      </c>
    </row>
    <row r="10" spans="1:84" ht="15.75" x14ac:dyDescent="0.25">
      <c r="A10" s="3" t="s">
        <v>372</v>
      </c>
      <c r="B10" s="5">
        <v>4779</v>
      </c>
      <c r="C10" s="4">
        <v>108368</v>
      </c>
      <c r="D10" s="4">
        <v>0</v>
      </c>
      <c r="E10" s="4">
        <v>0</v>
      </c>
      <c r="F10" s="4">
        <f t="shared" si="0"/>
        <v>0</v>
      </c>
      <c r="G10" s="4">
        <v>108368</v>
      </c>
      <c r="M10" s="4">
        <v>108368</v>
      </c>
      <c r="N10" s="4">
        <v>0</v>
      </c>
      <c r="O10" s="4">
        <v>0</v>
      </c>
      <c r="P10" s="4">
        <f t="shared" si="1"/>
        <v>0</v>
      </c>
      <c r="Q10" s="4">
        <v>108368</v>
      </c>
    </row>
    <row r="11" spans="1:84" ht="15.75" x14ac:dyDescent="0.25">
      <c r="A11" s="3" t="s">
        <v>373</v>
      </c>
      <c r="B11" s="5">
        <v>4781</v>
      </c>
      <c r="C11" s="4">
        <v>0</v>
      </c>
      <c r="D11" s="4">
        <v>0</v>
      </c>
      <c r="E11" s="4">
        <v>0</v>
      </c>
      <c r="F11" s="4">
        <f t="shared" si="0"/>
        <v>0</v>
      </c>
      <c r="G11" s="4">
        <v>0</v>
      </c>
      <c r="M11" s="4">
        <v>0</v>
      </c>
      <c r="N11" s="4">
        <v>0</v>
      </c>
      <c r="O11" s="4">
        <v>0</v>
      </c>
      <c r="P11" s="4">
        <f t="shared" si="1"/>
        <v>0</v>
      </c>
      <c r="Q11" s="4">
        <v>0</v>
      </c>
    </row>
    <row r="12" spans="1:84" ht="15.75" x14ac:dyDescent="0.25">
      <c r="A12" s="3" t="s">
        <v>374</v>
      </c>
      <c r="B12" s="5">
        <v>4782</v>
      </c>
      <c r="C12" s="4">
        <v>0</v>
      </c>
      <c r="D12" s="4">
        <v>0</v>
      </c>
      <c r="E12" s="4">
        <v>0</v>
      </c>
      <c r="F12" s="4">
        <f t="shared" si="0"/>
        <v>0</v>
      </c>
      <c r="G12" s="4">
        <v>0</v>
      </c>
      <c r="M12" s="4">
        <v>0</v>
      </c>
      <c r="N12" s="4">
        <v>0</v>
      </c>
      <c r="O12" s="4">
        <v>0</v>
      </c>
      <c r="P12" s="4">
        <f t="shared" si="1"/>
        <v>0</v>
      </c>
      <c r="Q12" s="4">
        <v>0</v>
      </c>
    </row>
    <row r="13" spans="1:84" ht="15.75" x14ac:dyDescent="0.25">
      <c r="A13" s="3" t="s">
        <v>375</v>
      </c>
      <c r="B13" s="5">
        <v>4783</v>
      </c>
      <c r="C13" s="4">
        <v>0</v>
      </c>
      <c r="D13" s="4">
        <v>0</v>
      </c>
      <c r="E13" s="4">
        <v>0</v>
      </c>
      <c r="F13" s="4">
        <f t="shared" si="0"/>
        <v>0</v>
      </c>
      <c r="G13" s="4">
        <v>0</v>
      </c>
      <c r="M13" s="4">
        <v>0</v>
      </c>
      <c r="N13" s="4">
        <v>0</v>
      </c>
      <c r="O13" s="4">
        <v>0</v>
      </c>
      <c r="P13" s="4">
        <f t="shared" si="1"/>
        <v>0</v>
      </c>
      <c r="Q13" s="4">
        <v>0</v>
      </c>
    </row>
    <row r="14" spans="1:84" ht="15.75" x14ac:dyDescent="0.25">
      <c r="A14" s="3" t="s">
        <v>376</v>
      </c>
      <c r="B14" s="5">
        <v>4785</v>
      </c>
      <c r="C14" s="4">
        <v>0</v>
      </c>
      <c r="D14" s="4">
        <v>0</v>
      </c>
      <c r="E14" s="4">
        <v>0</v>
      </c>
      <c r="F14" s="4">
        <f t="shared" si="0"/>
        <v>0</v>
      </c>
      <c r="G14" s="4">
        <v>0</v>
      </c>
      <c r="M14" s="4">
        <v>0</v>
      </c>
      <c r="N14" s="4">
        <v>0</v>
      </c>
      <c r="O14" s="4">
        <v>0</v>
      </c>
      <c r="P14" s="4">
        <f t="shared" si="1"/>
        <v>0</v>
      </c>
      <c r="Q14" s="4">
        <v>0</v>
      </c>
    </row>
    <row r="15" spans="1:84" ht="15.75" x14ac:dyDescent="0.25">
      <c r="A15" s="3" t="s">
        <v>377</v>
      </c>
      <c r="B15" s="5">
        <v>4786</v>
      </c>
      <c r="C15" s="4">
        <v>0</v>
      </c>
      <c r="D15" s="4">
        <v>0</v>
      </c>
      <c r="E15" s="4">
        <v>0</v>
      </c>
      <c r="F15" s="4">
        <f t="shared" si="0"/>
        <v>0</v>
      </c>
      <c r="G15" s="4">
        <v>0</v>
      </c>
      <c r="M15" s="4">
        <v>0</v>
      </c>
      <c r="N15" s="4">
        <v>0</v>
      </c>
      <c r="O15" s="4">
        <v>0</v>
      </c>
      <c r="P15" s="4">
        <f t="shared" si="1"/>
        <v>0</v>
      </c>
      <c r="Q15" s="4">
        <v>0</v>
      </c>
    </row>
    <row r="16" spans="1:84" ht="15.75" x14ac:dyDescent="0.25">
      <c r="A16" s="3" t="s">
        <v>378</v>
      </c>
      <c r="B16" s="5">
        <v>4787</v>
      </c>
      <c r="C16" s="4">
        <v>8729</v>
      </c>
      <c r="D16" s="4">
        <v>-741</v>
      </c>
      <c r="E16" s="4">
        <v>0</v>
      </c>
      <c r="F16" s="4">
        <f t="shared" si="0"/>
        <v>0</v>
      </c>
      <c r="G16" s="4">
        <v>7988</v>
      </c>
      <c r="M16" s="4">
        <v>7323</v>
      </c>
      <c r="N16" s="4">
        <v>1406</v>
      </c>
      <c r="O16" s="4">
        <v>0</v>
      </c>
      <c r="P16" s="4">
        <f t="shared" si="1"/>
        <v>0</v>
      </c>
      <c r="Q16" s="4">
        <v>8729</v>
      </c>
    </row>
    <row r="17" spans="1:17" ht="15.75" x14ac:dyDescent="0.25">
      <c r="A17" s="11" t="s">
        <v>379</v>
      </c>
      <c r="B17" s="12">
        <v>4790</v>
      </c>
      <c r="C17" s="13">
        <f>1*SUMIFS($C:$C,$B:$B,"&gt;=4770",$B:$B,"&lt;=4789")</f>
        <v>183747</v>
      </c>
      <c r="D17" s="13">
        <f>1*SUMIFS($D:$D,$B:$B,"&gt;=4770",$B:$B,"&lt;=4789")</f>
        <v>-741</v>
      </c>
      <c r="E17" s="13">
        <f>1*SUMIFS($E:$E,$B:$B,"&gt;=4770",$B:$B,"&lt;=4789")</f>
        <v>0</v>
      </c>
      <c r="F17" s="13">
        <f t="shared" si="0"/>
        <v>0</v>
      </c>
      <c r="G17" s="13">
        <f>1*SUMIFS($G:$G,$B:$B,"&gt;=4770",$B:$B,"&lt;=4789")</f>
        <v>183006</v>
      </c>
      <c r="M17" s="13">
        <f>1*SUMIFS($M:$M,$B:$B,"&gt;=4770",$B:$B,"&lt;=4789")</f>
        <v>182341</v>
      </c>
      <c r="N17" s="13">
        <f>1*SUMIFS($N:$N,$B:$B,"&gt;=4770",$B:$B,"&lt;=4789")</f>
        <v>1406</v>
      </c>
      <c r="O17" s="13">
        <f>1*SUMIFS($O:$O,$B:$B,"&gt;=4770",$B:$B,"&lt;=4789")</f>
        <v>0</v>
      </c>
      <c r="P17" s="13">
        <f t="shared" si="1"/>
        <v>0</v>
      </c>
      <c r="Q17" s="13">
        <f>1*SUMIFS($Q:$Q,$B:$B,"&gt;=4770",$B:$B,"&lt;=4789")</f>
        <v>183747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F43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45.7109375" customWidth="1"/>
    <col min="2" max="2" width="5.7109375" customWidth="1"/>
    <col min="3" max="7" width="17.7109375" customWidth="1"/>
    <col min="8" max="12" width="0" hidden="1" customWidth="1"/>
    <col min="13" max="17" width="17.7109375" customWidth="1"/>
    <col min="18" max="84" width="0" hidden="1" customWidth="1"/>
  </cols>
  <sheetData>
    <row r="1" spans="1:84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 t="s">
        <v>2</v>
      </c>
      <c r="N1" s="2" t="s">
        <v>3</v>
      </c>
      <c r="O1" s="2" t="s">
        <v>4</v>
      </c>
      <c r="P1" s="2" t="s">
        <v>5</v>
      </c>
      <c r="Q1" s="2" t="s">
        <v>6</v>
      </c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spans="1:84" ht="15.75" x14ac:dyDescent="0.25">
      <c r="A2" s="3" t="s">
        <v>86</v>
      </c>
      <c r="C2" s="4">
        <v>0</v>
      </c>
      <c r="D2" s="4">
        <v>0</v>
      </c>
      <c r="E2" s="4">
        <v>0</v>
      </c>
      <c r="F2" s="4">
        <v>0</v>
      </c>
      <c r="G2" s="4">
        <v>0</v>
      </c>
      <c r="M2" s="4">
        <v>0</v>
      </c>
      <c r="N2" s="4">
        <v>0</v>
      </c>
      <c r="O2" s="4">
        <v>0</v>
      </c>
      <c r="P2" s="4">
        <v>0</v>
      </c>
      <c r="Q2" s="4">
        <v>0</v>
      </c>
    </row>
    <row r="3" spans="1:84" ht="15.75" x14ac:dyDescent="0.25">
      <c r="A3" s="3" t="s">
        <v>87</v>
      </c>
      <c r="B3" s="5">
        <v>601</v>
      </c>
      <c r="C3" s="4">
        <v>0</v>
      </c>
      <c r="D3" s="4">
        <v>0</v>
      </c>
      <c r="E3" s="4">
        <v>0</v>
      </c>
      <c r="F3" s="4">
        <v>0</v>
      </c>
      <c r="G3" s="4">
        <f t="shared" ref="G3:G14" si="0">$C3+$D3-$E3-$F3</f>
        <v>0</v>
      </c>
      <c r="M3" s="4">
        <v>0</v>
      </c>
      <c r="N3" s="4">
        <v>0</v>
      </c>
      <c r="O3" s="4">
        <v>0</v>
      </c>
      <c r="P3" s="4">
        <v>0</v>
      </c>
      <c r="Q3" s="4">
        <f t="shared" ref="Q3:Q14" si="1">$M3+$N3-$O3-$P3</f>
        <v>0</v>
      </c>
    </row>
    <row r="4" spans="1:84" ht="15.75" x14ac:dyDescent="0.25">
      <c r="A4" s="3" t="s">
        <v>88</v>
      </c>
      <c r="B4" s="5">
        <v>602</v>
      </c>
      <c r="C4" s="4">
        <v>0</v>
      </c>
      <c r="D4" s="4">
        <v>0</v>
      </c>
      <c r="E4" s="4">
        <v>0</v>
      </c>
      <c r="F4" s="4">
        <v>0</v>
      </c>
      <c r="G4" s="4">
        <f t="shared" si="0"/>
        <v>0</v>
      </c>
      <c r="M4" s="4">
        <v>0</v>
      </c>
      <c r="N4" s="4">
        <v>0</v>
      </c>
      <c r="O4" s="4">
        <v>0</v>
      </c>
      <c r="P4" s="4">
        <v>0</v>
      </c>
      <c r="Q4" s="4">
        <f t="shared" si="1"/>
        <v>0</v>
      </c>
    </row>
    <row r="5" spans="1:84" ht="15.75" x14ac:dyDescent="0.25">
      <c r="A5" s="3" t="s">
        <v>89</v>
      </c>
      <c r="B5" s="5">
        <v>603</v>
      </c>
      <c r="C5" s="4">
        <v>1162</v>
      </c>
      <c r="D5" s="4">
        <v>0</v>
      </c>
      <c r="E5" s="4">
        <v>0</v>
      </c>
      <c r="F5" s="4">
        <v>0</v>
      </c>
      <c r="G5" s="4">
        <f t="shared" si="0"/>
        <v>1162</v>
      </c>
      <c r="M5" s="4">
        <v>1162</v>
      </c>
      <c r="N5" s="4">
        <v>0</v>
      </c>
      <c r="O5" s="4">
        <v>0</v>
      </c>
      <c r="P5" s="4">
        <v>0</v>
      </c>
      <c r="Q5" s="4">
        <f t="shared" si="1"/>
        <v>1162</v>
      </c>
    </row>
    <row r="6" spans="1:84" ht="15.75" x14ac:dyDescent="0.25">
      <c r="A6" s="3" t="s">
        <v>90</v>
      </c>
      <c r="B6" s="5">
        <v>604</v>
      </c>
      <c r="C6" s="4">
        <v>0</v>
      </c>
      <c r="D6" s="4">
        <v>0</v>
      </c>
      <c r="E6" s="4">
        <v>0</v>
      </c>
      <c r="F6" s="4">
        <v>0</v>
      </c>
      <c r="G6" s="4">
        <f t="shared" si="0"/>
        <v>0</v>
      </c>
      <c r="M6" s="4">
        <v>0</v>
      </c>
      <c r="N6" s="4">
        <v>0</v>
      </c>
      <c r="O6" s="4">
        <v>0</v>
      </c>
      <c r="P6" s="4">
        <v>0</v>
      </c>
      <c r="Q6" s="4">
        <f t="shared" si="1"/>
        <v>0</v>
      </c>
    </row>
    <row r="7" spans="1:84" ht="15.75" x14ac:dyDescent="0.25">
      <c r="A7" s="3" t="s">
        <v>91</v>
      </c>
      <c r="B7" s="5">
        <v>605</v>
      </c>
      <c r="C7" s="4">
        <v>0</v>
      </c>
      <c r="D7" s="4">
        <v>0</v>
      </c>
      <c r="E7" s="4">
        <v>0</v>
      </c>
      <c r="F7" s="4">
        <v>0</v>
      </c>
      <c r="G7" s="4">
        <f t="shared" si="0"/>
        <v>0</v>
      </c>
      <c r="M7" s="4">
        <v>0</v>
      </c>
      <c r="N7" s="4">
        <v>0</v>
      </c>
      <c r="O7" s="4">
        <v>0</v>
      </c>
      <c r="P7" s="4">
        <v>0</v>
      </c>
      <c r="Q7" s="4">
        <f t="shared" si="1"/>
        <v>0</v>
      </c>
    </row>
    <row r="8" spans="1:84" ht="15.75" x14ac:dyDescent="0.25">
      <c r="A8" s="3" t="s">
        <v>92</v>
      </c>
      <c r="B8" s="5">
        <v>606</v>
      </c>
      <c r="C8" s="4">
        <v>0</v>
      </c>
      <c r="D8" s="4">
        <v>0</v>
      </c>
      <c r="E8" s="4">
        <v>0</v>
      </c>
      <c r="F8" s="4">
        <v>0</v>
      </c>
      <c r="G8" s="4">
        <f t="shared" si="0"/>
        <v>0</v>
      </c>
      <c r="M8" s="4">
        <v>0</v>
      </c>
      <c r="N8" s="4">
        <v>0</v>
      </c>
      <c r="O8" s="4">
        <v>0</v>
      </c>
      <c r="P8" s="4">
        <v>0</v>
      </c>
      <c r="Q8" s="4">
        <f t="shared" si="1"/>
        <v>0</v>
      </c>
    </row>
    <row r="9" spans="1:84" ht="15.75" x14ac:dyDescent="0.25">
      <c r="A9" s="3" t="s">
        <v>93</v>
      </c>
      <c r="B9" s="5">
        <v>607</v>
      </c>
      <c r="C9" s="4">
        <v>0</v>
      </c>
      <c r="D9" s="4">
        <v>0</v>
      </c>
      <c r="E9" s="4">
        <v>0</v>
      </c>
      <c r="F9" s="4">
        <v>0</v>
      </c>
      <c r="G9" s="4">
        <f t="shared" si="0"/>
        <v>0</v>
      </c>
      <c r="M9" s="4">
        <v>0</v>
      </c>
      <c r="N9" s="4">
        <v>0</v>
      </c>
      <c r="O9" s="4">
        <v>0</v>
      </c>
      <c r="P9" s="4">
        <v>0</v>
      </c>
      <c r="Q9" s="4">
        <f t="shared" si="1"/>
        <v>0</v>
      </c>
    </row>
    <row r="10" spans="1:84" ht="15.75" x14ac:dyDescent="0.25">
      <c r="A10" s="3" t="s">
        <v>94</v>
      </c>
      <c r="B10" s="5">
        <v>608</v>
      </c>
      <c r="C10" s="4">
        <v>0</v>
      </c>
      <c r="D10" s="4">
        <v>0</v>
      </c>
      <c r="E10" s="4">
        <v>0</v>
      </c>
      <c r="F10" s="4">
        <v>0</v>
      </c>
      <c r="G10" s="4">
        <f t="shared" si="0"/>
        <v>0</v>
      </c>
      <c r="M10" s="4">
        <v>0</v>
      </c>
      <c r="N10" s="4">
        <v>0</v>
      </c>
      <c r="O10" s="4">
        <v>0</v>
      </c>
      <c r="P10" s="4">
        <v>0</v>
      </c>
      <c r="Q10" s="4">
        <f t="shared" si="1"/>
        <v>0</v>
      </c>
    </row>
    <row r="11" spans="1:84" ht="15.75" x14ac:dyDescent="0.25">
      <c r="A11" s="3" t="s">
        <v>95</v>
      </c>
      <c r="B11" s="5">
        <v>609</v>
      </c>
      <c r="C11" s="4">
        <v>0</v>
      </c>
      <c r="D11" s="4">
        <v>0</v>
      </c>
      <c r="E11" s="4">
        <v>0</v>
      </c>
      <c r="F11" s="4">
        <v>0</v>
      </c>
      <c r="G11" s="4">
        <f t="shared" si="0"/>
        <v>0</v>
      </c>
      <c r="M11" s="4">
        <v>0</v>
      </c>
      <c r="N11" s="4">
        <v>0</v>
      </c>
      <c r="O11" s="4">
        <v>0</v>
      </c>
      <c r="P11" s="4">
        <v>0</v>
      </c>
      <c r="Q11" s="4">
        <f t="shared" si="1"/>
        <v>0</v>
      </c>
    </row>
    <row r="12" spans="1:84" ht="15.75" x14ac:dyDescent="0.25">
      <c r="A12" s="3" t="s">
        <v>96</v>
      </c>
      <c r="B12" s="5">
        <v>610</v>
      </c>
      <c r="C12" s="4">
        <v>0</v>
      </c>
      <c r="D12" s="4">
        <v>0</v>
      </c>
      <c r="E12" s="4">
        <v>0</v>
      </c>
      <c r="F12" s="4">
        <v>0</v>
      </c>
      <c r="G12" s="4">
        <f t="shared" si="0"/>
        <v>0</v>
      </c>
      <c r="M12" s="4">
        <v>0</v>
      </c>
      <c r="N12" s="4">
        <v>0</v>
      </c>
      <c r="O12" s="4">
        <v>0</v>
      </c>
      <c r="P12" s="4">
        <v>0</v>
      </c>
      <c r="Q12" s="4">
        <f t="shared" si="1"/>
        <v>0</v>
      </c>
    </row>
    <row r="13" spans="1:84" ht="15.75" x14ac:dyDescent="0.25">
      <c r="A13" s="3" t="s">
        <v>97</v>
      </c>
      <c r="B13" s="5">
        <v>611</v>
      </c>
      <c r="C13" s="4">
        <v>0</v>
      </c>
      <c r="D13" s="4">
        <v>0</v>
      </c>
      <c r="E13" s="4">
        <v>0</v>
      </c>
      <c r="F13" s="4">
        <v>0</v>
      </c>
      <c r="G13" s="4">
        <f t="shared" si="0"/>
        <v>0</v>
      </c>
      <c r="M13" s="4">
        <v>0</v>
      </c>
      <c r="N13" s="4">
        <v>0</v>
      </c>
      <c r="O13" s="4">
        <v>0</v>
      </c>
      <c r="P13" s="4">
        <v>0</v>
      </c>
      <c r="Q13" s="4">
        <f t="shared" si="1"/>
        <v>0</v>
      </c>
    </row>
    <row r="14" spans="1:84" ht="15.75" x14ac:dyDescent="0.25">
      <c r="A14" s="6" t="s">
        <v>98</v>
      </c>
      <c r="B14" s="7">
        <v>612</v>
      </c>
      <c r="C14" s="26">
        <f>1*SUMIFS($C:$C,$B:$B,"&gt;=601",$B:$B,"&lt;=611")</f>
        <v>1162</v>
      </c>
      <c r="D14" s="26">
        <f>1*SUMIFS($D:$D,$B:$B,"&gt;=601",$B:$B,"&lt;=611")</f>
        <v>0</v>
      </c>
      <c r="E14" s="26">
        <f>1*SUMIFS($E:$E,$B:$B,"&gt;=601",$B:$B,"&lt;=611")</f>
        <v>0</v>
      </c>
      <c r="F14" s="26">
        <f>1*SUMIFS($F:$F,$B:$B,"&gt;=601",$B:$B,"&lt;=611")</f>
        <v>0</v>
      </c>
      <c r="G14" s="26">
        <f t="shared" si="0"/>
        <v>1162</v>
      </c>
      <c r="M14" s="26">
        <f>1*SUMIFS($M:$M,$B:$B,"&gt;=601",$B:$B,"&lt;=611")</f>
        <v>1162</v>
      </c>
      <c r="N14" s="26">
        <f>1*SUMIFS($N:$N,$B:$B,"&gt;=601",$B:$B,"&lt;=611")</f>
        <v>0</v>
      </c>
      <c r="O14" s="26">
        <f>1*SUMIFS($O:$O,$B:$B,"&gt;=601",$B:$B,"&lt;=611")</f>
        <v>0</v>
      </c>
      <c r="P14" s="26">
        <f>1*SUMIFS($P:$P,$B:$B,"&gt;=601",$B:$B,"&lt;=611")</f>
        <v>0</v>
      </c>
      <c r="Q14" s="26">
        <f t="shared" si="1"/>
        <v>1162</v>
      </c>
    </row>
    <row r="15" spans="1:84" ht="15.75" x14ac:dyDescent="0.25">
      <c r="A15" s="3"/>
      <c r="C15" s="4">
        <v>0</v>
      </c>
      <c r="D15" s="4">
        <v>0</v>
      </c>
      <c r="E15" s="4">
        <v>0</v>
      </c>
      <c r="F15" s="4">
        <v>0</v>
      </c>
      <c r="G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</row>
    <row r="16" spans="1:84" ht="15.75" x14ac:dyDescent="0.25">
      <c r="A16" s="3" t="s">
        <v>99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</row>
    <row r="17" spans="1:17" ht="15.75" x14ac:dyDescent="0.25">
      <c r="A17" s="3" t="s">
        <v>100</v>
      </c>
      <c r="B17" s="5">
        <v>621</v>
      </c>
      <c r="C17" s="4">
        <v>0</v>
      </c>
      <c r="D17" s="4">
        <v>0</v>
      </c>
      <c r="E17" s="4">
        <v>0</v>
      </c>
      <c r="F17" s="4">
        <v>0</v>
      </c>
      <c r="G17" s="4">
        <f t="shared" ref="G17:G28" si="2">$C17+$D17-$E17-$F17</f>
        <v>0</v>
      </c>
      <c r="M17" s="4">
        <v>0</v>
      </c>
      <c r="N17" s="4">
        <v>0</v>
      </c>
      <c r="O17" s="4">
        <v>0</v>
      </c>
      <c r="P17" s="4">
        <v>0</v>
      </c>
      <c r="Q17" s="4">
        <f t="shared" ref="Q17:Q28" si="3">$M17+$N17-$O17-$P17</f>
        <v>0</v>
      </c>
    </row>
    <row r="18" spans="1:17" ht="15.75" x14ac:dyDescent="0.25">
      <c r="A18" s="3" t="s">
        <v>101</v>
      </c>
      <c r="B18" s="5">
        <v>622</v>
      </c>
      <c r="C18" s="4">
        <v>0</v>
      </c>
      <c r="D18" s="4">
        <v>0</v>
      </c>
      <c r="E18" s="4">
        <v>0</v>
      </c>
      <c r="F18" s="4">
        <v>0</v>
      </c>
      <c r="G18" s="4">
        <f t="shared" si="2"/>
        <v>0</v>
      </c>
      <c r="M18" s="4">
        <v>0</v>
      </c>
      <c r="N18" s="4">
        <v>0</v>
      </c>
      <c r="O18" s="4">
        <v>0</v>
      </c>
      <c r="P18" s="4">
        <v>0</v>
      </c>
      <c r="Q18" s="4">
        <f t="shared" si="3"/>
        <v>0</v>
      </c>
    </row>
    <row r="19" spans="1:17" ht="15.75" x14ac:dyDescent="0.25">
      <c r="A19" s="3" t="s">
        <v>102</v>
      </c>
      <c r="B19" s="5">
        <v>623</v>
      </c>
      <c r="C19" s="4">
        <v>0</v>
      </c>
      <c r="D19" s="4">
        <v>0</v>
      </c>
      <c r="E19" s="4">
        <v>0</v>
      </c>
      <c r="F19" s="4">
        <v>0</v>
      </c>
      <c r="G19" s="4">
        <f t="shared" si="2"/>
        <v>0</v>
      </c>
      <c r="M19" s="4">
        <v>0</v>
      </c>
      <c r="N19" s="4">
        <v>0</v>
      </c>
      <c r="O19" s="4">
        <v>0</v>
      </c>
      <c r="P19" s="4">
        <v>0</v>
      </c>
      <c r="Q19" s="4">
        <f t="shared" si="3"/>
        <v>0</v>
      </c>
    </row>
    <row r="20" spans="1:17" ht="15.75" x14ac:dyDescent="0.25">
      <c r="A20" s="3" t="s">
        <v>103</v>
      </c>
      <c r="B20" s="5">
        <v>624</v>
      </c>
      <c r="C20" s="4">
        <v>0</v>
      </c>
      <c r="D20" s="4">
        <v>0</v>
      </c>
      <c r="E20" s="4">
        <v>0</v>
      </c>
      <c r="F20" s="4">
        <v>0</v>
      </c>
      <c r="G20" s="4">
        <f t="shared" si="2"/>
        <v>0</v>
      </c>
      <c r="M20" s="4">
        <v>0</v>
      </c>
      <c r="N20" s="4">
        <v>0</v>
      </c>
      <c r="O20" s="4">
        <v>0</v>
      </c>
      <c r="P20" s="4">
        <v>0</v>
      </c>
      <c r="Q20" s="4">
        <f t="shared" si="3"/>
        <v>0</v>
      </c>
    </row>
    <row r="21" spans="1:17" ht="15.75" x14ac:dyDescent="0.25">
      <c r="A21" s="3" t="s">
        <v>104</v>
      </c>
      <c r="B21" s="5">
        <v>625</v>
      </c>
      <c r="C21" s="4">
        <v>0</v>
      </c>
      <c r="D21" s="4">
        <v>0</v>
      </c>
      <c r="E21" s="4">
        <v>0</v>
      </c>
      <c r="F21" s="4">
        <v>0</v>
      </c>
      <c r="G21" s="4">
        <f t="shared" si="2"/>
        <v>0</v>
      </c>
      <c r="M21" s="4">
        <v>0</v>
      </c>
      <c r="N21" s="4">
        <v>0</v>
      </c>
      <c r="O21" s="4">
        <v>0</v>
      </c>
      <c r="P21" s="4">
        <v>0</v>
      </c>
      <c r="Q21" s="4">
        <f t="shared" si="3"/>
        <v>0</v>
      </c>
    </row>
    <row r="22" spans="1:17" ht="15.75" x14ac:dyDescent="0.25">
      <c r="A22" s="3" t="s">
        <v>105</v>
      </c>
      <c r="B22" s="5">
        <v>626</v>
      </c>
      <c r="C22" s="4">
        <v>0</v>
      </c>
      <c r="D22" s="4">
        <v>0</v>
      </c>
      <c r="E22" s="4">
        <v>0</v>
      </c>
      <c r="F22" s="4">
        <v>0</v>
      </c>
      <c r="G22" s="4">
        <f t="shared" si="2"/>
        <v>0</v>
      </c>
      <c r="M22" s="4">
        <v>0</v>
      </c>
      <c r="N22" s="4">
        <v>0</v>
      </c>
      <c r="O22" s="4">
        <v>0</v>
      </c>
      <c r="P22" s="4">
        <v>0</v>
      </c>
      <c r="Q22" s="4">
        <f t="shared" si="3"/>
        <v>0</v>
      </c>
    </row>
    <row r="23" spans="1:17" ht="15.75" x14ac:dyDescent="0.25">
      <c r="A23" s="3" t="s">
        <v>106</v>
      </c>
      <c r="B23" s="5">
        <v>627</v>
      </c>
      <c r="C23" s="4">
        <v>0</v>
      </c>
      <c r="D23" s="4">
        <v>0</v>
      </c>
      <c r="E23" s="4">
        <v>0</v>
      </c>
      <c r="F23" s="4">
        <v>0</v>
      </c>
      <c r="G23" s="4">
        <f t="shared" si="2"/>
        <v>0</v>
      </c>
      <c r="M23" s="4">
        <v>0</v>
      </c>
      <c r="N23" s="4">
        <v>0</v>
      </c>
      <c r="O23" s="4">
        <v>0</v>
      </c>
      <c r="P23" s="4">
        <v>0</v>
      </c>
      <c r="Q23" s="4">
        <f t="shared" si="3"/>
        <v>0</v>
      </c>
    </row>
    <row r="24" spans="1:17" ht="15.75" x14ac:dyDescent="0.25">
      <c r="A24" s="3" t="s">
        <v>107</v>
      </c>
      <c r="B24" s="5">
        <v>628</v>
      </c>
      <c r="C24" s="4">
        <v>0</v>
      </c>
      <c r="D24" s="4">
        <v>0</v>
      </c>
      <c r="E24" s="4">
        <v>0</v>
      </c>
      <c r="F24" s="4">
        <v>0</v>
      </c>
      <c r="G24" s="4">
        <f t="shared" si="2"/>
        <v>0</v>
      </c>
      <c r="M24" s="4">
        <v>0</v>
      </c>
      <c r="N24" s="4">
        <v>0</v>
      </c>
      <c r="O24" s="4">
        <v>0</v>
      </c>
      <c r="P24" s="4">
        <v>0</v>
      </c>
      <c r="Q24" s="4">
        <f t="shared" si="3"/>
        <v>0</v>
      </c>
    </row>
    <row r="25" spans="1:17" ht="15.75" x14ac:dyDescent="0.25">
      <c r="A25" s="3" t="s">
        <v>108</v>
      </c>
      <c r="B25" s="5">
        <v>629</v>
      </c>
      <c r="C25" s="4">
        <v>0</v>
      </c>
      <c r="D25" s="4">
        <v>0</v>
      </c>
      <c r="E25" s="4">
        <v>0</v>
      </c>
      <c r="F25" s="4">
        <v>0</v>
      </c>
      <c r="G25" s="4">
        <f t="shared" si="2"/>
        <v>0</v>
      </c>
      <c r="M25" s="4">
        <v>0</v>
      </c>
      <c r="N25" s="4">
        <v>0</v>
      </c>
      <c r="O25" s="4">
        <v>0</v>
      </c>
      <c r="P25" s="4">
        <v>0</v>
      </c>
      <c r="Q25" s="4">
        <f t="shared" si="3"/>
        <v>0</v>
      </c>
    </row>
    <row r="26" spans="1:17" ht="15.75" x14ac:dyDescent="0.25">
      <c r="A26" s="3" t="s">
        <v>109</v>
      </c>
      <c r="B26" s="5">
        <v>630</v>
      </c>
      <c r="C26" s="4">
        <v>0</v>
      </c>
      <c r="D26" s="4">
        <v>0</v>
      </c>
      <c r="E26" s="4">
        <v>0</v>
      </c>
      <c r="F26" s="4">
        <v>0</v>
      </c>
      <c r="G26" s="4">
        <f t="shared" si="2"/>
        <v>0</v>
      </c>
      <c r="M26" s="4">
        <v>0</v>
      </c>
      <c r="N26" s="4">
        <v>0</v>
      </c>
      <c r="O26" s="4">
        <v>0</v>
      </c>
      <c r="P26" s="4">
        <v>0</v>
      </c>
      <c r="Q26" s="4">
        <f t="shared" si="3"/>
        <v>0</v>
      </c>
    </row>
    <row r="27" spans="1:17" ht="15.75" x14ac:dyDescent="0.25">
      <c r="A27" s="3" t="s">
        <v>110</v>
      </c>
      <c r="B27" s="5">
        <v>631</v>
      </c>
      <c r="C27" s="4">
        <v>0</v>
      </c>
      <c r="D27" s="4">
        <v>0</v>
      </c>
      <c r="E27" s="4">
        <v>0</v>
      </c>
      <c r="F27" s="4">
        <v>0</v>
      </c>
      <c r="G27" s="4">
        <f t="shared" si="2"/>
        <v>0</v>
      </c>
      <c r="M27" s="4">
        <v>0</v>
      </c>
      <c r="N27" s="4">
        <v>0</v>
      </c>
      <c r="O27" s="4">
        <v>0</v>
      </c>
      <c r="P27" s="4">
        <v>0</v>
      </c>
      <c r="Q27" s="4">
        <f t="shared" si="3"/>
        <v>0</v>
      </c>
    </row>
    <row r="28" spans="1:17" ht="15.75" x14ac:dyDescent="0.25">
      <c r="A28" s="6" t="s">
        <v>111</v>
      </c>
      <c r="B28" s="7">
        <v>632</v>
      </c>
      <c r="C28" s="26">
        <f>1*SUMIFS($C:$C,$B:$B,"&gt;=621",$B:$B,"&lt;=631")</f>
        <v>0</v>
      </c>
      <c r="D28" s="26">
        <f>1*SUMIFS($D:$D,$B:$B,"&gt;=621",$B:$B,"&lt;=631")</f>
        <v>0</v>
      </c>
      <c r="E28" s="26">
        <f>1*SUMIFS($E:$E,$B:$B,"&gt;=621",$B:$B,"&lt;=631")</f>
        <v>0</v>
      </c>
      <c r="F28" s="26">
        <f>1*SUMIFS($F:$F,$B:$B,"&gt;=621",$B:$B,"&lt;=631")</f>
        <v>0</v>
      </c>
      <c r="G28" s="26">
        <f t="shared" si="2"/>
        <v>0</v>
      </c>
      <c r="M28" s="26">
        <f>1*SUMIFS($M:$M,$B:$B,"&gt;=621",$B:$B,"&lt;=631")</f>
        <v>0</v>
      </c>
      <c r="N28" s="26">
        <f>1*SUMIFS($N:$N,$B:$B,"&gt;=621",$B:$B,"&lt;=631")</f>
        <v>0</v>
      </c>
      <c r="O28" s="26">
        <f>1*SUMIFS($O:$O,$B:$B,"&gt;=621",$B:$B,"&lt;=631")</f>
        <v>0</v>
      </c>
      <c r="P28" s="26">
        <f>1*SUMIFS($P:$P,$B:$B,"&gt;=621",$B:$B,"&lt;=631")</f>
        <v>0</v>
      </c>
      <c r="Q28" s="26">
        <f t="shared" si="3"/>
        <v>0</v>
      </c>
    </row>
    <row r="29" spans="1:17" ht="15.75" x14ac:dyDescent="0.25">
      <c r="A29" s="3"/>
      <c r="C29" s="4">
        <v>0</v>
      </c>
      <c r="D29" s="4">
        <v>0</v>
      </c>
      <c r="E29" s="4">
        <v>0</v>
      </c>
      <c r="F29" s="4">
        <v>0</v>
      </c>
      <c r="G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</row>
    <row r="30" spans="1:17" ht="15.75" x14ac:dyDescent="0.25">
      <c r="A30" s="3" t="s">
        <v>34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</row>
    <row r="31" spans="1:17" ht="15.75" x14ac:dyDescent="0.25">
      <c r="A31" s="11" t="s">
        <v>112</v>
      </c>
      <c r="B31" s="12">
        <v>641</v>
      </c>
      <c r="C31" s="13">
        <f>1*SUMIFS($C:$C,$B:$B,"&gt;=601",$B:$B,"&lt;=601")-1*SUMIFS($C:$C,$B:$B,"&gt;=621",$B:$B,"&lt;=621")</f>
        <v>0</v>
      </c>
      <c r="D31" s="13">
        <f>1*SUMIFS($D:$D,$B:$B,"&gt;=601",$B:$B,"&lt;=601")-1*SUMIFS($D:$D,$B:$B,"&gt;=621",$B:$B,"&lt;=621")</f>
        <v>0</v>
      </c>
      <c r="E31" s="13">
        <f>1*SUMIFS($E:$E,$B:$B,"&gt;=601",$B:$B,"&lt;=601")-1*SUMIFS($E:$E,$B:$B,"&gt;=621",$B:$B,"&lt;=621")</f>
        <v>0</v>
      </c>
      <c r="F31" s="13">
        <f>1*SUMIFS($F:$F,$B:$B,"&gt;=601",$B:$B,"&lt;=601")-1*SUMIFS($F:$F,$B:$B,"&gt;=621",$B:$B,"&lt;=621")</f>
        <v>0</v>
      </c>
      <c r="G31" s="13">
        <f t="shared" ref="G31:G42" si="4">$C31+$D31-$E31-$F31</f>
        <v>0</v>
      </c>
      <c r="M31" s="13">
        <f>1*SUMIFS($M:$M,$B:$B,"&gt;=601",$B:$B,"&lt;=601")-1*SUMIFS($M:$M,$B:$B,"&gt;=621",$B:$B,"&lt;=621")</f>
        <v>0</v>
      </c>
      <c r="N31" s="13">
        <f>1*SUMIFS($N:$N,$B:$B,"&gt;=601",$B:$B,"&lt;=601")-1*SUMIFS($N:$N,$B:$B,"&gt;=621",$B:$B,"&lt;=621")</f>
        <v>0</v>
      </c>
      <c r="O31" s="13">
        <f>1*SUMIFS($O:$O,$B:$B,"&gt;=601",$B:$B,"&lt;=601")-1*SUMIFS($O:$O,$B:$B,"&gt;=621",$B:$B,"&lt;=621")</f>
        <v>0</v>
      </c>
      <c r="P31" s="13">
        <f>1*SUMIFS($P:$P,$B:$B,"&gt;=601",$B:$B,"&lt;=601")-1*SUMIFS($P:$P,$B:$B,"&gt;=621",$B:$B,"&lt;=621")</f>
        <v>0</v>
      </c>
      <c r="Q31" s="13">
        <f t="shared" ref="Q31:Q42" si="5">$M31+$N31-$O31-$P31</f>
        <v>0</v>
      </c>
    </row>
    <row r="32" spans="1:17" ht="15.75" x14ac:dyDescent="0.25">
      <c r="A32" s="11" t="s">
        <v>113</v>
      </c>
      <c r="B32" s="12">
        <v>642</v>
      </c>
      <c r="C32" s="13">
        <f>1*SUMIFS($C:$C,$B:$B,"&gt;=602",$B:$B,"&lt;=602")-1*SUMIFS($C:$C,$B:$B,"&gt;=622",$B:$B,"&lt;=622")</f>
        <v>0</v>
      </c>
      <c r="D32" s="13">
        <f>1*SUMIFS($D:$D,$B:$B,"&gt;=602",$B:$B,"&lt;=602")-1*SUMIFS($D:$D,$B:$B,"&gt;=622",$B:$B,"&lt;=622")</f>
        <v>0</v>
      </c>
      <c r="E32" s="13">
        <f>1*SUMIFS($E:$E,$B:$B,"&gt;=602",$B:$B,"&lt;=602")-1*SUMIFS($E:$E,$B:$B,"&gt;=622",$B:$B,"&lt;=622")</f>
        <v>0</v>
      </c>
      <c r="F32" s="13">
        <f>1*SUMIFS($F:$F,$B:$B,"&gt;=602",$B:$B,"&lt;=602")-1*SUMIFS($F:$F,$B:$B,"&gt;=622",$B:$B,"&lt;=622")</f>
        <v>0</v>
      </c>
      <c r="G32" s="13">
        <f t="shared" si="4"/>
        <v>0</v>
      </c>
      <c r="M32" s="13">
        <f>1*SUMIFS($M:$M,$B:$B,"&gt;=602",$B:$B,"&lt;=602")-1*SUMIFS($M:$M,$B:$B,"&gt;=622",$B:$B,"&lt;=622")</f>
        <v>0</v>
      </c>
      <c r="N32" s="13">
        <f>1*SUMIFS($N:$N,$B:$B,"&gt;=602",$B:$B,"&lt;=602")-1*SUMIFS($N:$N,$B:$B,"&gt;=622",$B:$B,"&lt;=622")</f>
        <v>0</v>
      </c>
      <c r="O32" s="13">
        <f>1*SUMIFS($O:$O,$B:$B,"&gt;=602",$B:$B,"&lt;=602")-1*SUMIFS($O:$O,$B:$B,"&gt;=622",$B:$B,"&lt;=622")</f>
        <v>0</v>
      </c>
      <c r="P32" s="13">
        <f>1*SUMIFS($P:$P,$B:$B,"&gt;=602",$B:$B,"&lt;=602")-1*SUMIFS($P:$P,$B:$B,"&gt;=622",$B:$B,"&lt;=622")</f>
        <v>0</v>
      </c>
      <c r="Q32" s="13">
        <f t="shared" si="5"/>
        <v>0</v>
      </c>
    </row>
    <row r="33" spans="1:17" ht="15.75" x14ac:dyDescent="0.25">
      <c r="A33" s="11" t="s">
        <v>114</v>
      </c>
      <c r="B33" s="12">
        <v>643</v>
      </c>
      <c r="C33" s="13">
        <f>1*SUMIFS($C:$C,$B:$B,"&gt;=603",$B:$B,"&lt;=603")-1*SUMIFS($C:$C,$B:$B,"&gt;=623",$B:$B,"&lt;=623")</f>
        <v>1162</v>
      </c>
      <c r="D33" s="13">
        <f>1*SUMIFS($D:$D,$B:$B,"&gt;=603",$B:$B,"&lt;=603")-1*SUMIFS($D:$D,$B:$B,"&gt;=623",$B:$B,"&lt;=623")</f>
        <v>0</v>
      </c>
      <c r="E33" s="13">
        <f>1*SUMIFS($E:$E,$B:$B,"&gt;=603",$B:$B,"&lt;=603")-1*SUMIFS($E:$E,$B:$B,"&gt;=623",$B:$B,"&lt;=623")</f>
        <v>0</v>
      </c>
      <c r="F33" s="13">
        <f>1*SUMIFS($F:$F,$B:$B,"&gt;=603",$B:$B,"&lt;=603")-1*SUMIFS($F:$F,$B:$B,"&gt;=623",$B:$B,"&lt;=623")</f>
        <v>0</v>
      </c>
      <c r="G33" s="13">
        <f t="shared" si="4"/>
        <v>1162</v>
      </c>
      <c r="M33" s="13">
        <f>1*SUMIFS($M:$M,$B:$B,"&gt;=603",$B:$B,"&lt;=603")-1*SUMIFS($M:$M,$B:$B,"&gt;=623",$B:$B,"&lt;=623")</f>
        <v>1162</v>
      </c>
      <c r="N33" s="13">
        <f>1*SUMIFS($N:$N,$B:$B,"&gt;=603",$B:$B,"&lt;=603")-1*SUMIFS($N:$N,$B:$B,"&gt;=623",$B:$B,"&lt;=623")</f>
        <v>0</v>
      </c>
      <c r="O33" s="13">
        <f>1*SUMIFS($O:$O,$B:$B,"&gt;=603",$B:$B,"&lt;=603")-1*SUMIFS($O:$O,$B:$B,"&gt;=623",$B:$B,"&lt;=623")</f>
        <v>0</v>
      </c>
      <c r="P33" s="13">
        <f>1*SUMIFS($P:$P,$B:$B,"&gt;=603",$B:$B,"&lt;=603")-1*SUMIFS($P:$P,$B:$B,"&gt;=623",$B:$B,"&lt;=623")</f>
        <v>0</v>
      </c>
      <c r="Q33" s="13">
        <f t="shared" si="5"/>
        <v>1162</v>
      </c>
    </row>
    <row r="34" spans="1:17" ht="15.75" x14ac:dyDescent="0.25">
      <c r="A34" s="11" t="s">
        <v>115</v>
      </c>
      <c r="B34" s="12">
        <v>644</v>
      </c>
      <c r="C34" s="13">
        <f>1*SUMIFS($C:$C,$B:$B,"&gt;=604",$B:$B,"&lt;=604")-1*SUMIFS($C:$C,$B:$B,"&gt;=624",$B:$B,"&lt;=624")</f>
        <v>0</v>
      </c>
      <c r="D34" s="13">
        <f>1*SUMIFS($D:$D,$B:$B,"&gt;=604",$B:$B,"&lt;=604")-1*SUMIFS($D:$D,$B:$B,"&gt;=624",$B:$B,"&lt;=624")</f>
        <v>0</v>
      </c>
      <c r="E34" s="13">
        <f>1*SUMIFS($E:$E,$B:$B,"&gt;=604",$B:$B,"&lt;=604")-1*SUMIFS($E:$E,$B:$B,"&gt;=624",$B:$B,"&lt;=624")</f>
        <v>0</v>
      </c>
      <c r="F34" s="13">
        <f>1*SUMIFS($F:$F,$B:$B,"&gt;=604",$B:$B,"&lt;=604")-1*SUMIFS($F:$F,$B:$B,"&gt;=624",$B:$B,"&lt;=624")</f>
        <v>0</v>
      </c>
      <c r="G34" s="13">
        <f t="shared" si="4"/>
        <v>0</v>
      </c>
      <c r="M34" s="13">
        <f>1*SUMIFS($M:$M,$B:$B,"&gt;=604",$B:$B,"&lt;=604")-1*SUMIFS($M:$M,$B:$B,"&gt;=624",$B:$B,"&lt;=624")</f>
        <v>0</v>
      </c>
      <c r="N34" s="13">
        <f>1*SUMIFS($N:$N,$B:$B,"&gt;=604",$B:$B,"&lt;=604")-1*SUMIFS($N:$N,$B:$B,"&gt;=624",$B:$B,"&lt;=624")</f>
        <v>0</v>
      </c>
      <c r="O34" s="13">
        <f>1*SUMIFS($O:$O,$B:$B,"&gt;=604",$B:$B,"&lt;=604")-1*SUMIFS($O:$O,$B:$B,"&gt;=624",$B:$B,"&lt;=624")</f>
        <v>0</v>
      </c>
      <c r="P34" s="13">
        <f>1*SUMIFS($P:$P,$B:$B,"&gt;=604",$B:$B,"&lt;=604")-1*SUMIFS($P:$P,$B:$B,"&gt;=624",$B:$B,"&lt;=624")</f>
        <v>0</v>
      </c>
      <c r="Q34" s="13">
        <f t="shared" si="5"/>
        <v>0</v>
      </c>
    </row>
    <row r="35" spans="1:17" ht="15.75" x14ac:dyDescent="0.25">
      <c r="A35" s="11" t="s">
        <v>116</v>
      </c>
      <c r="B35" s="12">
        <v>645</v>
      </c>
      <c r="C35" s="13">
        <f>1*SUMIFS($C:$C,$B:$B,"&gt;=605",$B:$B,"&lt;=605")-1*SUMIFS($C:$C,$B:$B,"&gt;=625",$B:$B,"&lt;=625")</f>
        <v>0</v>
      </c>
      <c r="D35" s="13">
        <f>1*SUMIFS($D:$D,$B:$B,"&gt;=605",$B:$B,"&lt;=605")-1*SUMIFS($D:$D,$B:$B,"&gt;=625",$B:$B,"&lt;=625")</f>
        <v>0</v>
      </c>
      <c r="E35" s="13">
        <f>1*SUMIFS($E:$E,$B:$B,"&gt;=605",$B:$B,"&lt;=605")-1*SUMIFS($E:$E,$B:$B,"&gt;=625",$B:$B,"&lt;=625")</f>
        <v>0</v>
      </c>
      <c r="F35" s="13">
        <f>1*SUMIFS($F:$F,$B:$B,"&gt;=605",$B:$B,"&lt;=605")-1*SUMIFS($F:$F,$B:$B,"&gt;=625",$B:$B,"&lt;=625")</f>
        <v>0</v>
      </c>
      <c r="G35" s="13">
        <f t="shared" si="4"/>
        <v>0</v>
      </c>
      <c r="M35" s="13">
        <f>1*SUMIFS($M:$M,$B:$B,"&gt;=605",$B:$B,"&lt;=605")-1*SUMIFS($M:$M,$B:$B,"&gt;=625",$B:$B,"&lt;=625")</f>
        <v>0</v>
      </c>
      <c r="N35" s="13">
        <f>1*SUMIFS($N:$N,$B:$B,"&gt;=605",$B:$B,"&lt;=605")-1*SUMIFS($N:$N,$B:$B,"&gt;=625",$B:$B,"&lt;=625")</f>
        <v>0</v>
      </c>
      <c r="O35" s="13">
        <f>1*SUMIFS($O:$O,$B:$B,"&gt;=605",$B:$B,"&lt;=605")-1*SUMIFS($O:$O,$B:$B,"&gt;=625",$B:$B,"&lt;=625")</f>
        <v>0</v>
      </c>
      <c r="P35" s="13">
        <f>1*SUMIFS($P:$P,$B:$B,"&gt;=605",$B:$B,"&lt;=605")-1*SUMIFS($P:$P,$B:$B,"&gt;=625",$B:$B,"&lt;=625")</f>
        <v>0</v>
      </c>
      <c r="Q35" s="13">
        <f t="shared" si="5"/>
        <v>0</v>
      </c>
    </row>
    <row r="36" spans="1:17" ht="15.75" x14ac:dyDescent="0.25">
      <c r="A36" s="11" t="s">
        <v>117</v>
      </c>
      <c r="B36" s="12">
        <v>646</v>
      </c>
      <c r="C36" s="13">
        <f>1*SUMIFS($C:$C,$B:$B,"&gt;=606",$B:$B,"&lt;=606")-1*SUMIFS($C:$C,$B:$B,"&gt;=626",$B:$B,"&lt;=626")</f>
        <v>0</v>
      </c>
      <c r="D36" s="13">
        <f>1*SUMIFS($D:$D,$B:$B,"&gt;=606",$B:$B,"&lt;=606")-1*SUMIFS($D:$D,$B:$B,"&gt;=626",$B:$B,"&lt;=626")</f>
        <v>0</v>
      </c>
      <c r="E36" s="13">
        <f>1*SUMIFS($E:$E,$B:$B,"&gt;=606",$B:$B,"&lt;=606")-1*SUMIFS($E:$E,$B:$B,"&gt;=626",$B:$B,"&lt;=626")</f>
        <v>0</v>
      </c>
      <c r="F36" s="13">
        <f>1*SUMIFS($F:$F,$B:$B,"&gt;=606",$B:$B,"&lt;=606")-1*SUMIFS($F:$F,$B:$B,"&gt;=626",$B:$B,"&lt;=626")</f>
        <v>0</v>
      </c>
      <c r="G36" s="13">
        <f t="shared" si="4"/>
        <v>0</v>
      </c>
      <c r="M36" s="13">
        <f>1*SUMIFS($M:$M,$B:$B,"&gt;=606",$B:$B,"&lt;=606")-1*SUMIFS($M:$M,$B:$B,"&gt;=626",$B:$B,"&lt;=626")</f>
        <v>0</v>
      </c>
      <c r="N36" s="13">
        <f>1*SUMIFS($N:$N,$B:$B,"&gt;=606",$B:$B,"&lt;=606")-1*SUMIFS($N:$N,$B:$B,"&gt;=626",$B:$B,"&lt;=626")</f>
        <v>0</v>
      </c>
      <c r="O36" s="13">
        <f>1*SUMIFS($O:$O,$B:$B,"&gt;=606",$B:$B,"&lt;=606")-1*SUMIFS($O:$O,$B:$B,"&gt;=626",$B:$B,"&lt;=626")</f>
        <v>0</v>
      </c>
      <c r="P36" s="13">
        <f>1*SUMIFS($P:$P,$B:$B,"&gt;=606",$B:$B,"&lt;=606")-1*SUMIFS($P:$P,$B:$B,"&gt;=626",$B:$B,"&lt;=626")</f>
        <v>0</v>
      </c>
      <c r="Q36" s="13">
        <f t="shared" si="5"/>
        <v>0</v>
      </c>
    </row>
    <row r="37" spans="1:17" ht="15.75" x14ac:dyDescent="0.25">
      <c r="A37" s="11" t="s">
        <v>118</v>
      </c>
      <c r="B37" s="12">
        <v>647</v>
      </c>
      <c r="C37" s="13">
        <f>1*SUMIFS($C:$C,$B:$B,"&gt;=607",$B:$B,"&lt;=607")-1*SUMIFS($C:$C,$B:$B,"&gt;=627",$B:$B,"&lt;=627")</f>
        <v>0</v>
      </c>
      <c r="D37" s="13">
        <f>1*SUMIFS($D:$D,$B:$B,"&gt;=607",$B:$B,"&lt;=607")-1*SUMIFS($D:$D,$B:$B,"&gt;=627",$B:$B,"&lt;=627")</f>
        <v>0</v>
      </c>
      <c r="E37" s="13">
        <f>1*SUMIFS($E:$E,$B:$B,"&gt;=607",$B:$B,"&lt;=607")-1*SUMIFS($E:$E,$B:$B,"&gt;=627",$B:$B,"&lt;=627")</f>
        <v>0</v>
      </c>
      <c r="F37" s="13">
        <f>1*SUMIFS($F:$F,$B:$B,"&gt;=607",$B:$B,"&lt;=607")-1*SUMIFS($F:$F,$B:$B,"&gt;=627",$B:$B,"&lt;=627")</f>
        <v>0</v>
      </c>
      <c r="G37" s="13">
        <f t="shared" si="4"/>
        <v>0</v>
      </c>
      <c r="M37" s="13">
        <f>1*SUMIFS($M:$M,$B:$B,"&gt;=607",$B:$B,"&lt;=607")-1*SUMIFS($M:$M,$B:$B,"&gt;=627",$B:$B,"&lt;=627")</f>
        <v>0</v>
      </c>
      <c r="N37" s="13">
        <f>1*SUMIFS($N:$N,$B:$B,"&gt;=607",$B:$B,"&lt;=607")-1*SUMIFS($N:$N,$B:$B,"&gt;=627",$B:$B,"&lt;=627")</f>
        <v>0</v>
      </c>
      <c r="O37" s="13">
        <f>1*SUMIFS($O:$O,$B:$B,"&gt;=607",$B:$B,"&lt;=607")-1*SUMIFS($O:$O,$B:$B,"&gt;=627",$B:$B,"&lt;=627")</f>
        <v>0</v>
      </c>
      <c r="P37" s="13">
        <f>1*SUMIFS($P:$P,$B:$B,"&gt;=607",$B:$B,"&lt;=607")-1*SUMIFS($P:$P,$B:$B,"&gt;=627",$B:$B,"&lt;=627")</f>
        <v>0</v>
      </c>
      <c r="Q37" s="13">
        <f t="shared" si="5"/>
        <v>0</v>
      </c>
    </row>
    <row r="38" spans="1:17" ht="15.75" x14ac:dyDescent="0.25">
      <c r="A38" s="11" t="s">
        <v>119</v>
      </c>
      <c r="B38" s="12">
        <v>648</v>
      </c>
      <c r="C38" s="13">
        <f>1*SUMIFS($C:$C,$B:$B,"&gt;=608",$B:$B,"&lt;=608")-1*SUMIFS($C:$C,$B:$B,"&gt;=628",$B:$B,"&lt;=628")</f>
        <v>0</v>
      </c>
      <c r="D38" s="13">
        <f>1*SUMIFS($D:$D,$B:$B,"&gt;=608",$B:$B,"&lt;=608")-1*SUMIFS($D:$D,$B:$B,"&gt;=628",$B:$B,"&lt;=628")</f>
        <v>0</v>
      </c>
      <c r="E38" s="13">
        <f>1*SUMIFS($E:$E,$B:$B,"&gt;=608",$B:$B,"&lt;=608")-1*SUMIFS($E:$E,$B:$B,"&gt;=628",$B:$B,"&lt;=628")</f>
        <v>0</v>
      </c>
      <c r="F38" s="13">
        <f>1*SUMIFS($F:$F,$B:$B,"&gt;=608",$B:$B,"&lt;=608")-1*SUMIFS($F:$F,$B:$B,"&gt;=628",$B:$B,"&lt;=628")</f>
        <v>0</v>
      </c>
      <c r="G38" s="13">
        <f t="shared" si="4"/>
        <v>0</v>
      </c>
      <c r="M38" s="13">
        <f>1*SUMIFS($M:$M,$B:$B,"&gt;=608",$B:$B,"&lt;=608")-1*SUMIFS($M:$M,$B:$B,"&gt;=628",$B:$B,"&lt;=628")</f>
        <v>0</v>
      </c>
      <c r="N38" s="13">
        <f>1*SUMIFS($N:$N,$B:$B,"&gt;=608",$B:$B,"&lt;=608")-1*SUMIFS($N:$N,$B:$B,"&gt;=628",$B:$B,"&lt;=628")</f>
        <v>0</v>
      </c>
      <c r="O38" s="13">
        <f>1*SUMIFS($O:$O,$B:$B,"&gt;=608",$B:$B,"&lt;=608")-1*SUMIFS($O:$O,$B:$B,"&gt;=628",$B:$B,"&lt;=628")</f>
        <v>0</v>
      </c>
      <c r="P38" s="13">
        <f>1*SUMIFS($P:$P,$B:$B,"&gt;=608",$B:$B,"&lt;=608")-1*SUMIFS($P:$P,$B:$B,"&gt;=628",$B:$B,"&lt;=628")</f>
        <v>0</v>
      </c>
      <c r="Q38" s="13">
        <f t="shared" si="5"/>
        <v>0</v>
      </c>
    </row>
    <row r="39" spans="1:17" ht="15.75" x14ac:dyDescent="0.25">
      <c r="A39" s="11" t="s">
        <v>120</v>
      </c>
      <c r="B39" s="12">
        <v>649</v>
      </c>
      <c r="C39" s="13">
        <f>1*SUMIFS($C:$C,$B:$B,"&gt;=609",$B:$B,"&lt;=609")-1*SUMIFS($C:$C,$B:$B,"&gt;=629",$B:$B,"&lt;=629")</f>
        <v>0</v>
      </c>
      <c r="D39" s="13">
        <f>1*SUMIFS($D:$D,$B:$B,"&gt;=609",$B:$B,"&lt;=609")-1*SUMIFS($D:$D,$B:$B,"&gt;=629",$B:$B,"&lt;=629")</f>
        <v>0</v>
      </c>
      <c r="E39" s="13">
        <f>1*SUMIFS($E:$E,$B:$B,"&gt;=609",$B:$B,"&lt;=609")-1*SUMIFS($E:$E,$B:$B,"&gt;=629",$B:$B,"&lt;=629")</f>
        <v>0</v>
      </c>
      <c r="F39" s="13">
        <f>1*SUMIFS($F:$F,$B:$B,"&gt;=609",$B:$B,"&lt;=609")-1*SUMIFS($F:$F,$B:$B,"&gt;=629",$B:$B,"&lt;=629")</f>
        <v>0</v>
      </c>
      <c r="G39" s="13">
        <f t="shared" si="4"/>
        <v>0</v>
      </c>
      <c r="M39" s="13">
        <f>1*SUMIFS($M:$M,$B:$B,"&gt;=609",$B:$B,"&lt;=609")-1*SUMIFS($M:$M,$B:$B,"&gt;=629",$B:$B,"&lt;=629")</f>
        <v>0</v>
      </c>
      <c r="N39" s="13">
        <f>1*SUMIFS($N:$N,$B:$B,"&gt;=609",$B:$B,"&lt;=609")-1*SUMIFS($N:$N,$B:$B,"&gt;=629",$B:$B,"&lt;=629")</f>
        <v>0</v>
      </c>
      <c r="O39" s="13">
        <f>1*SUMIFS($O:$O,$B:$B,"&gt;=609",$B:$B,"&lt;=609")-1*SUMIFS($O:$O,$B:$B,"&gt;=629",$B:$B,"&lt;=629")</f>
        <v>0</v>
      </c>
      <c r="P39" s="13">
        <f>1*SUMIFS($P:$P,$B:$B,"&gt;=609",$B:$B,"&lt;=609")-1*SUMIFS($P:$P,$B:$B,"&gt;=629",$B:$B,"&lt;=629")</f>
        <v>0</v>
      </c>
      <c r="Q39" s="13">
        <f t="shared" si="5"/>
        <v>0</v>
      </c>
    </row>
    <row r="40" spans="1:17" ht="15.75" x14ac:dyDescent="0.25">
      <c r="A40" s="11" t="s">
        <v>121</v>
      </c>
      <c r="B40" s="12">
        <v>650</v>
      </c>
      <c r="C40" s="13">
        <f>1*SUMIFS($C:$C,$B:$B,"&gt;=610",$B:$B,"&lt;=610")-1*SUMIFS($C:$C,$B:$B,"&gt;=630",$B:$B,"&lt;=630")</f>
        <v>0</v>
      </c>
      <c r="D40" s="13">
        <f>1*SUMIFS($D:$D,$B:$B,"&gt;=610",$B:$B,"&lt;=610")-1*SUMIFS($D:$D,$B:$B,"&gt;=630",$B:$B,"&lt;=630")</f>
        <v>0</v>
      </c>
      <c r="E40" s="13">
        <f>1*SUMIFS($E:$E,$B:$B,"&gt;=610",$B:$B,"&lt;=610")-1*SUMIFS($E:$E,$B:$B,"&gt;=630",$B:$B,"&lt;=630")</f>
        <v>0</v>
      </c>
      <c r="F40" s="13">
        <f>1*SUMIFS($F:$F,$B:$B,"&gt;=610",$B:$B,"&lt;=610")-1*SUMIFS($F:$F,$B:$B,"&gt;=630",$B:$B,"&lt;=630")</f>
        <v>0</v>
      </c>
      <c r="G40" s="13">
        <f t="shared" si="4"/>
        <v>0</v>
      </c>
      <c r="M40" s="13">
        <f>1*SUMIFS($M:$M,$B:$B,"&gt;=610",$B:$B,"&lt;=610")-1*SUMIFS($M:$M,$B:$B,"&gt;=630",$B:$B,"&lt;=630")</f>
        <v>0</v>
      </c>
      <c r="N40" s="13">
        <f>1*SUMIFS($N:$N,$B:$B,"&gt;=610",$B:$B,"&lt;=610")-1*SUMIFS($N:$N,$B:$B,"&gt;=630",$B:$B,"&lt;=630")</f>
        <v>0</v>
      </c>
      <c r="O40" s="13">
        <f>1*SUMIFS($O:$O,$B:$B,"&gt;=610",$B:$B,"&lt;=610")-1*SUMIFS($O:$O,$B:$B,"&gt;=630",$B:$B,"&lt;=630")</f>
        <v>0</v>
      </c>
      <c r="P40" s="13">
        <f>1*SUMIFS($P:$P,$B:$B,"&gt;=610",$B:$B,"&lt;=610")-1*SUMIFS($P:$P,$B:$B,"&gt;=630",$B:$B,"&lt;=630")</f>
        <v>0</v>
      </c>
      <c r="Q40" s="13">
        <f t="shared" si="5"/>
        <v>0</v>
      </c>
    </row>
    <row r="41" spans="1:17" ht="15.75" x14ac:dyDescent="0.25">
      <c r="A41" s="11" t="s">
        <v>122</v>
      </c>
      <c r="B41" s="12">
        <v>651</v>
      </c>
      <c r="C41" s="13">
        <f>1*SUMIFS($C:$C,$B:$B,"&gt;=611",$B:$B,"&lt;=611")-1*SUMIFS($C:$C,$B:$B,"&gt;=631",$B:$B,"&lt;=631")</f>
        <v>0</v>
      </c>
      <c r="D41" s="13">
        <f>1*SUMIFS($D:$D,$B:$B,"&gt;=611",$B:$B,"&lt;=611")-1*SUMIFS($D:$D,$B:$B,"&gt;=631",$B:$B,"&lt;=631")</f>
        <v>0</v>
      </c>
      <c r="E41" s="13">
        <f>1*SUMIFS($E:$E,$B:$B,"&gt;=611",$B:$B,"&lt;=611")-1*SUMIFS($E:$E,$B:$B,"&gt;=631",$B:$B,"&lt;=631")</f>
        <v>0</v>
      </c>
      <c r="F41" s="13">
        <f>1*SUMIFS($F:$F,$B:$B,"&gt;=611",$B:$B,"&lt;=611")-1*SUMIFS($F:$F,$B:$B,"&gt;=631",$B:$B,"&lt;=631")</f>
        <v>0</v>
      </c>
      <c r="G41" s="13">
        <f t="shared" si="4"/>
        <v>0</v>
      </c>
      <c r="M41" s="13">
        <f>1*SUMIFS($M:$M,$B:$B,"&gt;=611",$B:$B,"&lt;=611")-1*SUMIFS($M:$M,$B:$B,"&gt;=631",$B:$B,"&lt;=631")</f>
        <v>0</v>
      </c>
      <c r="N41" s="13">
        <f>1*SUMIFS($N:$N,$B:$B,"&gt;=611",$B:$B,"&lt;=611")-1*SUMIFS($N:$N,$B:$B,"&gt;=631",$B:$B,"&lt;=631")</f>
        <v>0</v>
      </c>
      <c r="O41" s="13">
        <f>1*SUMIFS($O:$O,$B:$B,"&gt;=611",$B:$B,"&lt;=611")-1*SUMIFS($O:$O,$B:$B,"&gt;=631",$B:$B,"&lt;=631")</f>
        <v>0</v>
      </c>
      <c r="P41" s="13">
        <f>1*SUMIFS($P:$P,$B:$B,"&gt;=611",$B:$B,"&lt;=611")-1*SUMIFS($P:$P,$B:$B,"&gt;=631",$B:$B,"&lt;=631")</f>
        <v>0</v>
      </c>
      <c r="Q41" s="13">
        <f t="shared" si="5"/>
        <v>0</v>
      </c>
    </row>
    <row r="42" spans="1:17" ht="15.75" x14ac:dyDescent="0.25">
      <c r="A42" s="6" t="s">
        <v>123</v>
      </c>
      <c r="B42" s="7">
        <v>652</v>
      </c>
      <c r="C42" s="26">
        <f>1*SUMIFS($C:$C,$B:$B,"&gt;=641",$B:$B,"&lt;=651")</f>
        <v>1162</v>
      </c>
      <c r="D42" s="26">
        <f>1*SUMIFS($D:$D,$B:$B,"&gt;=641",$B:$B,"&lt;=651")</f>
        <v>0</v>
      </c>
      <c r="E42" s="26">
        <f>1*SUMIFS($E:$E,$B:$B,"&gt;=641",$B:$B,"&lt;=651")</f>
        <v>0</v>
      </c>
      <c r="F42" s="26">
        <f>1*SUMIFS($F:$F,$B:$B,"&gt;=641",$B:$B,"&lt;=651")</f>
        <v>0</v>
      </c>
      <c r="G42" s="26">
        <f t="shared" si="4"/>
        <v>1162</v>
      </c>
      <c r="M42" s="26">
        <f>1*SUMIFS($M:$M,$B:$B,"&gt;=641",$B:$B,"&lt;=651")</f>
        <v>1162</v>
      </c>
      <c r="N42" s="26">
        <f>1*SUMIFS($N:$N,$B:$B,"&gt;=641",$B:$B,"&lt;=651")</f>
        <v>0</v>
      </c>
      <c r="O42" s="26">
        <f>1*SUMIFS($O:$O,$B:$B,"&gt;=641",$B:$B,"&lt;=651")</f>
        <v>0</v>
      </c>
      <c r="P42" s="26">
        <f>1*SUMIFS($P:$P,$B:$B,"&gt;=641",$B:$B,"&lt;=651")</f>
        <v>0</v>
      </c>
      <c r="Q42" s="26">
        <f t="shared" si="5"/>
        <v>1162</v>
      </c>
    </row>
    <row r="43" spans="1:17" ht="15.75" x14ac:dyDescent="0.25">
      <c r="A43" s="3"/>
      <c r="C43" s="4">
        <v>0</v>
      </c>
      <c r="D43" s="4">
        <v>0</v>
      </c>
      <c r="E43" s="4">
        <v>0</v>
      </c>
      <c r="F43" s="4">
        <v>0</v>
      </c>
      <c r="G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F12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45.7109375" customWidth="1"/>
    <col min="2" max="2" width="5.7109375" customWidth="1"/>
    <col min="3" max="7" width="17.7109375" customWidth="1"/>
    <col min="8" max="84" width="0" hidden="1" customWidth="1"/>
  </cols>
  <sheetData>
    <row r="1" spans="1:84" ht="15.75" x14ac:dyDescent="0.25">
      <c r="A1" s="1" t="s">
        <v>0</v>
      </c>
      <c r="B1" s="2" t="s">
        <v>1</v>
      </c>
      <c r="C1" s="2" t="s">
        <v>124</v>
      </c>
      <c r="D1" s="2" t="s">
        <v>125</v>
      </c>
      <c r="E1" s="2" t="s">
        <v>126</v>
      </c>
      <c r="F1" s="2" t="s">
        <v>127</v>
      </c>
      <c r="G1" s="2" t="s">
        <v>128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spans="1:84" ht="15.75" x14ac:dyDescent="0.25">
      <c r="A2" s="3"/>
      <c r="C2" s="4">
        <v>0</v>
      </c>
      <c r="D2" s="4">
        <v>0</v>
      </c>
      <c r="E2" s="4">
        <v>0</v>
      </c>
      <c r="F2" s="4">
        <v>0</v>
      </c>
      <c r="G2" s="4">
        <v>0</v>
      </c>
    </row>
    <row r="3" spans="1:84" ht="15.75" x14ac:dyDescent="0.25">
      <c r="A3" s="3" t="s">
        <v>129</v>
      </c>
      <c r="B3" s="5">
        <v>1211</v>
      </c>
      <c r="C3" s="4">
        <v>0</v>
      </c>
      <c r="D3" s="4">
        <v>0</v>
      </c>
      <c r="E3" s="4">
        <v>0</v>
      </c>
      <c r="F3" s="4">
        <v>0</v>
      </c>
      <c r="G3" s="4">
        <f t="shared" ref="G3:G10" si="0">$C3+$D3-$E3-$F3</f>
        <v>0</v>
      </c>
    </row>
    <row r="4" spans="1:84" ht="15.75" x14ac:dyDescent="0.25">
      <c r="A4" s="3" t="s">
        <v>130</v>
      </c>
      <c r="B4" s="5">
        <v>1212</v>
      </c>
      <c r="C4" s="4">
        <v>0</v>
      </c>
      <c r="D4" s="4">
        <v>0</v>
      </c>
      <c r="E4" s="4">
        <v>0</v>
      </c>
      <c r="F4" s="4">
        <v>0</v>
      </c>
      <c r="G4" s="4">
        <f t="shared" si="0"/>
        <v>0</v>
      </c>
    </row>
    <row r="5" spans="1:84" ht="15.75" x14ac:dyDescent="0.25">
      <c r="A5" s="3" t="s">
        <v>131</v>
      </c>
      <c r="B5" s="5">
        <v>1213</v>
      </c>
      <c r="C5" s="4">
        <v>0</v>
      </c>
      <c r="D5" s="4">
        <v>0</v>
      </c>
      <c r="E5" s="4">
        <v>0</v>
      </c>
      <c r="F5" s="4">
        <v>0</v>
      </c>
      <c r="G5" s="4">
        <f t="shared" si="0"/>
        <v>0</v>
      </c>
    </row>
    <row r="6" spans="1:84" ht="15.75" x14ac:dyDescent="0.25">
      <c r="A6" s="3" t="s">
        <v>132</v>
      </c>
      <c r="B6" s="5">
        <v>1214</v>
      </c>
      <c r="C6" s="4">
        <v>0</v>
      </c>
      <c r="D6" s="4">
        <v>0</v>
      </c>
      <c r="E6" s="4">
        <v>0</v>
      </c>
      <c r="F6" s="4">
        <v>0</v>
      </c>
      <c r="G6" s="4">
        <f t="shared" si="0"/>
        <v>0</v>
      </c>
    </row>
    <row r="7" spans="1:84" ht="15.75" x14ac:dyDescent="0.25">
      <c r="A7" s="3" t="s">
        <v>133</v>
      </c>
      <c r="B7" s="5">
        <v>1215</v>
      </c>
      <c r="C7" s="4">
        <v>0</v>
      </c>
      <c r="D7" s="4">
        <v>0</v>
      </c>
      <c r="E7" s="4">
        <v>0</v>
      </c>
      <c r="F7" s="4">
        <v>0</v>
      </c>
      <c r="G7" s="4">
        <f t="shared" si="0"/>
        <v>0</v>
      </c>
    </row>
    <row r="8" spans="1:84" ht="15.75" x14ac:dyDescent="0.25">
      <c r="A8" s="3" t="s">
        <v>134</v>
      </c>
      <c r="B8" s="5">
        <v>1216</v>
      </c>
      <c r="C8" s="4">
        <v>0</v>
      </c>
      <c r="D8" s="4">
        <v>0</v>
      </c>
      <c r="E8" s="4">
        <v>0</v>
      </c>
      <c r="F8" s="4">
        <v>0</v>
      </c>
      <c r="G8" s="4">
        <f t="shared" si="0"/>
        <v>0</v>
      </c>
    </row>
    <row r="9" spans="1:84" ht="15.75" x14ac:dyDescent="0.25">
      <c r="A9" s="3" t="s">
        <v>135</v>
      </c>
      <c r="B9" s="5">
        <v>1217</v>
      </c>
      <c r="C9" s="4">
        <v>0</v>
      </c>
      <c r="D9" s="4">
        <v>0</v>
      </c>
      <c r="E9" s="4">
        <v>0</v>
      </c>
      <c r="F9" s="4">
        <v>0</v>
      </c>
      <c r="G9" s="4">
        <f t="shared" si="0"/>
        <v>0</v>
      </c>
    </row>
    <row r="10" spans="1:84" ht="15.75" x14ac:dyDescent="0.25">
      <c r="A10" s="11" t="s">
        <v>136</v>
      </c>
      <c r="B10" s="12">
        <v>1219</v>
      </c>
      <c r="C10" s="13">
        <f>1*SUMIFS($C:$C,$B:$B,"&gt;=1211",$B:$B,"&lt;=1218")</f>
        <v>0</v>
      </c>
      <c r="D10" s="13">
        <f>1*SUMIFS($D:$D,$B:$B,"&gt;=1211",$B:$B,"&lt;=1218")</f>
        <v>0</v>
      </c>
      <c r="E10" s="13">
        <f>1*SUMIFS($E:$E,$B:$B,"&gt;=1211",$B:$B,"&lt;=1218")</f>
        <v>0</v>
      </c>
      <c r="F10" s="13">
        <f>1*SUMIFS($F:$F,$B:$B,"&gt;=1211",$B:$B,"&lt;=1218")</f>
        <v>0</v>
      </c>
      <c r="G10" s="13">
        <f t="shared" si="0"/>
        <v>0</v>
      </c>
    </row>
    <row r="11" spans="1:84" ht="15.75" x14ac:dyDescent="0.25">
      <c r="A11" s="3"/>
      <c r="C11" s="4">
        <v>0</v>
      </c>
      <c r="D11" s="4">
        <v>0</v>
      </c>
      <c r="E11" s="4">
        <v>0</v>
      </c>
      <c r="F11" s="4">
        <v>0</v>
      </c>
      <c r="G11" s="4">
        <v>0</v>
      </c>
    </row>
    <row r="12" spans="1:84" ht="15.75" x14ac:dyDescent="0.25">
      <c r="A12" s="3"/>
      <c r="C12" s="4">
        <v>0</v>
      </c>
      <c r="D12" s="4">
        <v>0</v>
      </c>
      <c r="E12" s="4">
        <v>0</v>
      </c>
      <c r="F12" s="4">
        <v>0</v>
      </c>
      <c r="G12" s="4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F21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45.7109375" customWidth="1"/>
    <col min="2" max="2" width="5.7109375" customWidth="1"/>
    <col min="3" max="7" width="17.7109375" customWidth="1"/>
    <col min="8" max="84" width="0" hidden="1" customWidth="1"/>
  </cols>
  <sheetData>
    <row r="1" spans="1:84" ht="15.75" x14ac:dyDescent="0.25">
      <c r="A1" s="1" t="s">
        <v>0</v>
      </c>
      <c r="B1" s="2" t="s">
        <v>1</v>
      </c>
      <c r="C1" s="2" t="s">
        <v>124</v>
      </c>
      <c r="D1" s="2" t="s">
        <v>125</v>
      </c>
      <c r="E1" s="2" t="s">
        <v>126</v>
      </c>
      <c r="F1" s="2" t="s">
        <v>127</v>
      </c>
      <c r="G1" s="2" t="s">
        <v>128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spans="1:84" ht="15.75" x14ac:dyDescent="0.25">
      <c r="A2" s="3"/>
      <c r="C2" s="4">
        <v>0</v>
      </c>
      <c r="D2" s="4">
        <v>0</v>
      </c>
      <c r="E2" s="4">
        <v>0</v>
      </c>
      <c r="F2" s="4">
        <v>0</v>
      </c>
      <c r="G2" s="4">
        <v>0</v>
      </c>
    </row>
    <row r="3" spans="1:84" ht="15.75" x14ac:dyDescent="0.25">
      <c r="A3" s="11" t="s">
        <v>137</v>
      </c>
      <c r="B3" s="12">
        <v>1511</v>
      </c>
      <c r="C3" s="13">
        <f>1*SUMIFS($C:$C,$B:$B,"&gt;=1512",$B:$B,"&lt;=1514")</f>
        <v>0</v>
      </c>
      <c r="D3" s="13">
        <f>1*SUMIFS($D:$D,$B:$B,"&gt;=1512",$B:$B,"&lt;=1514")</f>
        <v>0</v>
      </c>
      <c r="E3" s="13">
        <f>1*SUMIFS($E:$E,$B:$B,"&gt;=1512",$B:$B,"&lt;=1514")</f>
        <v>0</v>
      </c>
      <c r="F3" s="13">
        <f>1*SUMIFS($F:$F,$B:$B,"&gt;=1512",$B:$B,"&lt;=1514")</f>
        <v>0</v>
      </c>
      <c r="G3" s="13">
        <f t="shared" ref="G3:G16" si="0">$C3+$D3-$E3-$F3</f>
        <v>0</v>
      </c>
    </row>
    <row r="4" spans="1:84" ht="15.75" x14ac:dyDescent="0.25">
      <c r="A4" s="3" t="s">
        <v>138</v>
      </c>
      <c r="B4" s="5">
        <v>1512</v>
      </c>
      <c r="C4" s="4">
        <v>0</v>
      </c>
      <c r="D4" s="4">
        <v>0</v>
      </c>
      <c r="E4" s="4">
        <v>0</v>
      </c>
      <c r="F4" s="4">
        <v>0</v>
      </c>
      <c r="G4" s="4">
        <f t="shared" si="0"/>
        <v>0</v>
      </c>
    </row>
    <row r="5" spans="1:84" ht="15.75" x14ac:dyDescent="0.25">
      <c r="A5" s="3" t="s">
        <v>139</v>
      </c>
      <c r="B5" s="5">
        <v>1513</v>
      </c>
      <c r="C5" s="4">
        <v>0</v>
      </c>
      <c r="D5" s="4">
        <v>0</v>
      </c>
      <c r="E5" s="4">
        <v>0</v>
      </c>
      <c r="F5" s="4">
        <v>0</v>
      </c>
      <c r="G5" s="4">
        <f t="shared" si="0"/>
        <v>0</v>
      </c>
    </row>
    <row r="6" spans="1:84" ht="15.75" x14ac:dyDescent="0.25">
      <c r="A6" s="3" t="s">
        <v>140</v>
      </c>
      <c r="B6" s="5">
        <v>1514</v>
      </c>
      <c r="C6" s="4">
        <v>0</v>
      </c>
      <c r="D6" s="4">
        <v>0</v>
      </c>
      <c r="E6" s="4">
        <v>0</v>
      </c>
      <c r="F6" s="4">
        <v>0</v>
      </c>
      <c r="G6" s="4">
        <f t="shared" si="0"/>
        <v>0</v>
      </c>
    </row>
    <row r="7" spans="1:84" ht="15.75" x14ac:dyDescent="0.25">
      <c r="A7" s="3" t="s">
        <v>141</v>
      </c>
      <c r="B7" s="5">
        <v>1515</v>
      </c>
      <c r="C7" s="4">
        <v>0</v>
      </c>
      <c r="D7" s="4">
        <v>0</v>
      </c>
      <c r="E7" s="4">
        <v>0</v>
      </c>
      <c r="F7" s="4">
        <v>0</v>
      </c>
      <c r="G7" s="4">
        <f t="shared" si="0"/>
        <v>0</v>
      </c>
    </row>
    <row r="8" spans="1:84" ht="15.75" x14ac:dyDescent="0.25">
      <c r="A8" s="3" t="s">
        <v>142</v>
      </c>
      <c r="B8" s="5">
        <v>1516</v>
      </c>
      <c r="C8" s="4">
        <v>0</v>
      </c>
      <c r="D8" s="4">
        <v>0</v>
      </c>
      <c r="E8" s="4">
        <v>0</v>
      </c>
      <c r="F8" s="4">
        <v>0</v>
      </c>
      <c r="G8" s="4">
        <f t="shared" si="0"/>
        <v>0</v>
      </c>
    </row>
    <row r="9" spans="1:84" ht="15.75" x14ac:dyDescent="0.25">
      <c r="A9" s="3" t="s">
        <v>143</v>
      </c>
      <c r="B9" s="5">
        <v>1517</v>
      </c>
      <c r="C9" s="4">
        <v>0</v>
      </c>
      <c r="D9" s="4">
        <v>0</v>
      </c>
      <c r="E9" s="4">
        <v>0</v>
      </c>
      <c r="F9" s="4">
        <v>0</v>
      </c>
      <c r="G9" s="4">
        <f t="shared" si="0"/>
        <v>0</v>
      </c>
    </row>
    <row r="10" spans="1:84" ht="15.75" x14ac:dyDescent="0.25">
      <c r="A10" s="3" t="s">
        <v>144</v>
      </c>
      <c r="B10" s="5">
        <v>1518</v>
      </c>
      <c r="C10" s="4">
        <v>0</v>
      </c>
      <c r="D10" s="4">
        <v>0</v>
      </c>
      <c r="E10" s="4">
        <v>0</v>
      </c>
      <c r="F10" s="4">
        <v>0</v>
      </c>
      <c r="G10" s="4">
        <f t="shared" si="0"/>
        <v>0</v>
      </c>
    </row>
    <row r="11" spans="1:84" ht="15.75" x14ac:dyDescent="0.25">
      <c r="A11" s="3" t="s">
        <v>145</v>
      </c>
      <c r="B11" s="5">
        <v>1519</v>
      </c>
      <c r="C11" s="4">
        <v>0</v>
      </c>
      <c r="D11" s="4">
        <v>0</v>
      </c>
      <c r="E11" s="4">
        <v>0</v>
      </c>
      <c r="F11" s="4">
        <v>0</v>
      </c>
      <c r="G11" s="4">
        <f t="shared" si="0"/>
        <v>0</v>
      </c>
    </row>
    <row r="12" spans="1:84" ht="15.75" x14ac:dyDescent="0.25">
      <c r="A12" s="3" t="s">
        <v>146</v>
      </c>
      <c r="B12" s="5">
        <v>1520</v>
      </c>
      <c r="C12" s="4">
        <v>0</v>
      </c>
      <c r="D12" s="4">
        <v>0</v>
      </c>
      <c r="E12" s="4">
        <v>0</v>
      </c>
      <c r="F12" s="4">
        <v>0</v>
      </c>
      <c r="G12" s="4">
        <f t="shared" si="0"/>
        <v>0</v>
      </c>
    </row>
    <row r="13" spans="1:84" ht="15.75" x14ac:dyDescent="0.25">
      <c r="A13" s="3" t="s">
        <v>147</v>
      </c>
      <c r="B13" s="5">
        <v>1521</v>
      </c>
      <c r="C13" s="4">
        <v>0</v>
      </c>
      <c r="D13" s="4">
        <v>0</v>
      </c>
      <c r="E13" s="4">
        <v>0</v>
      </c>
      <c r="F13" s="4">
        <v>0</v>
      </c>
      <c r="G13" s="4">
        <f t="shared" si="0"/>
        <v>0</v>
      </c>
    </row>
    <row r="14" spans="1:84" ht="15.75" x14ac:dyDescent="0.25">
      <c r="A14" s="3" t="s">
        <v>148</v>
      </c>
      <c r="B14" s="5">
        <v>1522</v>
      </c>
      <c r="C14" s="4">
        <v>0</v>
      </c>
      <c r="D14" s="4">
        <v>0</v>
      </c>
      <c r="E14" s="4">
        <v>0</v>
      </c>
      <c r="F14" s="4">
        <v>0</v>
      </c>
      <c r="G14" s="4">
        <f t="shared" si="0"/>
        <v>0</v>
      </c>
    </row>
    <row r="15" spans="1:84" ht="15.75" x14ac:dyDescent="0.25">
      <c r="A15" s="3" t="s">
        <v>149</v>
      </c>
      <c r="B15" s="5">
        <v>1523</v>
      </c>
      <c r="C15" s="4">
        <v>0</v>
      </c>
      <c r="D15" s="4">
        <v>0</v>
      </c>
      <c r="E15" s="4">
        <v>0</v>
      </c>
      <c r="F15" s="4">
        <v>0</v>
      </c>
      <c r="G15" s="4">
        <f t="shared" si="0"/>
        <v>0</v>
      </c>
    </row>
    <row r="16" spans="1:84" ht="15.75" x14ac:dyDescent="0.25">
      <c r="A16" s="6" t="s">
        <v>150</v>
      </c>
      <c r="B16" s="7">
        <v>1529</v>
      </c>
      <c r="C16" s="26">
        <f>1*SUMIFS($C:$C,$B:$B,"&gt;=1511",$B:$B,"&lt;=1511")+1*SUMIFS($C:$C,$B:$B,"&gt;=1515",$B:$B,"&lt;=1528")</f>
        <v>0</v>
      </c>
      <c r="D16" s="26">
        <f>1*SUMIFS($D:$D,$B:$B,"&gt;=1511",$B:$B,"&lt;=1511")+1*SUMIFS($D:$D,$B:$B,"&gt;=1515",$B:$B,"&lt;=1528")</f>
        <v>0</v>
      </c>
      <c r="E16" s="26">
        <f>1*SUMIFS($E:$E,$B:$B,"&gt;=1511",$B:$B,"&lt;=1511")+1*SUMIFS($E:$E,$B:$B,"&gt;=1515",$B:$B,"&lt;=1528")</f>
        <v>0</v>
      </c>
      <c r="F16" s="26">
        <f>1*SUMIFS($F:$F,$B:$B,"&gt;=1511",$B:$B,"&lt;=1511")+1*SUMIFS($F:$F,$B:$B,"&gt;=1515",$B:$B,"&lt;=1528")</f>
        <v>0</v>
      </c>
      <c r="G16" s="26">
        <f t="shared" si="0"/>
        <v>0</v>
      </c>
    </row>
    <row r="17" spans="1:7" ht="15.75" x14ac:dyDescent="0.25">
      <c r="A17" s="3"/>
      <c r="C17" s="4">
        <v>0</v>
      </c>
      <c r="D17" s="4">
        <v>0</v>
      </c>
      <c r="E17" s="4">
        <v>0</v>
      </c>
      <c r="F17" s="4">
        <v>0</v>
      </c>
      <c r="G17" s="4">
        <v>0</v>
      </c>
    </row>
    <row r="18" spans="1:7" ht="15.75" x14ac:dyDescent="0.25">
      <c r="A18" s="3"/>
      <c r="C18" s="4">
        <v>0</v>
      </c>
      <c r="D18" s="4">
        <v>0</v>
      </c>
      <c r="E18" s="4">
        <v>0</v>
      </c>
      <c r="F18" s="4">
        <v>0</v>
      </c>
      <c r="G18" s="4">
        <v>0</v>
      </c>
    </row>
    <row r="19" spans="1:7" ht="15.75" x14ac:dyDescent="0.25">
      <c r="A19" s="3"/>
      <c r="C19" s="4">
        <v>0</v>
      </c>
      <c r="D19" s="4">
        <v>0</v>
      </c>
      <c r="E19" s="4">
        <v>0</v>
      </c>
      <c r="F19" s="4">
        <v>0</v>
      </c>
      <c r="G19" s="4">
        <v>0</v>
      </c>
    </row>
    <row r="20" spans="1:7" ht="15.75" x14ac:dyDescent="0.25">
      <c r="A20" s="3"/>
      <c r="C20" s="4">
        <v>0</v>
      </c>
      <c r="D20" s="4">
        <v>0</v>
      </c>
      <c r="E20" s="4">
        <v>0</v>
      </c>
      <c r="F20" s="4">
        <v>0</v>
      </c>
      <c r="G20" s="4">
        <v>0</v>
      </c>
    </row>
    <row r="21" spans="1:7" ht="15.75" x14ac:dyDescent="0.25">
      <c r="A21" s="3"/>
      <c r="C21" s="4">
        <v>0</v>
      </c>
      <c r="D21" s="4">
        <v>0</v>
      </c>
      <c r="E21" s="4">
        <v>0</v>
      </c>
      <c r="F21" s="4">
        <v>0</v>
      </c>
      <c r="G21" s="4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F29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45.7109375" customWidth="1"/>
    <col min="2" max="2" width="5.7109375" customWidth="1"/>
    <col min="3" max="7" width="17.7109375" customWidth="1"/>
    <col min="8" max="84" width="0" hidden="1" customWidth="1"/>
  </cols>
  <sheetData>
    <row r="1" spans="1:84" ht="15.75" x14ac:dyDescent="0.25">
      <c r="A1" s="1" t="s">
        <v>0</v>
      </c>
      <c r="B1" s="2" t="s">
        <v>1</v>
      </c>
      <c r="C1" s="2" t="s">
        <v>151</v>
      </c>
      <c r="D1" s="2" t="s">
        <v>152</v>
      </c>
      <c r="E1" s="2" t="s">
        <v>153</v>
      </c>
      <c r="F1" s="2" t="s">
        <v>154</v>
      </c>
      <c r="G1" s="2" t="s">
        <v>155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spans="1:84" ht="15.75" x14ac:dyDescent="0.25">
      <c r="A2" s="3" t="s">
        <v>156</v>
      </c>
      <c r="C2" s="4">
        <v>0</v>
      </c>
      <c r="D2" s="4">
        <v>0</v>
      </c>
      <c r="E2" s="4">
        <v>0</v>
      </c>
      <c r="F2" s="4">
        <v>0</v>
      </c>
      <c r="G2" s="4">
        <v>0</v>
      </c>
    </row>
    <row r="3" spans="1:84" ht="15.75" x14ac:dyDescent="0.25">
      <c r="A3" s="11" t="s">
        <v>157</v>
      </c>
      <c r="B3" s="12">
        <v>1611</v>
      </c>
      <c r="C3" s="13">
        <f>1*SUMIFS($C:$C,$B:$B,"&gt;=1612",$B:$B,"&lt;=1614")</f>
        <v>0</v>
      </c>
      <c r="D3" s="13">
        <f>1*SUMIFS($D:$D,$B:$B,"&gt;=1612",$B:$B,"&lt;=1614")</f>
        <v>0</v>
      </c>
      <c r="E3" s="13">
        <f>1*SUMIFS($E:$E,$B:$B,"&gt;=1612",$B:$B,"&lt;=1614")</f>
        <v>0</v>
      </c>
      <c r="F3" s="13">
        <f>1*SUMIFS($F:$F,$B:$B,"&gt;=1612",$B:$B,"&lt;=1614")</f>
        <v>0</v>
      </c>
      <c r="G3" s="13">
        <f t="shared" ref="G3:G14" si="0">$C3+$D3+$E3+$F3</f>
        <v>0</v>
      </c>
    </row>
    <row r="4" spans="1:84" ht="15.75" x14ac:dyDescent="0.25">
      <c r="A4" s="3" t="s">
        <v>158</v>
      </c>
      <c r="B4" s="5">
        <v>1612</v>
      </c>
      <c r="C4" s="4">
        <v>0</v>
      </c>
      <c r="D4" s="4">
        <v>0</v>
      </c>
      <c r="E4" s="4">
        <v>0</v>
      </c>
      <c r="F4" s="4">
        <v>0</v>
      </c>
      <c r="G4" s="4">
        <f t="shared" si="0"/>
        <v>0</v>
      </c>
    </row>
    <row r="5" spans="1:84" ht="15.75" x14ac:dyDescent="0.25">
      <c r="A5" s="3" t="s">
        <v>159</v>
      </c>
      <c r="B5" s="5">
        <v>1613</v>
      </c>
      <c r="C5" s="4">
        <v>0</v>
      </c>
      <c r="D5" s="4">
        <v>0</v>
      </c>
      <c r="E5" s="4">
        <v>0</v>
      </c>
      <c r="F5" s="4">
        <v>0</v>
      </c>
      <c r="G5" s="4">
        <f t="shared" si="0"/>
        <v>0</v>
      </c>
    </row>
    <row r="6" spans="1:84" ht="15.75" x14ac:dyDescent="0.25">
      <c r="A6" s="3" t="s">
        <v>160</v>
      </c>
      <c r="B6" s="5">
        <v>1614</v>
      </c>
      <c r="C6" s="4">
        <v>0</v>
      </c>
      <c r="D6" s="4">
        <v>0</v>
      </c>
      <c r="E6" s="4">
        <v>0</v>
      </c>
      <c r="F6" s="4">
        <v>0</v>
      </c>
      <c r="G6" s="4">
        <f t="shared" si="0"/>
        <v>0</v>
      </c>
    </row>
    <row r="7" spans="1:84" ht="15.75" x14ac:dyDescent="0.25">
      <c r="A7" s="3" t="s">
        <v>161</v>
      </c>
      <c r="B7" s="5">
        <v>1615</v>
      </c>
      <c r="C7" s="4">
        <v>0</v>
      </c>
      <c r="D7" s="4">
        <v>0</v>
      </c>
      <c r="E7" s="4">
        <v>0</v>
      </c>
      <c r="F7" s="4">
        <v>0</v>
      </c>
      <c r="G7" s="4">
        <f t="shared" si="0"/>
        <v>0</v>
      </c>
    </row>
    <row r="8" spans="1:84" ht="15.75" x14ac:dyDescent="0.25">
      <c r="A8" s="3" t="s">
        <v>162</v>
      </c>
      <c r="B8" s="5">
        <v>1616</v>
      </c>
      <c r="C8" s="4">
        <v>0</v>
      </c>
      <c r="D8" s="4">
        <v>0</v>
      </c>
      <c r="E8" s="4">
        <v>0</v>
      </c>
      <c r="F8" s="4">
        <v>0</v>
      </c>
      <c r="G8" s="4">
        <f t="shared" si="0"/>
        <v>0</v>
      </c>
    </row>
    <row r="9" spans="1:84" ht="15.75" x14ac:dyDescent="0.25">
      <c r="A9" s="3" t="s">
        <v>163</v>
      </c>
      <c r="B9" s="5">
        <v>1617</v>
      </c>
      <c r="C9" s="4">
        <v>0</v>
      </c>
      <c r="D9" s="4">
        <v>0</v>
      </c>
      <c r="E9" s="4">
        <v>0</v>
      </c>
      <c r="F9" s="4">
        <v>0</v>
      </c>
      <c r="G9" s="4">
        <f t="shared" si="0"/>
        <v>0</v>
      </c>
    </row>
    <row r="10" spans="1:84" ht="15.75" x14ac:dyDescent="0.25">
      <c r="A10" s="3" t="s">
        <v>164</v>
      </c>
      <c r="B10" s="5">
        <v>1618</v>
      </c>
      <c r="C10" s="4">
        <v>0</v>
      </c>
      <c r="D10" s="4">
        <v>0</v>
      </c>
      <c r="E10" s="4">
        <v>0</v>
      </c>
      <c r="F10" s="4">
        <v>0</v>
      </c>
      <c r="G10" s="4">
        <f t="shared" si="0"/>
        <v>0</v>
      </c>
    </row>
    <row r="11" spans="1:84" ht="15.75" x14ac:dyDescent="0.25">
      <c r="A11" s="3" t="s">
        <v>165</v>
      </c>
      <c r="B11" s="5">
        <v>1619</v>
      </c>
      <c r="C11" s="4">
        <v>0</v>
      </c>
      <c r="D11" s="4">
        <v>0</v>
      </c>
      <c r="E11" s="4">
        <v>0</v>
      </c>
      <c r="F11" s="4">
        <v>0</v>
      </c>
      <c r="G11" s="4">
        <f t="shared" si="0"/>
        <v>0</v>
      </c>
    </row>
    <row r="12" spans="1:84" ht="15.75" x14ac:dyDescent="0.25">
      <c r="A12" s="3" t="s">
        <v>166</v>
      </c>
      <c r="B12" s="5">
        <v>1620</v>
      </c>
      <c r="C12" s="4">
        <v>0</v>
      </c>
      <c r="D12" s="4">
        <v>0</v>
      </c>
      <c r="E12" s="4">
        <v>0</v>
      </c>
      <c r="F12" s="4">
        <v>0</v>
      </c>
      <c r="G12" s="4">
        <f t="shared" si="0"/>
        <v>0</v>
      </c>
    </row>
    <row r="13" spans="1:84" ht="15.75" x14ac:dyDescent="0.25">
      <c r="A13" s="3" t="s">
        <v>167</v>
      </c>
      <c r="B13" s="5">
        <v>1621</v>
      </c>
      <c r="C13" s="4">
        <v>0</v>
      </c>
      <c r="D13" s="4">
        <v>0</v>
      </c>
      <c r="E13" s="4">
        <v>0</v>
      </c>
      <c r="F13" s="4">
        <v>0</v>
      </c>
      <c r="G13" s="4">
        <f t="shared" si="0"/>
        <v>0</v>
      </c>
    </row>
    <row r="14" spans="1:84" ht="15.75" x14ac:dyDescent="0.25">
      <c r="A14" s="6" t="s">
        <v>168</v>
      </c>
      <c r="B14" s="7">
        <v>1629</v>
      </c>
      <c r="C14" s="26">
        <f>1*SUMIFS($C:$C,$B:$B,"&gt;=1611",$B:$B,"&lt;=1611")+1*SUMIFS($C:$C,$B:$B,"&gt;=1615",$B:$B,"&lt;=1628")</f>
        <v>0</v>
      </c>
      <c r="D14" s="26">
        <f>1*SUMIFS($D:$D,$B:$B,"&gt;=1611",$B:$B,"&lt;=1611")+1*SUMIFS($D:$D,$B:$B,"&gt;=1615",$B:$B,"&lt;=1628")</f>
        <v>0</v>
      </c>
      <c r="E14" s="26">
        <f>1*SUMIFS($E:$E,$B:$B,"&gt;=1611",$B:$B,"&lt;=1611")+1*SUMIFS($E:$E,$B:$B,"&gt;=1615",$B:$B,"&lt;=1628")</f>
        <v>0</v>
      </c>
      <c r="F14" s="26">
        <f>1*SUMIFS($F:$F,$B:$B,"&gt;=1611",$B:$B,"&lt;=1611")+1*SUMIFS($F:$F,$B:$B,"&gt;=1615",$B:$B,"&lt;=1628")</f>
        <v>0</v>
      </c>
      <c r="G14" s="26">
        <f t="shared" si="0"/>
        <v>0</v>
      </c>
    </row>
    <row r="15" spans="1:84" ht="15.75" x14ac:dyDescent="0.25">
      <c r="A15" s="3"/>
      <c r="C15" s="4">
        <v>0</v>
      </c>
      <c r="D15" s="4">
        <v>0</v>
      </c>
      <c r="E15" s="4">
        <v>0</v>
      </c>
      <c r="F15" s="4">
        <v>0</v>
      </c>
      <c r="G15" s="4">
        <v>0</v>
      </c>
    </row>
    <row r="16" spans="1:84" ht="15.75" x14ac:dyDescent="0.25">
      <c r="A16" s="3" t="s">
        <v>169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</row>
    <row r="17" spans="1:7" ht="15.75" x14ac:dyDescent="0.25">
      <c r="A17" s="11" t="s">
        <v>170</v>
      </c>
      <c r="B17" s="12">
        <v>1631</v>
      </c>
      <c r="C17" s="13">
        <f>1*SUMIFS($C:$C,$B:$B,"&gt;=1632",$B:$B,"&lt;=1634")</f>
        <v>21123</v>
      </c>
      <c r="D17" s="13">
        <f>1*SUMIFS($D:$D,$B:$B,"&gt;=1632",$B:$B,"&lt;=1634")</f>
        <v>0</v>
      </c>
      <c r="E17" s="13">
        <f>1*SUMIFS($E:$E,$B:$B,"&gt;=1632",$B:$B,"&lt;=1634")</f>
        <v>0</v>
      </c>
      <c r="F17" s="13">
        <f>1*SUMIFS($F:$F,$B:$B,"&gt;=1632",$B:$B,"&lt;=1634")</f>
        <v>0</v>
      </c>
      <c r="G17" s="13">
        <f t="shared" ref="G17:G29" si="1">$C17+$D17+$E17+$F17</f>
        <v>21123</v>
      </c>
    </row>
    <row r="18" spans="1:7" ht="15.75" x14ac:dyDescent="0.25">
      <c r="A18" s="3" t="s">
        <v>171</v>
      </c>
      <c r="B18" s="5">
        <v>1632</v>
      </c>
      <c r="C18" s="4">
        <v>0</v>
      </c>
      <c r="D18" s="4">
        <v>0</v>
      </c>
      <c r="E18" s="4">
        <v>0</v>
      </c>
      <c r="F18" s="4">
        <v>0</v>
      </c>
      <c r="G18" s="4">
        <f t="shared" si="1"/>
        <v>0</v>
      </c>
    </row>
    <row r="19" spans="1:7" ht="15.75" x14ac:dyDescent="0.25">
      <c r="A19" s="3" t="s">
        <v>172</v>
      </c>
      <c r="B19" s="5">
        <v>1633</v>
      </c>
      <c r="C19" s="4">
        <v>0</v>
      </c>
      <c r="D19" s="4">
        <v>0</v>
      </c>
      <c r="E19" s="4">
        <v>0</v>
      </c>
      <c r="F19" s="4">
        <v>0</v>
      </c>
      <c r="G19" s="4">
        <f t="shared" si="1"/>
        <v>0</v>
      </c>
    </row>
    <row r="20" spans="1:7" ht="15.75" x14ac:dyDescent="0.25">
      <c r="A20" s="3" t="s">
        <v>173</v>
      </c>
      <c r="B20" s="5">
        <v>1634</v>
      </c>
      <c r="C20" s="4">
        <v>21123</v>
      </c>
      <c r="D20" s="4">
        <v>0</v>
      </c>
      <c r="E20" s="4">
        <v>0</v>
      </c>
      <c r="F20" s="4">
        <v>0</v>
      </c>
      <c r="G20" s="4">
        <f t="shared" si="1"/>
        <v>21123</v>
      </c>
    </row>
    <row r="21" spans="1:7" ht="15.75" x14ac:dyDescent="0.25">
      <c r="A21" s="3" t="s">
        <v>174</v>
      </c>
      <c r="B21" s="5">
        <v>1635</v>
      </c>
      <c r="C21" s="4">
        <v>0</v>
      </c>
      <c r="D21" s="4">
        <v>0</v>
      </c>
      <c r="E21" s="4">
        <v>0</v>
      </c>
      <c r="F21" s="4">
        <v>0</v>
      </c>
      <c r="G21" s="4">
        <f t="shared" si="1"/>
        <v>0</v>
      </c>
    </row>
    <row r="22" spans="1:7" ht="15.75" x14ac:dyDescent="0.25">
      <c r="A22" s="3" t="s">
        <v>175</v>
      </c>
      <c r="B22" s="5">
        <v>1636</v>
      </c>
      <c r="C22" s="4">
        <v>0</v>
      </c>
      <c r="D22" s="4">
        <v>0</v>
      </c>
      <c r="E22" s="4">
        <v>0</v>
      </c>
      <c r="F22" s="4">
        <v>0</v>
      </c>
      <c r="G22" s="4">
        <f t="shared" si="1"/>
        <v>0</v>
      </c>
    </row>
    <row r="23" spans="1:7" ht="15.75" x14ac:dyDescent="0.25">
      <c r="A23" s="3" t="s">
        <v>176</v>
      </c>
      <c r="B23" s="5">
        <v>1637</v>
      </c>
      <c r="C23" s="4">
        <v>0</v>
      </c>
      <c r="D23" s="4">
        <v>0</v>
      </c>
      <c r="E23" s="4">
        <v>0</v>
      </c>
      <c r="F23" s="4">
        <v>0</v>
      </c>
      <c r="G23" s="4">
        <f t="shared" si="1"/>
        <v>0</v>
      </c>
    </row>
    <row r="24" spans="1:7" ht="15.75" x14ac:dyDescent="0.25">
      <c r="A24" s="3" t="s">
        <v>177</v>
      </c>
      <c r="B24" s="5">
        <v>1638</v>
      </c>
      <c r="C24" s="4">
        <v>0</v>
      </c>
      <c r="D24" s="4">
        <v>0</v>
      </c>
      <c r="E24" s="4">
        <v>0</v>
      </c>
      <c r="F24" s="4">
        <v>0</v>
      </c>
      <c r="G24" s="4">
        <f t="shared" si="1"/>
        <v>0</v>
      </c>
    </row>
    <row r="25" spans="1:7" ht="15.75" x14ac:dyDescent="0.25">
      <c r="A25" s="3" t="s">
        <v>178</v>
      </c>
      <c r="B25" s="5">
        <v>1639</v>
      </c>
      <c r="C25" s="4">
        <v>0</v>
      </c>
      <c r="D25" s="4">
        <v>0</v>
      </c>
      <c r="E25" s="4">
        <v>0</v>
      </c>
      <c r="F25" s="4">
        <v>0</v>
      </c>
      <c r="G25" s="4">
        <f t="shared" si="1"/>
        <v>0</v>
      </c>
    </row>
    <row r="26" spans="1:7" ht="15.75" x14ac:dyDescent="0.25">
      <c r="A26" s="3" t="s">
        <v>179</v>
      </c>
      <c r="B26" s="5">
        <v>1640</v>
      </c>
      <c r="C26" s="4">
        <v>22931</v>
      </c>
      <c r="D26" s="4">
        <v>0</v>
      </c>
      <c r="E26" s="4">
        <v>0</v>
      </c>
      <c r="F26" s="4">
        <v>0</v>
      </c>
      <c r="G26" s="4">
        <f t="shared" si="1"/>
        <v>22931</v>
      </c>
    </row>
    <row r="27" spans="1:7" ht="15.75" x14ac:dyDescent="0.25">
      <c r="A27" s="3" t="s">
        <v>180</v>
      </c>
      <c r="B27" s="5">
        <v>1641</v>
      </c>
      <c r="C27" s="4">
        <v>0</v>
      </c>
      <c r="D27" s="4">
        <v>0</v>
      </c>
      <c r="E27" s="4">
        <v>0</v>
      </c>
      <c r="F27" s="4">
        <v>0</v>
      </c>
      <c r="G27" s="4">
        <f t="shared" si="1"/>
        <v>0</v>
      </c>
    </row>
    <row r="28" spans="1:7" ht="15.75" x14ac:dyDescent="0.25">
      <c r="A28" s="3" t="s">
        <v>181</v>
      </c>
      <c r="B28" s="5">
        <v>1642</v>
      </c>
      <c r="C28" s="4">
        <v>-37658</v>
      </c>
      <c r="D28" s="4">
        <v>0</v>
      </c>
      <c r="E28" s="4">
        <v>0</v>
      </c>
      <c r="F28" s="4">
        <v>0</v>
      </c>
      <c r="G28" s="4">
        <f t="shared" si="1"/>
        <v>-37658</v>
      </c>
    </row>
    <row r="29" spans="1:7" ht="15.75" x14ac:dyDescent="0.25">
      <c r="A29" s="6" t="s">
        <v>182</v>
      </c>
      <c r="B29" s="7">
        <v>1649</v>
      </c>
      <c r="C29" s="26">
        <f>1*SUMIFS($C:$C,$B:$B,"&gt;=1631",$B:$B,"&lt;=1631")+1*SUMIFS($C:$C,$B:$B,"&gt;=1635",$B:$B,"&lt;=1648")</f>
        <v>6396</v>
      </c>
      <c r="D29" s="26">
        <f>1*SUMIFS($D:$D,$B:$B,"&gt;=1631",$B:$B,"&lt;=1631")+1*SUMIFS($D:$D,$B:$B,"&gt;=1635",$B:$B,"&lt;=1648")</f>
        <v>0</v>
      </c>
      <c r="E29" s="26">
        <f>1*SUMIFS($E:$E,$B:$B,"&gt;=1631",$B:$B,"&lt;=1631")+1*SUMIFS($E:$E,$B:$B,"&gt;=1635",$B:$B,"&lt;=1648")</f>
        <v>0</v>
      </c>
      <c r="F29" s="26">
        <f>1*SUMIFS($F:$F,$B:$B,"&gt;=1631",$B:$B,"&lt;=1631")+1*SUMIFS($F:$F,$B:$B,"&gt;=1635",$B:$B,"&lt;=1648")</f>
        <v>0</v>
      </c>
      <c r="G29" s="26">
        <f t="shared" si="1"/>
        <v>6396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F7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45.7109375" customWidth="1"/>
    <col min="2" max="2" width="5.7109375" customWidth="1"/>
    <col min="3" max="4" width="17.7109375" customWidth="1"/>
    <col min="5" max="84" width="0" hidden="1" customWidth="1"/>
  </cols>
  <sheetData>
    <row r="1" spans="1:84" ht="15.75" x14ac:dyDescent="0.25">
      <c r="A1" s="1" t="s">
        <v>0</v>
      </c>
      <c r="B1" s="2" t="s">
        <v>1</v>
      </c>
      <c r="C1" s="2" t="s">
        <v>183</v>
      </c>
      <c r="D1" s="2" t="s">
        <v>184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spans="1:84" ht="15.75" x14ac:dyDescent="0.25">
      <c r="A2" s="3" t="s">
        <v>185</v>
      </c>
      <c r="B2" s="5">
        <v>1711</v>
      </c>
      <c r="C2" s="4">
        <v>42884</v>
      </c>
      <c r="D2" s="4">
        <v>53339</v>
      </c>
    </row>
    <row r="3" spans="1:84" ht="15.75" x14ac:dyDescent="0.25">
      <c r="A3" s="3" t="s">
        <v>186</v>
      </c>
      <c r="B3" s="5">
        <v>1712</v>
      </c>
      <c r="C3" s="4">
        <v>153923</v>
      </c>
      <c r="D3" s="4">
        <v>84521</v>
      </c>
    </row>
    <row r="4" spans="1:84" ht="15.75" x14ac:dyDescent="0.25">
      <c r="A4" s="3" t="s">
        <v>187</v>
      </c>
      <c r="B4" s="5">
        <v>1713</v>
      </c>
      <c r="C4" s="4">
        <v>0</v>
      </c>
      <c r="D4" s="4">
        <v>0</v>
      </c>
    </row>
    <row r="5" spans="1:84" ht="15.75" x14ac:dyDescent="0.25">
      <c r="A5" s="3" t="s">
        <v>188</v>
      </c>
      <c r="B5" s="5">
        <v>1714</v>
      </c>
      <c r="C5" s="4">
        <v>0</v>
      </c>
      <c r="D5" s="4">
        <v>0</v>
      </c>
    </row>
    <row r="6" spans="1:84" ht="15.75" x14ac:dyDescent="0.25">
      <c r="A6" s="11" t="s">
        <v>189</v>
      </c>
      <c r="B6" s="12">
        <v>1719</v>
      </c>
      <c r="C6" s="13">
        <f>1*SUMIFS($C:$C,$B:$B,"&gt;=1711",$B:$B,"&lt;=1718")</f>
        <v>196807</v>
      </c>
      <c r="D6" s="13">
        <f>1*SUMIFS($D:$D,$B:$B,"&gt;=1711",$B:$B,"&lt;=1718")</f>
        <v>137860</v>
      </c>
    </row>
    <row r="7" spans="1:84" ht="15.75" x14ac:dyDescent="0.25">
      <c r="A7" s="3"/>
      <c r="C7" s="4">
        <v>0</v>
      </c>
      <c r="D7" s="4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F13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45.7109375" customWidth="1"/>
    <col min="2" max="2" width="5.7109375" customWidth="1"/>
    <col min="3" max="7" width="17.7109375" customWidth="1"/>
    <col min="8" max="84" width="0" hidden="1" customWidth="1"/>
  </cols>
  <sheetData>
    <row r="1" spans="1:84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spans="1:84" ht="15.75" x14ac:dyDescent="0.25">
      <c r="A2" s="3" t="s">
        <v>190</v>
      </c>
      <c r="B2" s="5">
        <v>1811</v>
      </c>
      <c r="C2" s="4">
        <v>0</v>
      </c>
      <c r="D2" s="4">
        <v>0</v>
      </c>
      <c r="E2" s="4">
        <v>0</v>
      </c>
      <c r="F2" s="4">
        <v>0</v>
      </c>
      <c r="G2" s="4">
        <f t="shared" ref="G2:G13" si="0">$C2+$D2-$E2-$F2</f>
        <v>0</v>
      </c>
    </row>
    <row r="3" spans="1:84" ht="15.75" x14ac:dyDescent="0.25">
      <c r="A3" s="3" t="s">
        <v>191</v>
      </c>
      <c r="B3" s="5">
        <v>1812</v>
      </c>
      <c r="C3" s="4">
        <v>0</v>
      </c>
      <c r="D3" s="4">
        <v>0</v>
      </c>
      <c r="E3" s="4">
        <v>0</v>
      </c>
      <c r="F3" s="4">
        <v>0</v>
      </c>
      <c r="G3" s="4">
        <f t="shared" si="0"/>
        <v>0</v>
      </c>
    </row>
    <row r="4" spans="1:84" ht="15.75" x14ac:dyDescent="0.25">
      <c r="A4" s="3" t="s">
        <v>192</v>
      </c>
      <c r="B4" s="5">
        <v>1813</v>
      </c>
      <c r="C4" s="4">
        <v>0</v>
      </c>
      <c r="D4" s="4">
        <v>0</v>
      </c>
      <c r="E4" s="4">
        <v>0</v>
      </c>
      <c r="F4" s="4">
        <v>0</v>
      </c>
      <c r="G4" s="4">
        <f t="shared" si="0"/>
        <v>0</v>
      </c>
    </row>
    <row r="5" spans="1:84" ht="15.75" x14ac:dyDescent="0.25">
      <c r="A5" s="3" t="s">
        <v>193</v>
      </c>
      <c r="B5" s="5">
        <v>1814</v>
      </c>
      <c r="C5" s="4">
        <v>0</v>
      </c>
      <c r="D5" s="4">
        <v>0</v>
      </c>
      <c r="E5" s="4">
        <v>0</v>
      </c>
      <c r="F5" s="4">
        <v>0</v>
      </c>
      <c r="G5" s="4">
        <f t="shared" si="0"/>
        <v>0</v>
      </c>
    </row>
    <row r="6" spans="1:84" ht="15.75" x14ac:dyDescent="0.25">
      <c r="A6" s="3" t="s">
        <v>194</v>
      </c>
      <c r="B6" s="5">
        <v>1815</v>
      </c>
      <c r="C6" s="4">
        <v>0</v>
      </c>
      <c r="D6" s="4">
        <v>0</v>
      </c>
      <c r="E6" s="4">
        <v>0</v>
      </c>
      <c r="F6" s="4">
        <v>0</v>
      </c>
      <c r="G6" s="4">
        <f t="shared" si="0"/>
        <v>0</v>
      </c>
    </row>
    <row r="7" spans="1:84" ht="15.75" x14ac:dyDescent="0.25">
      <c r="A7" s="3" t="s">
        <v>195</v>
      </c>
      <c r="B7" s="5">
        <v>1816</v>
      </c>
      <c r="C7" s="4">
        <v>0</v>
      </c>
      <c r="D7" s="4">
        <v>0</v>
      </c>
      <c r="E7" s="4">
        <v>0</v>
      </c>
      <c r="F7" s="4">
        <v>0</v>
      </c>
      <c r="G7" s="4">
        <f t="shared" si="0"/>
        <v>0</v>
      </c>
    </row>
    <row r="8" spans="1:84" ht="15.75" x14ac:dyDescent="0.25">
      <c r="A8" s="3" t="s">
        <v>196</v>
      </c>
      <c r="B8" s="5">
        <v>1817</v>
      </c>
      <c r="C8" s="4">
        <v>0</v>
      </c>
      <c r="D8" s="4">
        <v>0</v>
      </c>
      <c r="E8" s="4">
        <v>0</v>
      </c>
      <c r="F8" s="4">
        <v>0</v>
      </c>
      <c r="G8" s="4">
        <f t="shared" si="0"/>
        <v>0</v>
      </c>
    </row>
    <row r="9" spans="1:84" ht="15.75" x14ac:dyDescent="0.25">
      <c r="A9" s="3" t="s">
        <v>197</v>
      </c>
      <c r="B9" s="5">
        <v>1818</v>
      </c>
      <c r="C9" s="4">
        <v>0</v>
      </c>
      <c r="D9" s="4">
        <v>0</v>
      </c>
      <c r="E9" s="4">
        <v>0</v>
      </c>
      <c r="F9" s="4">
        <v>0</v>
      </c>
      <c r="G9" s="4">
        <f t="shared" si="0"/>
        <v>0</v>
      </c>
    </row>
    <row r="10" spans="1:84" ht="15.75" x14ac:dyDescent="0.25">
      <c r="A10" s="3" t="s">
        <v>198</v>
      </c>
      <c r="B10" s="5">
        <v>1819</v>
      </c>
      <c r="C10" s="4">
        <v>0</v>
      </c>
      <c r="D10" s="4">
        <v>0</v>
      </c>
      <c r="E10" s="4">
        <v>0</v>
      </c>
      <c r="F10" s="4">
        <v>0</v>
      </c>
      <c r="G10" s="4">
        <f t="shared" si="0"/>
        <v>0</v>
      </c>
    </row>
    <row r="11" spans="1:84" ht="15.75" x14ac:dyDescent="0.25">
      <c r="A11" s="3" t="s">
        <v>199</v>
      </c>
      <c r="B11" s="5">
        <v>1820</v>
      </c>
      <c r="C11" s="4">
        <v>0</v>
      </c>
      <c r="D11" s="4">
        <v>0</v>
      </c>
      <c r="E11" s="4">
        <v>0</v>
      </c>
      <c r="F11" s="4">
        <v>0</v>
      </c>
      <c r="G11" s="4">
        <f t="shared" si="0"/>
        <v>0</v>
      </c>
    </row>
    <row r="12" spans="1:84" ht="15.75" x14ac:dyDescent="0.25">
      <c r="A12" s="3" t="s">
        <v>200</v>
      </c>
      <c r="B12" s="5">
        <v>1821</v>
      </c>
      <c r="C12" s="4">
        <v>0</v>
      </c>
      <c r="D12" s="4">
        <v>0</v>
      </c>
      <c r="E12" s="4">
        <v>0</v>
      </c>
      <c r="F12" s="4">
        <v>0</v>
      </c>
      <c r="G12" s="4">
        <f t="shared" si="0"/>
        <v>0</v>
      </c>
    </row>
    <row r="13" spans="1:84" ht="15.75" x14ac:dyDescent="0.25">
      <c r="A13" s="11" t="s">
        <v>201</v>
      </c>
      <c r="B13" s="12">
        <v>1829</v>
      </c>
      <c r="C13" s="13">
        <f>1*SUMIFS($C:$C,$B:$B,"&gt;=1811",$B:$B,"&lt;=1828")</f>
        <v>0</v>
      </c>
      <c r="D13" s="13">
        <f>1*SUMIFS($D:$D,$B:$B,"&gt;=1811",$B:$B,"&lt;=1828")</f>
        <v>0</v>
      </c>
      <c r="E13" s="13">
        <f>1*SUMIFS($E:$E,$B:$B,"&gt;=1811",$B:$B,"&lt;=1828")</f>
        <v>0</v>
      </c>
      <c r="F13" s="13">
        <f>1*SUMIFS($F:$F,$B:$B,"&gt;=1811",$B:$B,"&lt;=1828")</f>
        <v>0</v>
      </c>
      <c r="G13" s="13">
        <f t="shared" si="0"/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F13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45.7109375" customWidth="1"/>
    <col min="2" max="2" width="5.7109375" customWidth="1"/>
    <col min="3" max="7" width="17.7109375" customWidth="1"/>
    <col min="8" max="84" width="0" hidden="1" customWidth="1"/>
  </cols>
  <sheetData>
    <row r="1" spans="1:84" ht="15.75" x14ac:dyDescent="0.25">
      <c r="A1" s="1" t="s">
        <v>0</v>
      </c>
      <c r="B1" s="2" t="s">
        <v>1</v>
      </c>
      <c r="C1" s="2" t="s">
        <v>124</v>
      </c>
      <c r="D1" s="2" t="s">
        <v>125</v>
      </c>
      <c r="E1" s="2" t="s">
        <v>126</v>
      </c>
      <c r="F1" s="2" t="s">
        <v>127</v>
      </c>
      <c r="G1" s="2" t="s">
        <v>128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spans="1:84" ht="15.75" x14ac:dyDescent="0.25">
      <c r="A2" s="3" t="s">
        <v>202</v>
      </c>
      <c r="B2" s="5">
        <v>1911</v>
      </c>
      <c r="C2" s="4">
        <v>0</v>
      </c>
      <c r="D2" s="4">
        <v>0</v>
      </c>
      <c r="E2" s="4">
        <v>0</v>
      </c>
      <c r="F2" s="4">
        <v>0</v>
      </c>
      <c r="G2" s="4">
        <f t="shared" ref="G2:G13" si="0">$C2+$D2-$E2-$F2</f>
        <v>0</v>
      </c>
    </row>
    <row r="3" spans="1:84" ht="15.75" x14ac:dyDescent="0.25">
      <c r="A3" s="3" t="s">
        <v>203</v>
      </c>
      <c r="B3" s="5">
        <v>1912</v>
      </c>
      <c r="C3" s="4">
        <v>0</v>
      </c>
      <c r="D3" s="4">
        <v>0</v>
      </c>
      <c r="E3" s="4">
        <v>0</v>
      </c>
      <c r="F3" s="4">
        <v>0</v>
      </c>
      <c r="G3" s="4">
        <f t="shared" si="0"/>
        <v>0</v>
      </c>
    </row>
    <row r="4" spans="1:84" ht="15.75" x14ac:dyDescent="0.25">
      <c r="A4" s="3" t="s">
        <v>204</v>
      </c>
      <c r="B4" s="5">
        <v>1913</v>
      </c>
      <c r="C4" s="4">
        <v>0</v>
      </c>
      <c r="D4" s="4">
        <v>0</v>
      </c>
      <c r="E4" s="4">
        <v>0</v>
      </c>
      <c r="F4" s="4">
        <v>0</v>
      </c>
      <c r="G4" s="4">
        <f t="shared" si="0"/>
        <v>0</v>
      </c>
    </row>
    <row r="5" spans="1:84" ht="15.75" x14ac:dyDescent="0.25">
      <c r="A5" s="3" t="s">
        <v>205</v>
      </c>
      <c r="B5" s="5">
        <v>1914</v>
      </c>
      <c r="C5" s="4">
        <v>0</v>
      </c>
      <c r="D5" s="4">
        <v>0</v>
      </c>
      <c r="E5" s="4">
        <v>0</v>
      </c>
      <c r="F5" s="4">
        <v>0</v>
      </c>
      <c r="G5" s="4">
        <f t="shared" si="0"/>
        <v>0</v>
      </c>
    </row>
    <row r="6" spans="1:84" ht="15.75" x14ac:dyDescent="0.25">
      <c r="A6" s="3" t="s">
        <v>206</v>
      </c>
      <c r="B6" s="5">
        <v>1915</v>
      </c>
      <c r="C6" s="4">
        <v>0</v>
      </c>
      <c r="D6" s="4">
        <v>0</v>
      </c>
      <c r="E6" s="4">
        <v>0</v>
      </c>
      <c r="F6" s="4">
        <v>0</v>
      </c>
      <c r="G6" s="4">
        <f t="shared" si="0"/>
        <v>0</v>
      </c>
    </row>
    <row r="7" spans="1:84" ht="15.75" x14ac:dyDescent="0.25">
      <c r="A7" s="3" t="s">
        <v>205</v>
      </c>
      <c r="B7" s="5">
        <v>1916</v>
      </c>
      <c r="C7" s="4">
        <v>0</v>
      </c>
      <c r="D7" s="4">
        <v>0</v>
      </c>
      <c r="E7" s="4">
        <v>0</v>
      </c>
      <c r="F7" s="4">
        <v>0</v>
      </c>
      <c r="G7" s="4">
        <f t="shared" si="0"/>
        <v>0</v>
      </c>
    </row>
    <row r="8" spans="1:84" ht="15.75" x14ac:dyDescent="0.25">
      <c r="A8" s="3" t="s">
        <v>207</v>
      </c>
      <c r="B8" s="5">
        <v>1917</v>
      </c>
      <c r="C8" s="4">
        <v>0</v>
      </c>
      <c r="D8" s="4">
        <v>0</v>
      </c>
      <c r="E8" s="4">
        <v>0</v>
      </c>
      <c r="F8" s="4">
        <v>0</v>
      </c>
      <c r="G8" s="4">
        <f t="shared" si="0"/>
        <v>0</v>
      </c>
    </row>
    <row r="9" spans="1:84" ht="15.75" x14ac:dyDescent="0.25">
      <c r="A9" s="3" t="s">
        <v>208</v>
      </c>
      <c r="B9" s="5">
        <v>1918</v>
      </c>
      <c r="C9" s="4">
        <v>0</v>
      </c>
      <c r="D9" s="4">
        <v>0</v>
      </c>
      <c r="E9" s="4">
        <v>0</v>
      </c>
      <c r="F9" s="4">
        <v>0</v>
      </c>
      <c r="G9" s="4">
        <f t="shared" si="0"/>
        <v>0</v>
      </c>
    </row>
    <row r="10" spans="1:84" ht="15.75" x14ac:dyDescent="0.25">
      <c r="A10" s="3" t="s">
        <v>198</v>
      </c>
      <c r="B10" s="5">
        <v>1919</v>
      </c>
      <c r="C10" s="4">
        <v>0</v>
      </c>
      <c r="D10" s="4">
        <v>0</v>
      </c>
      <c r="E10" s="4">
        <v>0</v>
      </c>
      <c r="F10" s="4">
        <v>0</v>
      </c>
      <c r="G10" s="4">
        <f t="shared" si="0"/>
        <v>0</v>
      </c>
    </row>
    <row r="11" spans="1:84" ht="15.75" x14ac:dyDescent="0.25">
      <c r="A11" s="3" t="s">
        <v>209</v>
      </c>
      <c r="B11" s="5">
        <v>1920</v>
      </c>
      <c r="C11" s="4">
        <v>0</v>
      </c>
      <c r="D11" s="4">
        <v>0</v>
      </c>
      <c r="E11" s="4">
        <v>0</v>
      </c>
      <c r="F11" s="4">
        <v>0</v>
      </c>
      <c r="G11" s="4">
        <f t="shared" si="0"/>
        <v>0</v>
      </c>
    </row>
    <row r="12" spans="1:84" ht="15.75" x14ac:dyDescent="0.25">
      <c r="A12" s="3" t="s">
        <v>210</v>
      </c>
      <c r="B12" s="5">
        <v>1921</v>
      </c>
      <c r="C12" s="4">
        <v>0</v>
      </c>
      <c r="D12" s="4">
        <v>0</v>
      </c>
      <c r="E12" s="4">
        <v>0</v>
      </c>
      <c r="F12" s="4">
        <v>0</v>
      </c>
      <c r="G12" s="4">
        <f t="shared" si="0"/>
        <v>0</v>
      </c>
    </row>
    <row r="13" spans="1:84" ht="15.75" x14ac:dyDescent="0.25">
      <c r="A13" s="11" t="s">
        <v>211</v>
      </c>
      <c r="B13" s="12">
        <v>1929</v>
      </c>
      <c r="C13" s="13">
        <f>1*SUMIFS($C:$C,$B:$B,"&gt;=1911",$B:$B,"&lt;=1928")</f>
        <v>0</v>
      </c>
      <c r="D13" s="13">
        <f>1*SUMIFS($D:$D,$B:$B,"&gt;=1911",$B:$B,"&lt;=1928")</f>
        <v>0</v>
      </c>
      <c r="E13" s="13">
        <f>1*SUMIFS($E:$E,$B:$B,"&gt;=1911",$B:$B,"&lt;=1928")</f>
        <v>0</v>
      </c>
      <c r="F13" s="13">
        <f>1*SUMIFS($F:$F,$B:$B,"&gt;=1911",$B:$B,"&lt;=1928")</f>
        <v>0</v>
      </c>
      <c r="G13" s="13">
        <f t="shared" si="0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21</vt:i4>
      </vt:variant>
    </vt:vector>
  </HeadingPairs>
  <TitlesOfParts>
    <vt:vector size="21" baseType="lpstr">
      <vt:lpstr>(2)Dlhodoby nehmotny majetok</vt:lpstr>
      <vt:lpstr>(4)Dlhodoby hmotny majetok</vt:lpstr>
      <vt:lpstr>(6)Dlhodoby financny majetok</vt:lpstr>
      <vt:lpstr>(12)Opravne polozky k zasobam</vt:lpstr>
      <vt:lpstr>(15)Opravne polozky k pohladavk</vt:lpstr>
      <vt:lpstr>(16)Vekova struktura pohladavok</vt:lpstr>
      <vt:lpstr>(17)Kratkodoby financny majetok</vt:lpstr>
      <vt:lpstr>(18)Kratkodoby financny majetok</vt:lpstr>
      <vt:lpstr>(19)Opravne polozky ku kratkodo</vt:lpstr>
      <vt:lpstr>(22)Vyznamne polozky cas.rozlis</vt:lpstr>
      <vt:lpstr>(25)Rezervy</vt:lpstr>
      <vt:lpstr>(26)Vekova struktura zavazkov</vt:lpstr>
      <vt:lpstr>(28)Zavazky zo socialneho fondu</vt:lpstr>
      <vt:lpstr>(30)Bankove uvery, pozicky, fin</vt:lpstr>
      <vt:lpstr>(31)Vyznamne polozky cas.rozlis</vt:lpstr>
      <vt:lpstr>(33)Cisty obrat podla typov vyr</vt:lpstr>
      <vt:lpstr>(36)Zmena stavu vnutroorganizac</vt:lpstr>
      <vt:lpstr>(37)Vynosy</vt:lpstr>
      <vt:lpstr>(39)Naklady</vt:lpstr>
      <vt:lpstr>(41)Informacie o daniach z prij</vt:lpstr>
      <vt:lpstr>(47)Zmeny vlastneho imania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Agnes</dc:creator>
  <cp:lastModifiedBy>Balint sro</cp:lastModifiedBy>
  <dcterms:created xsi:type="dcterms:W3CDTF">2025-03-13T13:40:28Z</dcterms:created>
  <dcterms:modified xsi:type="dcterms:W3CDTF">2025-03-13T13:40:29Z</dcterms:modified>
</cp:coreProperties>
</file>