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filterPrivacy="1" codeName="ThisWorkbook" defaultThemeVersion="124226"/>
  <xr:revisionPtr revIDLastSave="0" documentId="13_ncr:1_{C49CA0D5-AB08-4C42-8160-0E0A3C0D132B}" xr6:coauthVersionLast="45" xr6:coauthVersionMax="45" xr10:uidLastSave="{00000000-0000-0000-0000-000000000000}"/>
  <bookViews>
    <workbookView xWindow="-110" yWindow="-110" windowWidth="19420" windowHeight="11500" tabRatio="962" activeTab="2" xr2:uid="{00000000-000D-0000-FFFF-FFFF00000000}"/>
  </bookViews>
  <sheets>
    <sheet name="VYSVETLIVKY" sheetId="51" r:id="rId1"/>
    <sheet name="Info" sheetId="72" r:id="rId2"/>
    <sheet name="text" sheetId="76" r:id="rId3"/>
    <sheet name="1" sheetId="1" r:id="rId4"/>
    <sheet name="2" sheetId="5" r:id="rId5"/>
    <sheet name="4" sheetId="7" r:id="rId6"/>
    <sheet name="11" sheetId="14" r:id="rId7"/>
    <sheet name="14" sheetId="17" r:id="rId8"/>
    <sheet name="15" sheetId="18" r:id="rId9"/>
    <sheet name="17" sheetId="20" r:id="rId10"/>
    <sheet name="22" sheetId="26" r:id="rId11"/>
    <sheet name="23" sheetId="27" r:id="rId12"/>
    <sheet name="24" sheetId="28" r:id="rId13"/>
    <sheet name="25" sheetId="29" r:id="rId14"/>
    <sheet name="26" sheetId="30" r:id="rId15"/>
    <sheet name="32" sheetId="38" r:id="rId16"/>
    <sheet name="33" sheetId="40" r:id="rId17"/>
    <sheet name="34" sheetId="41" r:id="rId18"/>
    <sheet name="36" sheetId="43" r:id="rId19"/>
    <sheet name="37" sheetId="50" r:id="rId20"/>
    <sheet name="Hárok1" sheetId="60" r:id="rId21"/>
    <sheet name="HK" sheetId="64" r:id="rId22"/>
    <sheet name="HKSU" sheetId="73" r:id="rId23"/>
    <sheet name="HKM" sheetId="65" r:id="rId24"/>
    <sheet name="HKSUM" sheetId="74" r:id="rId25"/>
    <sheet name="VZaS" sheetId="66" r:id="rId26"/>
    <sheet name="VZaSM" sheetId="67" r:id="rId27"/>
    <sheet name="SUA" sheetId="68" r:id="rId28"/>
    <sheet name="SUP" sheetId="69" r:id="rId29"/>
    <sheet name="SUAM" sheetId="70" r:id="rId30"/>
    <sheet name="SUPM" sheetId="71" r:id="rId31"/>
  </sheets>
  <definedNames>
    <definedName name="_xlnm.Print_Area" localSheetId="3">'1'!$A$1:$C$8</definedName>
    <definedName name="_xlnm.Print_Area" localSheetId="6">'11'!$A$1:$F$15</definedName>
    <definedName name="_xlnm.Print_Area" localSheetId="7">'14'!$A$1:$F$12</definedName>
    <definedName name="_xlnm.Print_Area" localSheetId="8">'15'!$A$1:$D$22</definedName>
    <definedName name="_xlnm.Print_Area" localSheetId="9">'17'!$A$1:$C$11</definedName>
    <definedName name="_xlnm.Print_Area" localSheetId="4">'2'!$A$1:$I$54</definedName>
    <definedName name="_xlnm.Print_Area" localSheetId="10">'22'!$A$1:$B$29</definedName>
    <definedName name="_xlnm.Print_Area" localSheetId="11">'23'!$A$1:$F$39</definedName>
    <definedName name="_xlnm.Print_Area" localSheetId="12">'24'!$A$1:$C$11</definedName>
    <definedName name="_xlnm.Print_Area" localSheetId="13">'25'!$A$1:$C$22</definedName>
    <definedName name="_xlnm.Print_Area" localSheetId="14">'26'!$A$1:$C$12</definedName>
    <definedName name="_xlnm.Print_Area" localSheetId="15">'32'!$A$1:$F$15</definedName>
    <definedName name="_xlnm.Print_Area" localSheetId="16">'33'!$A$1:$C$12</definedName>
    <definedName name="_xlnm.Print_Area" localSheetId="17">'34'!$A$1:$C$27</definedName>
    <definedName name="_xlnm.Print_Area" localSheetId="18">'36'!$A$1:$G$15</definedName>
    <definedName name="_xlnm.Print_Area" localSheetId="19">'37'!$A$1:$F$48</definedName>
    <definedName name="_xlnm.Print_Area" localSheetId="5">'4'!$A$1:$J$55</definedName>
    <definedName name="_xlnm.Print_Area" localSheetId="20">Hárok1!$A$1:$G$48</definedName>
    <definedName name="_xlnm.Print_Area" localSheetId="21">HK!$A$1:$C$10</definedName>
    <definedName name="_xlnm.Print_Area" localSheetId="23">HKM!$A$1:$C$10</definedName>
    <definedName name="_xlnm.Print_Area" localSheetId="22">HKSU!$A$1:$C$10</definedName>
    <definedName name="_xlnm.Print_Area" localSheetId="24">HKSUM!$A$1:$C$10</definedName>
    <definedName name="_xlnm.Print_Area" localSheetId="1">Info!$A$1:$F$33</definedName>
    <definedName name="_xlnm.Print_Area" localSheetId="27">SUA!$A$1:$B$10</definedName>
    <definedName name="_xlnm.Print_Area" localSheetId="29">SUAM!$A$1:$B$9</definedName>
    <definedName name="_xlnm.Print_Area" localSheetId="28">SUP!$B$1:$B$10</definedName>
    <definedName name="_xlnm.Print_Area" localSheetId="30">SUPM!$B$1:$B$10</definedName>
    <definedName name="_xlnm.Print_Area" localSheetId="25">VZaS!$B$1:$B$10</definedName>
    <definedName name="_xlnm.Print_Area" localSheetId="26">VZaSM!$B$1:$B$10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7" i="27" l="1"/>
  <c r="C37" i="27"/>
  <c r="B37" i="27"/>
  <c r="D18" i="27"/>
  <c r="C18" i="27"/>
  <c r="B18" i="27"/>
  <c r="A1" i="41" l="1"/>
  <c r="C5" i="41" l="1"/>
  <c r="B5" i="41"/>
  <c r="A26" i="50" l="1"/>
  <c r="A21" i="27"/>
  <c r="A29" i="7" l="1"/>
  <c r="A29" i="5"/>
  <c r="A1" i="50" l="1"/>
  <c r="A1" i="43"/>
  <c r="A1" i="40"/>
  <c r="A1" i="38"/>
  <c r="A1" i="30"/>
  <c r="A1" i="29"/>
  <c r="A1" i="28"/>
  <c r="A1" i="27"/>
  <c r="A1" i="26"/>
  <c r="A1" i="20"/>
  <c r="A1" i="18"/>
  <c r="A1" i="17"/>
  <c r="A1" i="14"/>
  <c r="A1" i="7"/>
  <c r="A1" i="5"/>
  <c r="A1" i="1"/>
  <c r="B41" i="51"/>
  <c r="C2" i="1" s="1"/>
  <c r="B40" i="51"/>
  <c r="F26" i="50" l="1"/>
  <c r="F21" i="27"/>
  <c r="J29" i="7"/>
  <c r="I29" i="5"/>
  <c r="F27" i="50"/>
  <c r="F22" i="27"/>
  <c r="I30" i="5"/>
  <c r="J30" i="7"/>
  <c r="I1" i="5"/>
  <c r="J1" i="7"/>
  <c r="F1" i="14"/>
  <c r="F1" i="17"/>
  <c r="D1" i="18"/>
  <c r="C1" i="20"/>
  <c r="B1" i="26"/>
  <c r="F1" i="27"/>
  <c r="C1" i="28"/>
  <c r="C1" i="29"/>
  <c r="C1" i="30"/>
  <c r="F1" i="38"/>
  <c r="C1" i="40"/>
  <c r="C1" i="41"/>
  <c r="G1" i="43"/>
  <c r="F1" i="50"/>
  <c r="C1" i="1"/>
  <c r="I2" i="5"/>
  <c r="J2" i="7"/>
  <c r="F2" i="14"/>
  <c r="F2" i="17"/>
  <c r="D2" i="18"/>
  <c r="C2" i="20"/>
  <c r="B2" i="26"/>
  <c r="F2" i="27"/>
  <c r="C2" i="28"/>
  <c r="C2" i="29"/>
  <c r="C2" i="30"/>
  <c r="F2" i="38"/>
  <c r="C2" i="40"/>
  <c r="C2" i="41"/>
  <c r="G2" i="43"/>
  <c r="F2" i="50"/>
  <c r="F13" i="43"/>
  <c r="F12" i="43"/>
  <c r="C13" i="43"/>
  <c r="C12" i="43"/>
  <c r="E6" i="43"/>
  <c r="B6" i="43"/>
  <c r="F14" i="38"/>
  <c r="E14" i="38"/>
  <c r="B22" i="50" l="1"/>
  <c r="F22" i="50"/>
  <c r="B45" i="50"/>
  <c r="F45" i="50"/>
  <c r="D20" i="18" l="1"/>
  <c r="D19" i="18"/>
  <c r="D18" i="18"/>
  <c r="D17" i="18"/>
  <c r="D16" i="18"/>
  <c r="D15" i="18" l="1"/>
  <c r="D14" i="18"/>
  <c r="D11" i="18"/>
  <c r="D10" i="18"/>
  <c r="D9" i="18"/>
  <c r="D8" i="18"/>
  <c r="D7" i="18"/>
  <c r="C18" i="29" l="1"/>
  <c r="B18" i="29"/>
  <c r="C14" i="29"/>
  <c r="B14" i="29"/>
  <c r="B20" i="26"/>
  <c r="B6" i="26"/>
  <c r="F6" i="17" l="1"/>
  <c r="B6" i="17"/>
  <c r="C8" i="20" l="1"/>
  <c r="B8" i="20"/>
  <c r="C7" i="20"/>
  <c r="B7" i="20"/>
  <c r="C6" i="20"/>
  <c r="B6" i="20"/>
  <c r="F10" i="17" l="1"/>
  <c r="B10" i="17"/>
  <c r="F9" i="17"/>
  <c r="B9" i="17"/>
  <c r="F8" i="17"/>
  <c r="B8" i="17"/>
  <c r="F7" i="17"/>
  <c r="B7" i="17"/>
  <c r="D10" i="17" l="1"/>
  <c r="D6" i="17"/>
  <c r="C6" i="17"/>
  <c r="E11" i="17"/>
  <c r="C10" i="17"/>
  <c r="D14" i="27"/>
  <c r="C14" i="27"/>
  <c r="B11" i="17"/>
  <c r="D36" i="27"/>
  <c r="D35" i="27"/>
  <c r="D34" i="27"/>
  <c r="D33" i="27"/>
  <c r="D32" i="27"/>
  <c r="C36" i="27"/>
  <c r="C35" i="27"/>
  <c r="C34" i="27"/>
  <c r="C33" i="27"/>
  <c r="C32" i="27"/>
  <c r="B36" i="27"/>
  <c r="B35" i="27"/>
  <c r="B34" i="27"/>
  <c r="B33" i="27"/>
  <c r="B32" i="27"/>
  <c r="D17" i="27"/>
  <c r="D16" i="27"/>
  <c r="D15" i="27"/>
  <c r="D13" i="27"/>
  <c r="C17" i="27"/>
  <c r="C16" i="27"/>
  <c r="C15" i="27"/>
  <c r="C13" i="27"/>
  <c r="B17" i="27"/>
  <c r="F17" i="27" s="1"/>
  <c r="B16" i="27"/>
  <c r="B15" i="27"/>
  <c r="B14" i="27"/>
  <c r="B13" i="27"/>
  <c r="F36" i="27" l="1"/>
  <c r="F16" i="27"/>
  <c r="F35" i="27"/>
  <c r="F18" i="27"/>
  <c r="F33" i="27"/>
  <c r="F37" i="27"/>
  <c r="F15" i="27"/>
  <c r="F34" i="27"/>
  <c r="C11" i="17"/>
  <c r="D11" i="17"/>
  <c r="F14" i="27"/>
  <c r="H22" i="7"/>
  <c r="H21" i="7"/>
  <c r="G16" i="7"/>
  <c r="G15" i="7"/>
  <c r="F16" i="7"/>
  <c r="F15" i="7"/>
  <c r="E16" i="7"/>
  <c r="E15" i="7"/>
  <c r="D16" i="7"/>
  <c r="D15" i="7"/>
  <c r="C16" i="7"/>
  <c r="C15" i="7"/>
  <c r="I10" i="7"/>
  <c r="I9" i="7"/>
  <c r="H10" i="7"/>
  <c r="H9" i="7"/>
  <c r="G10" i="7"/>
  <c r="G9" i="7"/>
  <c r="F10" i="7"/>
  <c r="F9" i="7"/>
  <c r="E10" i="7"/>
  <c r="E9" i="7"/>
  <c r="D10" i="7"/>
  <c r="D9" i="7"/>
  <c r="C10" i="7"/>
  <c r="C9" i="7"/>
  <c r="B10" i="7"/>
  <c r="B9" i="7"/>
  <c r="J50" i="7" l="1"/>
  <c r="J44" i="7"/>
  <c r="C45" i="7"/>
  <c r="D45" i="7"/>
  <c r="E45" i="7"/>
  <c r="F45" i="7"/>
  <c r="G45" i="7"/>
  <c r="J23" i="7"/>
  <c r="J17" i="7"/>
  <c r="I23" i="5"/>
  <c r="I17" i="5"/>
  <c r="C7" i="27" l="1"/>
  <c r="D7" i="27"/>
  <c r="H49" i="7"/>
  <c r="G43" i="7"/>
  <c r="F43" i="7"/>
  <c r="E43" i="7"/>
  <c r="D43" i="7"/>
  <c r="C43" i="7"/>
  <c r="H48" i="7"/>
  <c r="G42" i="7"/>
  <c r="F42" i="7"/>
  <c r="E42" i="7"/>
  <c r="D42" i="7"/>
  <c r="C42" i="7"/>
  <c r="I37" i="7"/>
  <c r="H37" i="7"/>
  <c r="G37" i="7"/>
  <c r="F37" i="7"/>
  <c r="E37" i="7"/>
  <c r="D37" i="7"/>
  <c r="C37" i="7"/>
  <c r="B37" i="7"/>
  <c r="I36" i="7"/>
  <c r="H36" i="7"/>
  <c r="G36" i="7"/>
  <c r="F36" i="7"/>
  <c r="E36" i="7"/>
  <c r="D36" i="7"/>
  <c r="C36" i="7"/>
  <c r="B36" i="7"/>
  <c r="B35" i="7"/>
  <c r="G48" i="5"/>
  <c r="G49" i="5"/>
  <c r="F44" i="5"/>
  <c r="E44" i="5"/>
  <c r="D44" i="5"/>
  <c r="C44" i="5"/>
  <c r="B44" i="5"/>
  <c r="F43" i="5"/>
  <c r="E43" i="5"/>
  <c r="D43" i="5"/>
  <c r="C43" i="5"/>
  <c r="B43" i="5"/>
  <c r="H38" i="5"/>
  <c r="G38" i="5"/>
  <c r="F38" i="5"/>
  <c r="E38" i="5"/>
  <c r="D38" i="5"/>
  <c r="C38" i="5"/>
  <c r="B38" i="5"/>
  <c r="H37" i="5"/>
  <c r="G37" i="5"/>
  <c r="F37" i="5"/>
  <c r="E37" i="5"/>
  <c r="D37" i="5"/>
  <c r="C37" i="5"/>
  <c r="B37" i="5"/>
  <c r="B36" i="5"/>
  <c r="G21" i="5"/>
  <c r="G22" i="5"/>
  <c r="F16" i="5"/>
  <c r="E16" i="5"/>
  <c r="E15" i="5"/>
  <c r="D16" i="5"/>
  <c r="C16" i="5"/>
  <c r="B16" i="5"/>
  <c r="F15" i="5"/>
  <c r="D15" i="5"/>
  <c r="C15" i="5"/>
  <c r="B15" i="5"/>
  <c r="B9" i="5"/>
  <c r="C9" i="5"/>
  <c r="H10" i="5"/>
  <c r="G10" i="5"/>
  <c r="F10" i="5"/>
  <c r="E10" i="5"/>
  <c r="D10" i="5"/>
  <c r="C10" i="5"/>
  <c r="B10" i="5"/>
  <c r="H9" i="5"/>
  <c r="G9" i="5"/>
  <c r="F9" i="5"/>
  <c r="E9" i="5"/>
  <c r="D9" i="5"/>
  <c r="D47" i="50" l="1"/>
  <c r="D46" i="50"/>
  <c r="D44" i="50"/>
  <c r="D43" i="50"/>
  <c r="D42" i="50"/>
  <c r="D41" i="50"/>
  <c r="D40" i="50"/>
  <c r="D39" i="50"/>
  <c r="D38" i="50"/>
  <c r="D37" i="50"/>
  <c r="D36" i="50"/>
  <c r="D35" i="50"/>
  <c r="D34" i="50"/>
  <c r="D33" i="50"/>
  <c r="D32" i="50"/>
  <c r="D31" i="50"/>
  <c r="D30" i="50"/>
  <c r="C47" i="50"/>
  <c r="C46" i="50"/>
  <c r="C44" i="50"/>
  <c r="C43" i="50"/>
  <c r="C42" i="50"/>
  <c r="C41" i="50"/>
  <c r="C40" i="50"/>
  <c r="C39" i="50"/>
  <c r="C38" i="50"/>
  <c r="C37" i="50"/>
  <c r="C36" i="50"/>
  <c r="C35" i="50"/>
  <c r="C34" i="50"/>
  <c r="C33" i="50"/>
  <c r="C32" i="50"/>
  <c r="C31" i="50"/>
  <c r="C30" i="50"/>
  <c r="D7" i="50"/>
  <c r="C7" i="50"/>
  <c r="D24" i="50"/>
  <c r="D23" i="50"/>
  <c r="D21" i="50"/>
  <c r="D20" i="50"/>
  <c r="D19" i="50"/>
  <c r="D18" i="50"/>
  <c r="D17" i="50"/>
  <c r="D16" i="50"/>
  <c r="D15" i="50"/>
  <c r="D14" i="50"/>
  <c r="D13" i="50"/>
  <c r="D12" i="50"/>
  <c r="D11" i="50"/>
  <c r="D10" i="50"/>
  <c r="D8" i="50"/>
  <c r="D9" i="50"/>
  <c r="C24" i="50"/>
  <c r="C23" i="50"/>
  <c r="C21" i="50"/>
  <c r="C20" i="50"/>
  <c r="C19" i="50"/>
  <c r="C18" i="50"/>
  <c r="C17" i="50"/>
  <c r="C16" i="50"/>
  <c r="C15" i="50"/>
  <c r="C14" i="50"/>
  <c r="C13" i="50"/>
  <c r="C12" i="50"/>
  <c r="C11" i="50"/>
  <c r="C10" i="50"/>
  <c r="C9" i="50"/>
  <c r="C8" i="50"/>
  <c r="B7" i="50"/>
  <c r="B9" i="50"/>
  <c r="C10" i="30"/>
  <c r="B10" i="30"/>
  <c r="C6" i="30"/>
  <c r="C9" i="30" s="1"/>
  <c r="B6" i="30"/>
  <c r="B9" i="30" s="1"/>
  <c r="B8" i="5"/>
  <c r="D11" i="14" l="1"/>
  <c r="C11" i="14"/>
  <c r="B11" i="14"/>
  <c r="J48" i="7" l="1"/>
  <c r="J49" i="7"/>
  <c r="J42" i="7"/>
  <c r="J43" i="7"/>
  <c r="J36" i="7"/>
  <c r="J37" i="7"/>
  <c r="J38" i="7"/>
  <c r="J21" i="7"/>
  <c r="J22" i="7"/>
  <c r="J15" i="7"/>
  <c r="J16" i="7"/>
  <c r="J9" i="7"/>
  <c r="J10" i="7"/>
  <c r="J11" i="7"/>
  <c r="B39" i="50" l="1"/>
  <c r="B38" i="50"/>
  <c r="B35" i="50"/>
  <c r="B15" i="50"/>
  <c r="B12" i="50"/>
  <c r="F7" i="38" l="1"/>
  <c r="E7" i="38"/>
  <c r="C7" i="38"/>
  <c r="C11" i="30" l="1"/>
  <c r="F33" i="50"/>
  <c r="F31" i="50"/>
  <c r="B33" i="50"/>
  <c r="B31" i="50"/>
  <c r="H24" i="7"/>
  <c r="I20" i="7"/>
  <c r="I24" i="7"/>
  <c r="G36" i="5"/>
  <c r="C36" i="5"/>
  <c r="E14" i="5"/>
  <c r="E12" i="5"/>
  <c r="C12" i="5"/>
  <c r="E8" i="5"/>
  <c r="F11" i="17" l="1"/>
  <c r="B14" i="5"/>
  <c r="C9" i="20" l="1"/>
  <c r="F42" i="50" l="1"/>
  <c r="F32" i="27" l="1"/>
  <c r="B9" i="20"/>
  <c r="I51" i="7"/>
  <c r="H50" i="5"/>
  <c r="H20" i="5"/>
  <c r="H24" i="5"/>
  <c r="B42" i="50" l="1"/>
  <c r="C8" i="40"/>
  <c r="C7" i="40"/>
  <c r="C6" i="40"/>
  <c r="C5" i="40"/>
  <c r="B8" i="40"/>
  <c r="B7" i="40"/>
  <c r="B6" i="40"/>
  <c r="B5" i="40"/>
  <c r="F12" i="38"/>
  <c r="F11" i="38"/>
  <c r="F10" i="38"/>
  <c r="E12" i="38"/>
  <c r="E11" i="38"/>
  <c r="E10" i="38"/>
  <c r="F8" i="38"/>
  <c r="E8" i="38"/>
  <c r="D8" i="38"/>
  <c r="C8" i="38"/>
  <c r="B8" i="38"/>
  <c r="B7" i="38"/>
  <c r="F6" i="38"/>
  <c r="E6" i="38"/>
  <c r="D6" i="38"/>
  <c r="C6" i="38"/>
  <c r="B6" i="38"/>
  <c r="B11" i="30"/>
  <c r="C5" i="30"/>
  <c r="B5" i="30"/>
  <c r="F26" i="27"/>
  <c r="B26" i="27"/>
  <c r="F13" i="27"/>
  <c r="F7" i="27"/>
  <c r="B7" i="27"/>
  <c r="F47" i="50"/>
  <c r="F46" i="50"/>
  <c r="F44" i="50"/>
  <c r="F43" i="50"/>
  <c r="F41" i="50"/>
  <c r="F40" i="50"/>
  <c r="F39" i="50"/>
  <c r="F38" i="50"/>
  <c r="F37" i="50"/>
  <c r="F36" i="50"/>
  <c r="F35" i="50"/>
  <c r="F34" i="50"/>
  <c r="F32" i="50"/>
  <c r="F30" i="50"/>
  <c r="B47" i="50"/>
  <c r="B46" i="50"/>
  <c r="B44" i="50"/>
  <c r="B43" i="50"/>
  <c r="B41" i="50"/>
  <c r="B40" i="50"/>
  <c r="B37" i="50"/>
  <c r="B36" i="50"/>
  <c r="B34" i="50"/>
  <c r="B32" i="50"/>
  <c r="B30" i="50"/>
  <c r="F10" i="50"/>
  <c r="F8" i="50"/>
  <c r="B10" i="50"/>
  <c r="B8" i="50"/>
  <c r="F24" i="50"/>
  <c r="F23" i="50"/>
  <c r="F21" i="50"/>
  <c r="F20" i="50"/>
  <c r="F19" i="50"/>
  <c r="F18" i="50"/>
  <c r="F17" i="50"/>
  <c r="F16" i="50"/>
  <c r="F15" i="50"/>
  <c r="F14" i="50"/>
  <c r="F13" i="50"/>
  <c r="F12" i="50"/>
  <c r="F11" i="50"/>
  <c r="F9" i="50"/>
  <c r="F7" i="50"/>
  <c r="B24" i="50"/>
  <c r="B23" i="50"/>
  <c r="B21" i="50"/>
  <c r="B20" i="50"/>
  <c r="B19" i="50"/>
  <c r="B18" i="50"/>
  <c r="B17" i="50"/>
  <c r="B16" i="50"/>
  <c r="B14" i="50"/>
  <c r="B13" i="50"/>
  <c r="B11" i="50"/>
  <c r="F11" i="14"/>
  <c r="F10" i="14"/>
  <c r="F9" i="14"/>
  <c r="F8" i="14"/>
  <c r="F7" i="14"/>
  <c r="B10" i="14"/>
  <c r="B9" i="14"/>
  <c r="B8" i="14"/>
  <c r="B7" i="14"/>
  <c r="H51" i="7"/>
  <c r="H47" i="7"/>
  <c r="J47" i="7" s="1"/>
  <c r="G41" i="7"/>
  <c r="F41" i="7"/>
  <c r="E41" i="7"/>
  <c r="D41" i="7"/>
  <c r="C41" i="7"/>
  <c r="I39" i="7"/>
  <c r="H39" i="7"/>
  <c r="G39" i="7"/>
  <c r="F39" i="7"/>
  <c r="E39" i="7"/>
  <c r="D39" i="7"/>
  <c r="C39" i="7"/>
  <c r="B39" i="7"/>
  <c r="I35" i="7"/>
  <c r="H35" i="7"/>
  <c r="G35" i="7"/>
  <c r="F35" i="7"/>
  <c r="E35" i="7"/>
  <c r="D35" i="7"/>
  <c r="C35" i="7"/>
  <c r="H20" i="7"/>
  <c r="J20" i="7" s="1"/>
  <c r="J24" i="7" s="1"/>
  <c r="G18" i="7"/>
  <c r="F18" i="7"/>
  <c r="E18" i="7"/>
  <c r="D18" i="7"/>
  <c r="C18" i="7"/>
  <c r="G14" i="7"/>
  <c r="F14" i="7"/>
  <c r="E14" i="7"/>
  <c r="D14" i="7"/>
  <c r="C14" i="7"/>
  <c r="I12" i="7"/>
  <c r="H12" i="7"/>
  <c r="G12" i="7"/>
  <c r="F12" i="7"/>
  <c r="E12" i="7"/>
  <c r="D12" i="7"/>
  <c r="C12" i="7"/>
  <c r="B12" i="7"/>
  <c r="I8" i="7"/>
  <c r="H8" i="7"/>
  <c r="G8" i="7"/>
  <c r="F8" i="7"/>
  <c r="E8" i="7"/>
  <c r="D8" i="7"/>
  <c r="C8" i="7"/>
  <c r="B8" i="7"/>
  <c r="J8" i="7" l="1"/>
  <c r="J12" i="7" s="1"/>
  <c r="J14" i="7"/>
  <c r="J18" i="7" s="1"/>
  <c r="J41" i="7"/>
  <c r="J45" i="7" s="1"/>
  <c r="J35" i="7"/>
  <c r="G50" i="5"/>
  <c r="G47" i="5"/>
  <c r="F45" i="5"/>
  <c r="E45" i="5"/>
  <c r="D45" i="5"/>
  <c r="C45" i="5"/>
  <c r="B45" i="5"/>
  <c r="F42" i="5"/>
  <c r="E42" i="5"/>
  <c r="D42" i="5"/>
  <c r="C42" i="5"/>
  <c r="B42" i="5"/>
  <c r="H40" i="5"/>
  <c r="G40" i="5"/>
  <c r="F40" i="5"/>
  <c r="E40" i="5"/>
  <c r="D40" i="5"/>
  <c r="C40" i="5"/>
  <c r="B40" i="5"/>
  <c r="H36" i="5"/>
  <c r="F36" i="5"/>
  <c r="E36" i="5"/>
  <c r="D36" i="5"/>
  <c r="G24" i="5"/>
  <c r="G20" i="5"/>
  <c r="F18" i="5"/>
  <c r="E18" i="5"/>
  <c r="D18" i="5"/>
  <c r="C18" i="5"/>
  <c r="B18" i="5"/>
  <c r="F14" i="5"/>
  <c r="D14" i="5"/>
  <c r="C14" i="5"/>
  <c r="H12" i="5"/>
  <c r="G12" i="5"/>
  <c r="F12" i="5"/>
  <c r="D12" i="5"/>
  <c r="B12" i="5"/>
  <c r="H8" i="5"/>
  <c r="G8" i="5"/>
  <c r="F8" i="5"/>
  <c r="D8" i="5"/>
  <c r="C8" i="5"/>
  <c r="J27" i="7" l="1"/>
  <c r="J26" i="7"/>
  <c r="D7" i="38"/>
  <c r="E26" i="27" l="1"/>
  <c r="D26" i="27"/>
  <c r="C26" i="27"/>
  <c r="E32" i="27"/>
  <c r="E13" i="27"/>
  <c r="I49" i="5"/>
  <c r="I48" i="5"/>
  <c r="I47" i="5"/>
  <c r="I44" i="5"/>
  <c r="I43" i="5"/>
  <c r="I42" i="5"/>
  <c r="I39" i="5"/>
  <c r="I38" i="5"/>
  <c r="I37" i="5"/>
  <c r="I36" i="5"/>
  <c r="I50" i="5" l="1"/>
  <c r="I40" i="5"/>
  <c r="I45" i="5"/>
  <c r="I53" i="7" l="1"/>
  <c r="H53" i="7"/>
  <c r="G53" i="7"/>
  <c r="F53" i="7"/>
  <c r="E53" i="7"/>
  <c r="D53" i="7"/>
  <c r="C53" i="7"/>
  <c r="B53" i="7"/>
  <c r="I22" i="5"/>
  <c r="I21" i="5"/>
  <c r="I20" i="5"/>
  <c r="I16" i="5"/>
  <c r="I15" i="5"/>
  <c r="I14" i="5"/>
  <c r="I11" i="5"/>
  <c r="I10" i="5"/>
  <c r="I9" i="5"/>
  <c r="I8" i="5"/>
  <c r="F31" i="27"/>
  <c r="F30" i="27"/>
  <c r="F29" i="27"/>
  <c r="F28" i="27"/>
  <c r="F27" i="27"/>
  <c r="F12" i="27"/>
  <c r="F11" i="27"/>
  <c r="F10" i="27"/>
  <c r="F9" i="27"/>
  <c r="F8" i="27"/>
  <c r="E7" i="27"/>
  <c r="I24" i="5" l="1"/>
  <c r="I18" i="5"/>
  <c r="I12" i="5"/>
  <c r="C54" i="7"/>
  <c r="G54" i="7"/>
  <c r="I26" i="5"/>
  <c r="B54" i="7"/>
  <c r="F54" i="7"/>
  <c r="J39" i="7"/>
  <c r="J51" i="7"/>
  <c r="E54" i="7"/>
  <c r="I54" i="7"/>
  <c r="D54" i="7"/>
  <c r="H54" i="7"/>
  <c r="J53" i="7"/>
  <c r="I52" i="5"/>
  <c r="I53" i="5" l="1"/>
  <c r="I27" i="5"/>
  <c r="J54" i="7"/>
  <c r="C11" i="40"/>
  <c r="B11" i="40"/>
  <c r="B28" i="26"/>
  <c r="B16" i="26"/>
  <c r="C10" i="20"/>
  <c r="B10" i="20"/>
  <c r="C21" i="18"/>
  <c r="B21" i="18"/>
  <c r="C12" i="18"/>
  <c r="B12" i="18"/>
  <c r="F12" i="14"/>
  <c r="F13" i="14"/>
  <c r="C14" i="14"/>
  <c r="D14" i="14"/>
  <c r="E14" i="14"/>
  <c r="B14" i="14"/>
  <c r="F14" i="14" l="1"/>
  <c r="D12" i="18"/>
  <c r="D21" i="18"/>
</calcChain>
</file>

<file path=xl/sharedStrings.xml><?xml version="1.0" encoding="utf-8"?>
<sst xmlns="http://schemas.openxmlformats.org/spreadsheetml/2006/main" count="3108" uniqueCount="1531">
  <si>
    <t>1.  Informácie k časti A. písm. c) prílohy č. 3 o počte zamestnancov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</si>
  <si>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</si>
  <si>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</si>
  <si>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</si>
  <si>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</si>
  <si>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 toho:</t>
  </si>
  <si>
    <t>počet vedúcich zamestnancov</t>
  </si>
  <si>
    <t>Tabuľka č. 1</t>
  </si>
  <si>
    <t>Spolu</t>
  </si>
  <si>
    <t>Tabuľka č. 2</t>
  </si>
  <si>
    <t>x</t>
  </si>
  <si>
    <t>Dlhodobý nehmotný majetok</t>
  </si>
  <si>
    <t>Softvér</t>
  </si>
  <si>
    <t>Goodwill</t>
  </si>
  <si>
    <t>Ostatný DNM</t>
  </si>
  <si>
    <t>Poskytnuté preddavky na DNM</t>
  </si>
  <si>
    <t>Prvotné ocenenie</t>
  </si>
  <si>
    <t>Stav na začiatku účtovného obdobia</t>
  </si>
  <si>
    <t>Prírastky</t>
  </si>
  <si>
    <t>Úbytky</t>
  </si>
  <si>
    <t>Presuny</t>
  </si>
  <si>
    <t>Stav na konci účtovného obdobia</t>
  </si>
  <si>
    <t>Oprávky</t>
  </si>
  <si>
    <t>Stav na začiatku účtovného obdobia</t>
  </si>
  <si>
    <t>Opravné položky</t>
  </si>
  <si>
    <t>Zostatková hodnota </t>
  </si>
  <si>
    <t>Dlhodobý hmotný majetok</t>
  </si>
  <si>
    <t>Pozemky</t>
  </si>
  <si>
    <t>Stavby</t>
  </si>
  <si>
    <t>Samostatné hnuteľné veci a súbory hnuteľných vecí</t>
  </si>
  <si>
    <t>Základné stádo a ťažné zvieratá</t>
  </si>
  <si>
    <t>Ostatný DHM</t>
  </si>
  <si>
    <t>Poskytnuté preddavky na DHM</t>
  </si>
  <si>
    <t>Hodnota</t>
  </si>
  <si>
    <t>Zásoby</t>
  </si>
  <si>
    <t>Stav  OP na začiatku účtovného obdobia</t>
  </si>
  <si>
    <t>Stav OP na konci účtovného obdobia</t>
  </si>
  <si>
    <t>Materiál</t>
  </si>
  <si>
    <t>Výrobky</t>
  </si>
  <si>
    <t xml:space="preserve">Zvieratá </t>
  </si>
  <si>
    <t>Tovar</t>
  </si>
  <si>
    <t>Nehnuteľnosť na predaj</t>
  </si>
  <si>
    <t>Zásoby spolu</t>
  </si>
  <si>
    <t>Nedokončená výroba a polotovary vlastnej výroby</t>
  </si>
  <si>
    <t>Pohľadávky</t>
  </si>
  <si>
    <t>Stav OP na začiatku účtovného obdobia</t>
  </si>
  <si>
    <t>Tvorba</t>
  </si>
  <si>
    <t xml:space="preserve">Pohľadávky z obchodného styku </t>
  </si>
  <si>
    <t>Pohľadávky voči dcérskej účtovnej jednotke a materskej účtovnej jednotke</t>
  </si>
  <si>
    <t>Pohľadávky voči spoločníkom, členom a združeniu</t>
  </si>
  <si>
    <t>Iné pohľadávky</t>
  </si>
  <si>
    <t>Pohľadávky spolu</t>
  </si>
  <si>
    <t>Názov položky</t>
  </si>
  <si>
    <t>V lehote splatnosti</t>
  </si>
  <si>
    <t>Po lehote splatnosti</t>
  </si>
  <si>
    <t>Dlhodobé pohľadávky</t>
  </si>
  <si>
    <t>Pohľadávky  z obchodného styku</t>
  </si>
  <si>
    <t>Ostatné pohľadávky v rámci konsolidovaného celku</t>
  </si>
  <si>
    <t>Dlhodobé pohľadávky spolu</t>
  </si>
  <si>
    <t>Krátkodobé pohľadávky</t>
  </si>
  <si>
    <t>Pohľadávky z obchodného styku</t>
  </si>
  <si>
    <t>Sociálne poistenie</t>
  </si>
  <si>
    <t>Daňové pohľadávky a dotácie</t>
  </si>
  <si>
    <t>Krátkodobé pohľadávky spolu</t>
  </si>
  <si>
    <t xml:space="preserve">Tabuľka č. 1 </t>
  </si>
  <si>
    <t>Pokladnica, ceniny</t>
  </si>
  <si>
    <t>Bežné bankové účty</t>
  </si>
  <si>
    <t>Bankové účty termínované</t>
  </si>
  <si>
    <t>Peniaze na ceste</t>
  </si>
  <si>
    <t xml:space="preserve">Účtovný zisk </t>
  </si>
  <si>
    <t>Rozdelenie účtovného zisku</t>
  </si>
  <si>
    <t>Prídel do zákonného rezervného fondu</t>
  </si>
  <si>
    <t>Prídel do štatutárnych a ostatných fondov</t>
  </si>
  <si>
    <t>Prídel do sociálneho fondu</t>
  </si>
  <si>
    <t>Prídel na zvýšenie základného imania</t>
  </si>
  <si>
    <t>Úhrada straty minulých období</t>
  </si>
  <si>
    <t>Prevod do nerozdeleného zisku minulých rokov</t>
  </si>
  <si>
    <t>Rozdelenie podielu na zisku spoločníkom, členom</t>
  </si>
  <si>
    <t xml:space="preserve">Iné </t>
  </si>
  <si>
    <t>Účtovná strata</t>
  </si>
  <si>
    <t>Vysporiadanie účtovnej straty</t>
  </si>
  <si>
    <t>Zo zákonného rezervného fondu</t>
  </si>
  <si>
    <t>Zo štatutárnych a ostatných fondov</t>
  </si>
  <si>
    <t>Z nerozdeleného zisku minulých rokov</t>
  </si>
  <si>
    <t>Úhrada straty spoločníkmi</t>
  </si>
  <si>
    <t>Prevod do neuhradenej straty minulých rokov</t>
  </si>
  <si>
    <t xml:space="preserve">Spolu </t>
  </si>
  <si>
    <t>Použitie</t>
  </si>
  <si>
    <t>Zrušenie</t>
  </si>
  <si>
    <t>Dlhodobé rezervy, z toho:</t>
  </si>
  <si>
    <t>Krátkodobé rezervy, z toho:</t>
  </si>
  <si>
    <t>Záväzky po lehote splatnosti</t>
  </si>
  <si>
    <t>Krátkodobé záväzky spolu</t>
  </si>
  <si>
    <t>Záväzky so zostatkovou dobou splatnosti jeden rok až päť rokov</t>
  </si>
  <si>
    <t>Záväzky so zostatkovou dobou splatnosti nad päť rokov</t>
  </si>
  <si>
    <t>Dlhodobé záväzky spolu</t>
  </si>
  <si>
    <t>Dočasné rozdiely medzi účtovnou hodnotou majetku a daňovou základňou, z toho:</t>
  </si>
  <si>
    <t>odpočítateľné</t>
  </si>
  <si>
    <t>zdaniteľné</t>
  </si>
  <si>
    <t>Dočasné rozdiely medzi účtovnou hodnotou záväzkov a daňovou základňou, z toho:</t>
  </si>
  <si>
    <t>Možnosť umorovať daňovú stratu v budúcnosti</t>
  </si>
  <si>
    <t>Možnosť previesť nevyužité daňové odpočty</t>
  </si>
  <si>
    <t>Sadzba dane z príjmov ( v %)</t>
  </si>
  <si>
    <t>Odložená daňová pohľadávka</t>
  </si>
  <si>
    <t>Uplatnená daňová pohľadávka</t>
  </si>
  <si>
    <t>Zaúčtovaná  ako zníženie nákladov</t>
  </si>
  <si>
    <t>Zaúčtovaná do vlastného imania</t>
  </si>
  <si>
    <t>Odložený daňový záväzok</t>
  </si>
  <si>
    <t>Zmena odloženého daňového záväzku</t>
  </si>
  <si>
    <t>Zaúčtovaná ako náklad</t>
  </si>
  <si>
    <t>Začiatočný stav sociálneho fondu</t>
  </si>
  <si>
    <t>Tvorba sociálneho fondu na ťarchu nákladov</t>
  </si>
  <si>
    <t>Tvorba sociálneho fondu zo zisku</t>
  </si>
  <si>
    <t>Ostatná tvorba sociálneho fondu</t>
  </si>
  <si>
    <t>Tvorba sociálneho fondu spolu</t>
  </si>
  <si>
    <t xml:space="preserve">Čerpanie sociálneho fondu </t>
  </si>
  <si>
    <t>Konečný zostatok sociálneho fondu</t>
  </si>
  <si>
    <t>Zmena stavu vnútroorganizačných zásob</t>
  </si>
  <si>
    <t>Konečný zostatok</t>
  </si>
  <si>
    <t>Začiatočný stav</t>
  </si>
  <si>
    <t>Zvieratá</t>
  </si>
  <si>
    <t>Manká a škody</t>
  </si>
  <si>
    <t>Reprezentačné</t>
  </si>
  <si>
    <t>Dary</t>
  </si>
  <si>
    <t>Iné</t>
  </si>
  <si>
    <t>Zmena stavu vnútroorga-nizačných zásob vo výkaze ziskov a strát</t>
  </si>
  <si>
    <t>Tržby za vlastné výrobky</t>
  </si>
  <si>
    <t>Tržby z predaja služieb</t>
  </si>
  <si>
    <t>Tržby za tovar</t>
  </si>
  <si>
    <t>Výnosy zo zákazky</t>
  </si>
  <si>
    <t>Výnosy z nehnuteľnosti na predaj</t>
  </si>
  <si>
    <t>Iné výnosy súvisiace s bežnou činnosťou</t>
  </si>
  <si>
    <t>Čistý obrat celkom</t>
  </si>
  <si>
    <t>náklady za overenie individuálnej účtovnej závierky</t>
  </si>
  <si>
    <t>iné uisťovacie audítorské služby</t>
  </si>
  <si>
    <t>súvisiace audítorské služby</t>
  </si>
  <si>
    <t>daňové poradenstvo</t>
  </si>
  <si>
    <t>ostatné neaudítorské služby</t>
  </si>
  <si>
    <t>Základ dane</t>
  </si>
  <si>
    <t>Daň</t>
  </si>
  <si>
    <t>Daň v %</t>
  </si>
  <si>
    <t>Výsledok hospodárenia pred  zdanením, z toho:</t>
  </si>
  <si>
    <t xml:space="preserve">teoretická daň </t>
  </si>
  <si>
    <t>Daňovo neuznané náklady</t>
  </si>
  <si>
    <t>Výnosy nepodliehajúce dani</t>
  </si>
  <si>
    <t>Umorenie daňovej straty</t>
  </si>
  <si>
    <t>Splatná daň z príjmov</t>
  </si>
  <si>
    <t>Odložená daň z príjmov</t>
  </si>
  <si>
    <t xml:space="preserve">Celková daň z príjmov </t>
  </si>
  <si>
    <t>Kód druhu obchodu</t>
  </si>
  <si>
    <t>Stav na konci účtovného obdobia</t>
  </si>
  <si>
    <t>Základné imanie</t>
  </si>
  <si>
    <t>Vlastné akcie a vlastné obchodné podiely</t>
  </si>
  <si>
    <t>Emisné ážio</t>
  </si>
  <si>
    <t>Ostatné kapitálové fondy</t>
  </si>
  <si>
    <t>Zákonný rezervný fond (nedeliteľný fond) z kapitálových vkladov</t>
  </si>
  <si>
    <t>Oceňovacie rozdiely z kapitálových účastín</t>
  </si>
  <si>
    <t>Zákonný rezervný fond</t>
  </si>
  <si>
    <t>Nedeliteľný fond</t>
  </si>
  <si>
    <t>Štatutárne fondy a ostatné fondy</t>
  </si>
  <si>
    <t>Nerozdelený zisk minulých rokov</t>
  </si>
  <si>
    <t>Ostatné položky vlastného imania</t>
  </si>
  <si>
    <t>Vysvetlivky:</t>
  </si>
  <si>
    <t>(1) Identifikačné číslo organizácie (IČO) sa vyplňuje podľa Registra organizácií vedeného Štatistickým</t>
  </si>
  <si>
    <t>úradom Slovenskej republiky.</t>
  </si>
  <si>
    <t>(2) Daňové identifikačné číslo (DIČ) sa vyplňuje, ak ho má účtovná jednotka pridelené.</t>
  </si>
  <si>
    <t>(3) Kód SK NACE sa vypĺňa podľa vyhlášky Štatistického úradu Slovenskej republiky č. 306/2007</t>
  </si>
  <si>
    <t>Z. z., ktorou sa vydáva Štatistická klasifikácia ekonomických činností.</t>
  </si>
  <si>
    <t>(4) V bodoch č. 3, 5 a 7 sa prvotným ocenením majetku rozumie jeho ocenenie podľa § 25 zákona.</t>
  </si>
  <si>
    <t>(5) V bodoch č. 2, 9, 22, 25, 29, 30, 31, 32, 35, 37, 39, 46, 48 a 49 sa obsahová náplň tabuliek</t>
  </si>
  <si>
    <t>a počet riadkov v nich uvádzajú podľa potrieb účtovnej jednotky.</t>
  </si>
  <si>
    <t>(6) V bode č. 46 sa kód druhu obchodu vyplňuje takto:</t>
  </si>
  <si>
    <t>Druh obchodu</t>
  </si>
  <si>
    <t>kúpa</t>
  </si>
  <si>
    <t>predaj</t>
  </si>
  <si>
    <t>poskytnutie služby</t>
  </si>
  <si>
    <t>obchodné zastúpenie</t>
  </si>
  <si>
    <t>licencia</t>
  </si>
  <si>
    <t>transfer</t>
  </si>
  <si>
    <t>know-how</t>
  </si>
  <si>
    <t>úver, pôžička</t>
  </si>
  <si>
    <t>výpomoc</t>
  </si>
  <si>
    <t>záruka</t>
  </si>
  <si>
    <t>iný obchod</t>
  </si>
  <si>
    <t>Použité skratky:</t>
  </si>
  <si>
    <t>kons. – konsolidovaný</t>
  </si>
  <si>
    <t>CP – cenný papier</t>
  </si>
  <si>
    <t>DFM – dlhodobý finančný majetok</t>
  </si>
  <si>
    <t>DHM – dlhodobý hmotný majetok</t>
  </si>
  <si>
    <t>DIČ – daňové identifikačné číslo</t>
  </si>
  <si>
    <t>DNM – dlhodobý nehmotný majetok</t>
  </si>
  <si>
    <t>DÚJ – dcérska účtovná jednotka</t>
  </si>
  <si>
    <t>IČO – identifikačné číslo organizácie</t>
  </si>
  <si>
    <t>OP – opravná položka</t>
  </si>
  <si>
    <t>PSČ – poštové smerovacie číslo</t>
  </si>
  <si>
    <t>ÚJ – účtovná jednotka</t>
  </si>
  <si>
    <t>VI – vlastné imanie</t>
  </si>
  <si>
    <t>ZI – základné imanie</t>
  </si>
  <si>
    <t>Aktivované náklady na vývoj</t>
  </si>
  <si>
    <t>Oceniteľné práva</t>
  </si>
  <si>
    <t>Obstarávaný DNM</t>
  </si>
  <si>
    <t>Pestovateľské celky 
trvalých porastov</t>
  </si>
  <si>
    <t>Obstarávaný DHM</t>
  </si>
  <si>
    <t>Tvorba OP</t>
  </si>
  <si>
    <t>Tvorba 
OP</t>
  </si>
  <si>
    <t>Zúčtovanie OP z dôvodu vyradenia majetku 
z účtovníctva</t>
  </si>
  <si>
    <t>Poskytnuté preddavky 
na zásoby</t>
  </si>
  <si>
    <t>Zúčtovanie OP z dôvodu zániku opodstat-
nenosti</t>
  </si>
  <si>
    <t>Položka vlastného imania</t>
  </si>
  <si>
    <t>Zmena základného imania</t>
  </si>
  <si>
    <t>Pohľadávky za upísané vlastné imanie</t>
  </si>
  <si>
    <t>Oceňovacie rozdiely z precenenia pri zlúčení, splynutí a rozdelení</t>
  </si>
  <si>
    <t>Neuhradená strata minulých rokov</t>
  </si>
  <si>
    <t>Výsledok hospodárenia bežného účtovného obdobia</t>
  </si>
  <si>
    <t>Účet 491 – Vlastné imanie fyzickej osoby – podnikateľa</t>
  </si>
  <si>
    <t>Stav 
na začiatku účtovného obdobia</t>
  </si>
  <si>
    <t>Záväzky so zostatkovou dobou splatnosti 
do jedného roka vrátane</t>
  </si>
  <si>
    <t>Nedokončená výroba a polotovary vlastnej výroby</t>
  </si>
  <si>
    <t>Bezprostred- 
ne predchádza-
júce účtovné obdobie</t>
  </si>
  <si>
    <t>GL,PS,013,MD-D</t>
  </si>
  <si>
    <t>BS,015,B</t>
  </si>
  <si>
    <t>BS,110,S</t>
  </si>
  <si>
    <t>IS,020,S</t>
  </si>
  <si>
    <t>B,K,N,M</t>
  </si>
  <si>
    <t>S,M</t>
  </si>
  <si>
    <t>PS,Z,CO</t>
  </si>
  <si>
    <t>Označenie</t>
  </si>
  <si>
    <t>A K T Í V A</t>
  </si>
  <si>
    <t>Zaokrúhlené
(brutto)</t>
  </si>
  <si>
    <t>Zaokrúhlené
(korekcia)</t>
  </si>
  <si>
    <t>Zaokrúhlené
(netto)</t>
  </si>
  <si>
    <t>Zaokrúhlené
(minulé)</t>
  </si>
  <si>
    <t>P A S Í V A</t>
  </si>
  <si>
    <t>Zaokrúhlené
(sledované)</t>
  </si>
  <si>
    <t>T E X T</t>
  </si>
  <si>
    <t>Účet</t>
  </si>
  <si>
    <t>Názov účtu</t>
  </si>
  <si>
    <t>Oceňovacie rozdiely z precenenia majetku a záväzkov</t>
  </si>
  <si>
    <t>Poč.stav k 1.1.
Má dať</t>
  </si>
  <si>
    <t>Poč.stav k 1.1.
Dal</t>
  </si>
  <si>
    <t>Poč.stav mesiaca
Má dať</t>
  </si>
  <si>
    <t>Poč.stav mesiaca
Dal</t>
  </si>
  <si>
    <t>Mesačný obrat
Má dať</t>
  </si>
  <si>
    <t>Mesačný obrat
Dal</t>
  </si>
  <si>
    <t>Celkový obrat
Má dať</t>
  </si>
  <si>
    <t>Celkový obrat
Dal</t>
  </si>
  <si>
    <t>Zostatok
Má dať</t>
  </si>
  <si>
    <t>Zostatok
Dal</t>
  </si>
  <si>
    <t>Číslo 
riad.</t>
  </si>
  <si>
    <t>Skutočnosť v účtovnom 
období sledovanom</t>
  </si>
  <si>
    <t>Skutočnosť v účtovnom
období minulom</t>
  </si>
  <si>
    <t>Brutto v bežnom
účtovnom období</t>
  </si>
  <si>
    <t>Korekcia v bežnom
účtovnom období</t>
  </si>
  <si>
    <t>Netto v bežnom
účtovnom období</t>
  </si>
  <si>
    <t>Netto v minulom
účtovnom období</t>
  </si>
  <si>
    <t>Stav v bežnom
účtovnom období</t>
  </si>
  <si>
    <t>Stav v minulom
účtovnom období</t>
  </si>
  <si>
    <t>Popis</t>
  </si>
  <si>
    <t>Syntetický účet</t>
  </si>
  <si>
    <t>Názov syntetického účtu</t>
  </si>
  <si>
    <t>2. Informácie k časti F. písm. a) prílohy č. 3 o dlhodobom nehmotnom majetku</t>
  </si>
  <si>
    <t>4.  Informácie k časti F. písm. a) prílohy č. 3 o dlhodobom hmotnom majetku</t>
  </si>
  <si>
    <t>11. Informácie k časti F. písm. o) prílohy č. 3 o opravných položkách k zásobám</t>
  </si>
  <si>
    <t>14. Informácie k časti F. písm. r) prílohy č. 3 o vývoji opravnej položky  k pohľadávkam</t>
  </si>
  <si>
    <t>15. Informácie k časti F. písm. s) prílohy č. 3 o  vekovej štruktúre pohľadávok</t>
  </si>
  <si>
    <t>17. Informácie k časti F. písm. w)  prílohy č. 3 o krátkodobom finančnom majetku</t>
  </si>
  <si>
    <t xml:space="preserve">22. Informácie k časti G. písm. a) tretiemu bodu prílohy č. 3 o rozdelení účtovného zisku alebo o vysporiadaní účtovnej straty </t>
  </si>
  <si>
    <t>23. Informácie k časti G. písm. b) prílohy č. 3 o rezervách</t>
  </si>
  <si>
    <t>24. Informácie k časti G. písm. c) a d) prílohy č. 3 o záväzkoch</t>
  </si>
  <si>
    <t>26. Informácie k časti G. písm. g) prílohy č. 3 o záväzkoch zo sociálneho fondu</t>
  </si>
  <si>
    <t>25. Informácie k časti F. písm. v) a časti G. písm. f) prílohy č. 3 o odloženej daňovej pohľadávke alebo o odloženom daňovom záväzku</t>
  </si>
  <si>
    <t>32. Informácie k časti H. písm. b) prílohy č. 3 o zmene stavu vnútroorganizačných zásob</t>
  </si>
  <si>
    <t>33. Informácie k časti H. písm. g)  prílohy č. 3 o čistom obrate</t>
  </si>
  <si>
    <t>36. Informácie k časti J.  písm. f) a g) prílohy č. 3 o daniach z príjmov</t>
  </si>
  <si>
    <t>37. Informácie k časti P.  prílohy č. 3 o zmenách vlastného imania</t>
  </si>
  <si>
    <t>na dovolenku</t>
  </si>
  <si>
    <t>ostatné</t>
  </si>
  <si>
    <t>na nevyfaktúrované služby</t>
  </si>
  <si>
    <t>na odmeny</t>
  </si>
  <si>
    <t>na vernostný systém</t>
  </si>
  <si>
    <t>Hlavička 1</t>
  </si>
  <si>
    <t>Hlavička 2</t>
  </si>
  <si>
    <t>Hlavička 3</t>
  </si>
  <si>
    <t>34. Informácie k časti I. prílohy č. 3 o nákladoch voči audítorovi, audítorskej spoločnosti</t>
  </si>
  <si>
    <t>Poznámky Úč POD 3-01</t>
  </si>
  <si>
    <t>Náklady voči audítorovi, audítorskej spoločnosti, z toho:</t>
  </si>
  <si>
    <t>Ostatné významné položky nákladov za poskytnuté služby, z toho:</t>
  </si>
  <si>
    <t>Ostatné významné položky nákladov z hospodárskej činnosti, z toho:</t>
  </si>
  <si>
    <t>Finančné náklady, z toho:</t>
  </si>
  <si>
    <t>Kurzové straty, z toho:</t>
  </si>
  <si>
    <t>Ostatné významné položky finančných nákladov, z toho:</t>
  </si>
  <si>
    <t>Náklady, ktoré majú výnimočný rozsah alebo výskyt, z toho:</t>
  </si>
  <si>
    <t>Náklady za poskytnuté služby, z toho:</t>
  </si>
  <si>
    <t>kurzové straty ku dňu, ku ktorému sa zostavuje účtovná závierka</t>
  </si>
  <si>
    <t>013100</t>
  </si>
  <si>
    <t>Software</t>
  </si>
  <si>
    <t>019100</t>
  </si>
  <si>
    <t>Ostatný dlhodobý nehmotný majetok</t>
  </si>
  <si>
    <t>021100</t>
  </si>
  <si>
    <t>Stavby prenajímané</t>
  </si>
  <si>
    <t>022200</t>
  </si>
  <si>
    <t>Počítače a ostatné IT vybavenie</t>
  </si>
  <si>
    <t>022300</t>
  </si>
  <si>
    <t>Vybavenie lekární (nábytok a príslušenstvo)</t>
  </si>
  <si>
    <t>022600</t>
  </si>
  <si>
    <t>Marketingové nástroje</t>
  </si>
  <si>
    <t>029100</t>
  </si>
  <si>
    <t>Ostatný drobný HM</t>
  </si>
  <si>
    <t>029200</t>
  </si>
  <si>
    <t>Ostatný dlhodobý hmotný majetok - kapitalizácia DM</t>
  </si>
  <si>
    <t>029300</t>
  </si>
  <si>
    <t>Elektronické zariadenia</t>
  </si>
  <si>
    <t>029400</t>
  </si>
  <si>
    <t>Ostatný drobný IT majetok</t>
  </si>
  <si>
    <t>042100</t>
  </si>
  <si>
    <t>Obstaranie dlhodobého hmotného majetku</t>
  </si>
  <si>
    <t>073100</t>
  </si>
  <si>
    <t>Oprávky k software</t>
  </si>
  <si>
    <t>079100</t>
  </si>
  <si>
    <t>Oprávky k ostatnému dlhodobému nehmotnému majetku</t>
  </si>
  <si>
    <t>081100</t>
  </si>
  <si>
    <t>Oprávky k stavbám prenajímaným</t>
  </si>
  <si>
    <t>082200</t>
  </si>
  <si>
    <t>Oprávky k počítačom a ostatnému IT vybaveniu</t>
  </si>
  <si>
    <t>082300</t>
  </si>
  <si>
    <t>Oprávky k vybaveniu lekární</t>
  </si>
  <si>
    <t>082600</t>
  </si>
  <si>
    <t>Oprávky k marketingovým nástrojom</t>
  </si>
  <si>
    <t>089100</t>
  </si>
  <si>
    <t>Oprávky k ostatnému drobnému HM</t>
  </si>
  <si>
    <t>089200</t>
  </si>
  <si>
    <t>Oprávky k ostatnému dlhodobému hmotnému majetku</t>
  </si>
  <si>
    <t>089300</t>
  </si>
  <si>
    <t>Oprávky k elektronickým zariadeniam</t>
  </si>
  <si>
    <t>089400</t>
  </si>
  <si>
    <t>Oprávky k ostatnému drobnému IT majetku</t>
  </si>
  <si>
    <t>131100</t>
  </si>
  <si>
    <t>Obstaranie tovaru</t>
  </si>
  <si>
    <t>131200</t>
  </si>
  <si>
    <t>Obstaranie tovaru - cenový rozdiel</t>
  </si>
  <si>
    <t>132100</t>
  </si>
  <si>
    <t>Tovar na sklade a v predajniach - (MIR) PHOENIX</t>
  </si>
  <si>
    <t>132201</t>
  </si>
  <si>
    <t>Tovar na sklade - bonus k nepredaným zásobám PL</t>
  </si>
  <si>
    <t>139100</t>
  </si>
  <si>
    <t>Tovar na ceste</t>
  </si>
  <si>
    <t>196100</t>
  </si>
  <si>
    <t>Opravná položka k tovaru</t>
  </si>
  <si>
    <t>196200</t>
  </si>
  <si>
    <t>Opravná položka k tovaru-pred expiráciou</t>
  </si>
  <si>
    <t>211500</t>
  </si>
  <si>
    <t>POKLADNICA LEKÁREŇ</t>
  </si>
  <si>
    <t>213600</t>
  </si>
  <si>
    <t>Ceniny - stravné lístky  3,90 EUR</t>
  </si>
  <si>
    <t>221810</t>
  </si>
  <si>
    <t>Uni Credit Bank Slovakia</t>
  </si>
  <si>
    <t>261200</t>
  </si>
  <si>
    <t>Odvod tržieb - RP</t>
  </si>
  <si>
    <t>311100</t>
  </si>
  <si>
    <t>Odberatelia</t>
  </si>
  <si>
    <t>311111</t>
  </si>
  <si>
    <t>Odberatelia - VšZP</t>
  </si>
  <si>
    <t>311112</t>
  </si>
  <si>
    <t>Odberatelia - Union</t>
  </si>
  <si>
    <t>311113</t>
  </si>
  <si>
    <t>Odberatelia - Dôvera</t>
  </si>
  <si>
    <t>311300</t>
  </si>
  <si>
    <t>Pohľadávky - skupina MIRAKL Dr.MAX SK</t>
  </si>
  <si>
    <t>314300</t>
  </si>
  <si>
    <t>Kaucie - za nájomné</t>
  </si>
  <si>
    <t>315400</t>
  </si>
  <si>
    <t>Ost. pohľadávky - služby na PN Zmluva (TP)</t>
  </si>
  <si>
    <t>315515</t>
  </si>
  <si>
    <t>Ostatné pohľadávky - ODHAD na kompenzácie cien PL</t>
  </si>
  <si>
    <t>315611</t>
  </si>
  <si>
    <t>Distribučné bonusy Pharmos</t>
  </si>
  <si>
    <t>315612</t>
  </si>
  <si>
    <t>Distribučné bonusy Phoenix</t>
  </si>
  <si>
    <t>315613</t>
  </si>
  <si>
    <t>Distribučné bonusy MED-ART</t>
  </si>
  <si>
    <t>315614</t>
  </si>
  <si>
    <t>Distribučné bonusy MG</t>
  </si>
  <si>
    <t>315615</t>
  </si>
  <si>
    <t>Distribučné bonusy UNIPHARMA</t>
  </si>
  <si>
    <t>315622</t>
  </si>
  <si>
    <t>Bonusy FF 2022</t>
  </si>
  <si>
    <t>315623</t>
  </si>
  <si>
    <t>Bonusy FF 2023</t>
  </si>
  <si>
    <t>315624</t>
  </si>
  <si>
    <t>Bonusy FF 2024</t>
  </si>
  <si>
    <t>315700</t>
  </si>
  <si>
    <t>Platby kreditnou kartou</t>
  </si>
  <si>
    <t>315701</t>
  </si>
  <si>
    <t>Platby poukážkami</t>
  </si>
  <si>
    <t>315706</t>
  </si>
  <si>
    <t>Platby poukážkami Dr.Max</t>
  </si>
  <si>
    <t>315900</t>
  </si>
  <si>
    <t>Pohľadávky zdravotná poisťovňa Dôvera</t>
  </si>
  <si>
    <t>321100</t>
  </si>
  <si>
    <t>Dodávatelia</t>
  </si>
  <si>
    <t>321101</t>
  </si>
  <si>
    <t>Dodávatelia - distribučné spoločnosti</t>
  </si>
  <si>
    <t>321110</t>
  </si>
  <si>
    <t>Dodávatelia zahraničie</t>
  </si>
  <si>
    <t>321111</t>
  </si>
  <si>
    <t>Dodávatelia - distribučné spoločnosti ZAH</t>
  </si>
  <si>
    <t>321300</t>
  </si>
  <si>
    <t>Dodávatelia - skupina MIRAKL Dr.MAX SK</t>
  </si>
  <si>
    <t>321301</t>
  </si>
  <si>
    <t>Záväzky - skupina Dr.MAX SK - ViaPharma</t>
  </si>
  <si>
    <t>323100</t>
  </si>
  <si>
    <t>Rezerva na dovolenky</t>
  </si>
  <si>
    <t>323200</t>
  </si>
  <si>
    <t>Ostatné rezervy</t>
  </si>
  <si>
    <t>323209</t>
  </si>
  <si>
    <t>Rezervy na vyúčtovanie energií</t>
  </si>
  <si>
    <t>323210</t>
  </si>
  <si>
    <t>Rezerva na nevyfakturované služby a dodávky</t>
  </si>
  <si>
    <t>323223</t>
  </si>
  <si>
    <t>Rezerva na ročnú odmenu 2020</t>
  </si>
  <si>
    <t>323226</t>
  </si>
  <si>
    <t>Rezerva na banku k motivačným odmenám</t>
  </si>
  <si>
    <t>323241</t>
  </si>
  <si>
    <t>Rezerva na VS – nevyčerpané body 2019</t>
  </si>
  <si>
    <t>323300</t>
  </si>
  <si>
    <t>Ostatné rezervy-náklady na SP - PN (TP)</t>
  </si>
  <si>
    <t>323401</t>
  </si>
  <si>
    <t>Rezerva  - zamestnanci</t>
  </si>
  <si>
    <t>323410</t>
  </si>
  <si>
    <t>Rezerva  - Finančný príspevok</t>
  </si>
  <si>
    <t>323430</t>
  </si>
  <si>
    <t>Rezerva  - Sociálna poisťovňa</t>
  </si>
  <si>
    <t>323431</t>
  </si>
  <si>
    <t>Rezerva  -  Zdravotná poisťovňa</t>
  </si>
  <si>
    <t>323450</t>
  </si>
  <si>
    <t>Rezerva  - Záväzky zo SF - Tvorba</t>
  </si>
  <si>
    <t>325888</t>
  </si>
  <si>
    <t>Záväzky - platba eshop</t>
  </si>
  <si>
    <t>325906</t>
  </si>
  <si>
    <t>Ostatné záv. - darč. poukážky DR. MAX  1.10.2023</t>
  </si>
  <si>
    <t>326100</t>
  </si>
  <si>
    <t>Nevyfakturované dodávky</t>
  </si>
  <si>
    <t>331100</t>
  </si>
  <si>
    <t>Zamestnanci</t>
  </si>
  <si>
    <t>333100</t>
  </si>
  <si>
    <t>Ostatné záväzky voči zamestnancom</t>
  </si>
  <si>
    <t>335600</t>
  </si>
  <si>
    <t>Stravné lístky</t>
  </si>
  <si>
    <t>335601</t>
  </si>
  <si>
    <t>Záloha na finančný príspevok na stravovanie</t>
  </si>
  <si>
    <t>336100</t>
  </si>
  <si>
    <t>VŠZP</t>
  </si>
  <si>
    <t>336300</t>
  </si>
  <si>
    <t>VZP Dôvera</t>
  </si>
  <si>
    <t>336500</t>
  </si>
  <si>
    <t>Sociálna poisťovňa</t>
  </si>
  <si>
    <t>341100</t>
  </si>
  <si>
    <t>Daň z príjmov splatná</t>
  </si>
  <si>
    <t>341300</t>
  </si>
  <si>
    <t>Preddavky na daň z príjmov PO</t>
  </si>
  <si>
    <t>342100</t>
  </si>
  <si>
    <t>Daň zo závislej činnosti</t>
  </si>
  <si>
    <t>343110</t>
  </si>
  <si>
    <t>Výstup 10%</t>
  </si>
  <si>
    <t>343112</t>
  </si>
  <si>
    <t>Výstup 20%</t>
  </si>
  <si>
    <t>343210</t>
  </si>
  <si>
    <t>Vstup 10% - má nárok</t>
  </si>
  <si>
    <t>343216</t>
  </si>
  <si>
    <t>Vstup 20% - má nárok</t>
  </si>
  <si>
    <t>343218</t>
  </si>
  <si>
    <t>Vstup 20% - koeficient</t>
  </si>
  <si>
    <t>345100</t>
  </si>
  <si>
    <t>Cestná daň (Daň z MV)</t>
  </si>
  <si>
    <t>351100</t>
  </si>
  <si>
    <t>Pohľadávky v rámci skupiny MIRAKL - istina</t>
  </si>
  <si>
    <t>351101</t>
  </si>
  <si>
    <t>Pohľ. v rámci skupiny MIRAKL - Odvody tržieb</t>
  </si>
  <si>
    <t>351110</t>
  </si>
  <si>
    <t>Pohľadávky v rámci skupiny MIRAKL - úrok</t>
  </si>
  <si>
    <t>361100</t>
  </si>
  <si>
    <t>Záväzky v rámci skupiny MIRAKL - istina</t>
  </si>
  <si>
    <t>361110</t>
  </si>
  <si>
    <t>Záväzky v rámci skupiny MIRAKL - úrok</t>
  </si>
  <si>
    <t>361600</t>
  </si>
  <si>
    <t>Záväzok-CASH POOLING</t>
  </si>
  <si>
    <t>378600</t>
  </si>
  <si>
    <t>Iné pohľadávky - zdravotné poisťovne</t>
  </si>
  <si>
    <t>378700</t>
  </si>
  <si>
    <t>DPH POVINNOSŤ/ODPOČET voči SKUPINE</t>
  </si>
  <si>
    <t>379100</t>
  </si>
  <si>
    <t>Iné záväzky</t>
  </si>
  <si>
    <t>379500</t>
  </si>
  <si>
    <t>Iné záväzky - MAGNA</t>
  </si>
  <si>
    <t>379600</t>
  </si>
  <si>
    <t>Iné záväzky - zdravotné poisťovne</t>
  </si>
  <si>
    <t>379700</t>
  </si>
  <si>
    <t>379999</t>
  </si>
  <si>
    <t>Neidentifikovaná položka</t>
  </si>
  <si>
    <t>381100</t>
  </si>
  <si>
    <t>Náklady budúcich období</t>
  </si>
  <si>
    <t>381230</t>
  </si>
  <si>
    <t>NBO - Sprostred. a finanč. kompenz.- krátkodobé</t>
  </si>
  <si>
    <t>381240</t>
  </si>
  <si>
    <t>NBO - Sprostred. a finanč. kompenz.- dlhodobé</t>
  </si>
  <si>
    <t>381300</t>
  </si>
  <si>
    <t>NBO - Nájomné - krátkodobé</t>
  </si>
  <si>
    <t>391200</t>
  </si>
  <si>
    <t>Opravná položka - zdrav. poisťovne k 378-600</t>
  </si>
  <si>
    <t>395100</t>
  </si>
  <si>
    <t>Vnútorné zúčtovanie</t>
  </si>
  <si>
    <t>395500</t>
  </si>
  <si>
    <t>Presuny medzi strediskami Dr.Max a 2 sklady</t>
  </si>
  <si>
    <t>411100</t>
  </si>
  <si>
    <t>413500</t>
  </si>
  <si>
    <t>Ost.kapit.fondy-Príspevok</t>
  </si>
  <si>
    <t>421100</t>
  </si>
  <si>
    <t>428018</t>
  </si>
  <si>
    <t>Nerozdelený zisk 2018</t>
  </si>
  <si>
    <t>428019</t>
  </si>
  <si>
    <t>Nerozdelený zisk 2019</t>
  </si>
  <si>
    <t>428020</t>
  </si>
  <si>
    <t>Nerozdelený zisk 2020</t>
  </si>
  <si>
    <t>428021</t>
  </si>
  <si>
    <t>Nerozdelený zisk 2021</t>
  </si>
  <si>
    <t>428022</t>
  </si>
  <si>
    <t>Nerozdelený zisk 2022</t>
  </si>
  <si>
    <t>428023</t>
  </si>
  <si>
    <t>Nerozdelený zisk 2023</t>
  </si>
  <si>
    <t>431100</t>
  </si>
  <si>
    <t>Výsledok hospodárenia v schvaľovaní</t>
  </si>
  <si>
    <t>472100</t>
  </si>
  <si>
    <t>Záväzky zo sociálneho fondu</t>
  </si>
  <si>
    <t>472200</t>
  </si>
  <si>
    <t>Sociálny fond - čerpanie na SL</t>
  </si>
  <si>
    <t>472300</t>
  </si>
  <si>
    <t>Sociálny fond - čerpanie na ostatné</t>
  </si>
  <si>
    <t>481200</t>
  </si>
  <si>
    <t>Odložená daň. pohľadávka</t>
  </si>
  <si>
    <t>501200</t>
  </si>
  <si>
    <t>Kancelárske potreby</t>
  </si>
  <si>
    <t>501220</t>
  </si>
  <si>
    <t>IT materiál (cartrige, CD, klávesnice, myši a i.)</t>
  </si>
  <si>
    <t>501400</t>
  </si>
  <si>
    <t>Drobný hmotný majetok</t>
  </si>
  <si>
    <t>501403</t>
  </si>
  <si>
    <t>Drobný hmotný majetok - IT</t>
  </si>
  <si>
    <t>501500</t>
  </si>
  <si>
    <t>Čistiace a hygienické potreby</t>
  </si>
  <si>
    <t>501510</t>
  </si>
  <si>
    <t>Čistiace a hyg.potreby-prací prášok podľa smernice</t>
  </si>
  <si>
    <t>501550</t>
  </si>
  <si>
    <t>Spotreba materiálu - MARKETING</t>
  </si>
  <si>
    <t>501700</t>
  </si>
  <si>
    <t>Použitie tovaru a materialu na prop. a zlos.akcie</t>
  </si>
  <si>
    <t>501800</t>
  </si>
  <si>
    <t>Spotrebný materiál</t>
  </si>
  <si>
    <t>501841</t>
  </si>
  <si>
    <t>Spotrebný materiál PL - diagnostické služby</t>
  </si>
  <si>
    <t>502100</t>
  </si>
  <si>
    <t>Spotreba el. energie</t>
  </si>
  <si>
    <t>502300</t>
  </si>
  <si>
    <t>Spotreba vody</t>
  </si>
  <si>
    <t>504100</t>
  </si>
  <si>
    <t>Predaný tovar /lekárne/</t>
  </si>
  <si>
    <t>504201</t>
  </si>
  <si>
    <t>Predaný tovar  - OTC</t>
  </si>
  <si>
    <t>504202</t>
  </si>
  <si>
    <t>Predaný tovar  - privátna značka OTC</t>
  </si>
  <si>
    <t>504203</t>
  </si>
  <si>
    <t>Predaný tovar - PL - benefit</t>
  </si>
  <si>
    <t>504204</t>
  </si>
  <si>
    <t>Predaný tovar - Brand - benefit</t>
  </si>
  <si>
    <t>504205</t>
  </si>
  <si>
    <t>Predaný tovar - v rámci skupiny Dr. Max</t>
  </si>
  <si>
    <t>504206</t>
  </si>
  <si>
    <t>Predaný tovar - Privátna značka Rx</t>
  </si>
  <si>
    <t>504207</t>
  </si>
  <si>
    <t>Predaný tovar - vrátne obaly</t>
  </si>
  <si>
    <t>504300</t>
  </si>
  <si>
    <t xml:space="preserve">Skonto zľava-Bonus ostatné </t>
  </si>
  <si>
    <t>504306</t>
  </si>
  <si>
    <t>Skonto zľava-Bonus PHOENIX - Rx</t>
  </si>
  <si>
    <t>504307</t>
  </si>
  <si>
    <t>Skonto zľava-Bonus PHOENIX - OTC</t>
  </si>
  <si>
    <t>504308</t>
  </si>
  <si>
    <t>Skonto zľava – Bonus Medical Group - Rx</t>
  </si>
  <si>
    <t>504309</t>
  </si>
  <si>
    <t>Skonto zľava – Bonus Medical Group – OTC</t>
  </si>
  <si>
    <t>504310</t>
  </si>
  <si>
    <t>Skonto zľava-Bonus PHARMOS - Rx</t>
  </si>
  <si>
    <t>504311</t>
  </si>
  <si>
    <t>Skonto zľava-Bonus PHARMOS - OTC</t>
  </si>
  <si>
    <t>504312</t>
  </si>
  <si>
    <t>Skonto zľava-Bonus MED-ART - Rx</t>
  </si>
  <si>
    <t>504313</t>
  </si>
  <si>
    <t>Skonto zľava-Bonus MED-ART - OTC</t>
  </si>
  <si>
    <t>504314</t>
  </si>
  <si>
    <t>Skonto zľava-Bonus UNIPHARMA – Rx</t>
  </si>
  <si>
    <t>504315</t>
  </si>
  <si>
    <t>Skonto zľava-Bonus UNIPHARMA – OTC</t>
  </si>
  <si>
    <t>504350</t>
  </si>
  <si>
    <t>Dobropisy FF - MKT</t>
  </si>
  <si>
    <t>504351</t>
  </si>
  <si>
    <t>Skonto - zľava za odber tovaru</t>
  </si>
  <si>
    <t>504501</t>
  </si>
  <si>
    <t>Dobropisy FF - OTC</t>
  </si>
  <si>
    <t>504502</t>
  </si>
  <si>
    <t>Náklady - ostatné bonusy OTC</t>
  </si>
  <si>
    <t>504503</t>
  </si>
  <si>
    <t>Dobropisy FF -Rx</t>
  </si>
  <si>
    <t>504505</t>
  </si>
  <si>
    <t>Dobropisy GS</t>
  </si>
  <si>
    <t>504506</t>
  </si>
  <si>
    <t>Náklady - transferové objednávky OTC</t>
  </si>
  <si>
    <t>504507</t>
  </si>
  <si>
    <t>Náklady - transferové objednávky RX</t>
  </si>
  <si>
    <t>504515</t>
  </si>
  <si>
    <t>Predaný tovar-Bonus privátna značka OTC-Viapharma</t>
  </si>
  <si>
    <t>504600</t>
  </si>
  <si>
    <t>Prirodzené úbytky zásob</t>
  </si>
  <si>
    <t>504605</t>
  </si>
  <si>
    <t xml:space="preserve">Evidenčné rozdiely do SPIN-u </t>
  </si>
  <si>
    <t>505100</t>
  </si>
  <si>
    <t>Tvorba a zúčtovanie OP k zásobám</t>
  </si>
  <si>
    <t>505101</t>
  </si>
  <si>
    <t>Tvorba a zúčtovanie OP k zásobám Rx</t>
  </si>
  <si>
    <t>505102</t>
  </si>
  <si>
    <t>Tvorba a zúčtovanie OP k zásobám OTC</t>
  </si>
  <si>
    <t>505103</t>
  </si>
  <si>
    <t>Tvorba a zúčtovanie OP k zásobám Rx_PL</t>
  </si>
  <si>
    <t>505104</t>
  </si>
  <si>
    <t>Tvorba a zúčtovanie OP k zásobám OTC_PL</t>
  </si>
  <si>
    <t>505201</t>
  </si>
  <si>
    <t>Tvorba a zúčt.OP k zásobám-pred expiráciou Rx</t>
  </si>
  <si>
    <t>505202</t>
  </si>
  <si>
    <t>Tvorba a zúčt.OP k zásobám-pred expiráciou OTC</t>
  </si>
  <si>
    <t>505203</t>
  </si>
  <si>
    <t>Tvorba a zúčt.OP k zásobám-pred expiráciou RX PL</t>
  </si>
  <si>
    <t>505204</t>
  </si>
  <si>
    <t>Tvorba a zúčt.OP k zásobám-pred expiráciou OTC PL</t>
  </si>
  <si>
    <t>511200</t>
  </si>
  <si>
    <t>Opravy a údržba ostatného majetku</t>
  </si>
  <si>
    <t>511210</t>
  </si>
  <si>
    <t>Opravy a údržba budov</t>
  </si>
  <si>
    <t>511302</t>
  </si>
  <si>
    <t>Opravy a údržba kanc. techniky (IT) -po záruke</t>
  </si>
  <si>
    <t>512120</t>
  </si>
  <si>
    <t>Cestovné tuzemsko</t>
  </si>
  <si>
    <t>513900</t>
  </si>
  <si>
    <t>Náklady na reprezentáciu</t>
  </si>
  <si>
    <t>518110</t>
  </si>
  <si>
    <t>Telef. služby - mobilný operátor</t>
  </si>
  <si>
    <t>518150</t>
  </si>
  <si>
    <t>Telef. služby - Internet + dátové služby</t>
  </si>
  <si>
    <t>518200</t>
  </si>
  <si>
    <t>Poštové poplatky</t>
  </si>
  <si>
    <t>518210</t>
  </si>
  <si>
    <t>Zasielateľské služby EMS+DHL+UPS</t>
  </si>
  <si>
    <t>518211</t>
  </si>
  <si>
    <t>Zasielateľské služby Phoenix</t>
  </si>
  <si>
    <t>518220</t>
  </si>
  <si>
    <t>Predĺženie záruky</t>
  </si>
  <si>
    <t>518317</t>
  </si>
  <si>
    <t>Odplata za služby - MIR pre skupinu (TP)</t>
  </si>
  <si>
    <t>518350</t>
  </si>
  <si>
    <t>Pranie a žehlenie odevov p.smernice</t>
  </si>
  <si>
    <t>518351</t>
  </si>
  <si>
    <t>Pranie a žehlenie odevov- Leasing</t>
  </si>
  <si>
    <t>518360</t>
  </si>
  <si>
    <t>Servisné služby IT</t>
  </si>
  <si>
    <t>518500</t>
  </si>
  <si>
    <t>Sprostredkovanie - stravné lístky</t>
  </si>
  <si>
    <t>518510</t>
  </si>
  <si>
    <t>Sprostredkovanie - poukážky, šeky</t>
  </si>
  <si>
    <t>518520</t>
  </si>
  <si>
    <t>Sprostred. podľa zmluvy, finančné kompenzácie a i.</t>
  </si>
  <si>
    <t>518610</t>
  </si>
  <si>
    <t>Nájomné - lekárne fix</t>
  </si>
  <si>
    <t>518611</t>
  </si>
  <si>
    <t>Nájomné - lekárne súvisiace služby</t>
  </si>
  <si>
    <t>518616</t>
  </si>
  <si>
    <t>Nájomné - lekárne - mimoriadne</t>
  </si>
  <si>
    <t>518700</t>
  </si>
  <si>
    <t>Náklady na školenia a vzdelávanie zamestnancov</t>
  </si>
  <si>
    <t>518803</t>
  </si>
  <si>
    <t>Revízie a metrológia</t>
  </si>
  <si>
    <t>518804</t>
  </si>
  <si>
    <t>Náklady na licenčné poplatky IT- čas. rozl.</t>
  </si>
  <si>
    <t>518831</t>
  </si>
  <si>
    <t>Náklady na vernostný systém - čerpané body</t>
  </si>
  <si>
    <t>518840</t>
  </si>
  <si>
    <t>Náklady na likvidáciu liečiv</t>
  </si>
  <si>
    <t>518850</t>
  </si>
  <si>
    <t>Ostatné služby - vyššie nedefinované</t>
  </si>
  <si>
    <t>518860</t>
  </si>
  <si>
    <t>Služby - refakturácie cest. pridel. zamestnancov</t>
  </si>
  <si>
    <t>518870</t>
  </si>
  <si>
    <t>Služby - BOZP a OPP bezpečnosť práce</t>
  </si>
  <si>
    <t>521100</t>
  </si>
  <si>
    <t>Mzdové náklady</t>
  </si>
  <si>
    <t>521101</t>
  </si>
  <si>
    <t>Mzdové náklady - osobné ohodnotenie (B)</t>
  </si>
  <si>
    <t>521103</t>
  </si>
  <si>
    <t>Mzdové náklady - Minibrik</t>
  </si>
  <si>
    <t>521110</t>
  </si>
  <si>
    <t>Mzdové náklady - Odstupné</t>
  </si>
  <si>
    <t>521200</t>
  </si>
  <si>
    <t>Prémie a odmeny</t>
  </si>
  <si>
    <t>521203</t>
  </si>
  <si>
    <t>Mzdové náklady -nadčasy</t>
  </si>
  <si>
    <t>521204</t>
  </si>
  <si>
    <t>Príplatok SO - PZ</t>
  </si>
  <si>
    <t>521205</t>
  </si>
  <si>
    <t>Príplatok NE - PZ</t>
  </si>
  <si>
    <t>521260</t>
  </si>
  <si>
    <t>Prémie a odmeny - za GS</t>
  </si>
  <si>
    <t>521262</t>
  </si>
  <si>
    <t>Prémie a odmeny - Odmena OTC</t>
  </si>
  <si>
    <t>521290</t>
  </si>
  <si>
    <t>Prémie a odmeny -  privatna značka</t>
  </si>
  <si>
    <t>521300</t>
  </si>
  <si>
    <t>DoVP, DPČ a pod.</t>
  </si>
  <si>
    <t>521400</t>
  </si>
  <si>
    <t>Mzdové náklady - pracovné jub.</t>
  </si>
  <si>
    <t>521500</t>
  </si>
  <si>
    <t>Mzdové náklady - rezerva na dovolenky</t>
  </si>
  <si>
    <t>521510</t>
  </si>
  <si>
    <t>Mzdové náklady - rezerva na ročné odmeny</t>
  </si>
  <si>
    <t>521800</t>
  </si>
  <si>
    <t>Mzdové náklady - refundácia miezd</t>
  </si>
  <si>
    <t>524100</t>
  </si>
  <si>
    <t>Zákonné sociálne poistenie</t>
  </si>
  <si>
    <t>524101</t>
  </si>
  <si>
    <t>Zákonné zdravotné poistenie (ZZP)</t>
  </si>
  <si>
    <t>524202</t>
  </si>
  <si>
    <t>ZSP - Marketingové odmeny</t>
  </si>
  <si>
    <t>524203</t>
  </si>
  <si>
    <t>ZZP - Marketingové odmeny</t>
  </si>
  <si>
    <t>524500</t>
  </si>
  <si>
    <t>ZSP - rezerva na dovolenky</t>
  </si>
  <si>
    <t>524501</t>
  </si>
  <si>
    <t>ZZP - rezerva na dovolenky</t>
  </si>
  <si>
    <t>524510</t>
  </si>
  <si>
    <t>ZSP - rezerva na ročnú odmenu</t>
  </si>
  <si>
    <t>524511</t>
  </si>
  <si>
    <t>ZZP - rezerva na ročnú odmenu</t>
  </si>
  <si>
    <t>524800</t>
  </si>
  <si>
    <t>Zákonné sociálne poistenie - refakturácia miezd</t>
  </si>
  <si>
    <t>527100</t>
  </si>
  <si>
    <t>Tvorba soc. fondu</t>
  </si>
  <si>
    <t>527200</t>
  </si>
  <si>
    <t>Príspevok na stravu</t>
  </si>
  <si>
    <t>527201</t>
  </si>
  <si>
    <t>Finančný príspevok na stravu</t>
  </si>
  <si>
    <t>527300</t>
  </si>
  <si>
    <t>Nemocenské hradené zamestnávateľom /0-10 deň</t>
  </si>
  <si>
    <t>527301</t>
  </si>
  <si>
    <t>Paragrafy</t>
  </si>
  <si>
    <t>527400</t>
  </si>
  <si>
    <t>Osobné ochranné prostriedy /OOP/ podľa smernice</t>
  </si>
  <si>
    <t>527600</t>
  </si>
  <si>
    <t>Pracovná zdravotná služba</t>
  </si>
  <si>
    <t>528900</t>
  </si>
  <si>
    <t>Ostatné sociálne náklady (nedaňové)</t>
  </si>
  <si>
    <t>531100</t>
  </si>
  <si>
    <t>Daň z motorových vozidiel</t>
  </si>
  <si>
    <t>543100</t>
  </si>
  <si>
    <t>546100</t>
  </si>
  <si>
    <t>Odpis pohľadávky</t>
  </si>
  <si>
    <t>547200</t>
  </si>
  <si>
    <t>Tvorba a zúčtovanie OP k  iným pohľ. -nedaňový n.</t>
  </si>
  <si>
    <t>548100</t>
  </si>
  <si>
    <t>Centové vyrovnanie</t>
  </si>
  <si>
    <t>548210</t>
  </si>
  <si>
    <t>Exspirované lieky - výdaj zo skladu</t>
  </si>
  <si>
    <t>549100</t>
  </si>
  <si>
    <t>Manká a škody neinventúrne (tovar)</t>
  </si>
  <si>
    <t>549200</t>
  </si>
  <si>
    <t>Škody z odcudzenia majetku neznámym páchateľom</t>
  </si>
  <si>
    <t>549950</t>
  </si>
  <si>
    <t>Manko z inventúr</t>
  </si>
  <si>
    <t>551110</t>
  </si>
  <si>
    <t>Odpisy k stavbám prenajímaným</t>
  </si>
  <si>
    <t>551220</t>
  </si>
  <si>
    <t>Odpisy k počítačom a ostatnému IT vybaveniu</t>
  </si>
  <si>
    <t>551791</t>
  </si>
  <si>
    <t>Odpisy k ostatnému dlhodobému nehmotnému majetku</t>
  </si>
  <si>
    <t>551891</t>
  </si>
  <si>
    <t>Odpisy k ostatnému drobnému HM</t>
  </si>
  <si>
    <t>551894</t>
  </si>
  <si>
    <t>Odpisy k ostatnému drobnému IT majetku</t>
  </si>
  <si>
    <t>562200</t>
  </si>
  <si>
    <t>Úroky z pôžičiek a úverov od podnikov v skupine</t>
  </si>
  <si>
    <t>568102</t>
  </si>
  <si>
    <t>Bankové poplatky (nad EBITDA)</t>
  </si>
  <si>
    <t>568110</t>
  </si>
  <si>
    <t xml:space="preserve">Poplatky za platby kartou </t>
  </si>
  <si>
    <t>591100</t>
  </si>
  <si>
    <t>Splatná daň z príjmov PO</t>
  </si>
  <si>
    <t>592100</t>
  </si>
  <si>
    <t>602810</t>
  </si>
  <si>
    <t>Tržby za spracovanie receptov</t>
  </si>
  <si>
    <t>602841</t>
  </si>
  <si>
    <t>Tržby PL - diagnostické služby</t>
  </si>
  <si>
    <t>604100</t>
  </si>
  <si>
    <t>Tržba z predaja tovaru v lekárni</t>
  </si>
  <si>
    <t>604200</t>
  </si>
  <si>
    <t>Tržby z predaja - hotovosť</t>
  </si>
  <si>
    <t>604201</t>
  </si>
  <si>
    <t>Tržby z predaja - OTC</t>
  </si>
  <si>
    <t>604202</t>
  </si>
  <si>
    <t>Tržby z predaja - Privátna značka OTC</t>
  </si>
  <si>
    <t>604203</t>
  </si>
  <si>
    <t>Tržby z predaja - Zľava na VK Rx</t>
  </si>
  <si>
    <t>604204</t>
  </si>
  <si>
    <t>Tržby z predaja - zľava na VK OTC</t>
  </si>
  <si>
    <t>604205</t>
  </si>
  <si>
    <t>Tržby z predaja -  v rámci skupiny Dr. Max SK</t>
  </si>
  <si>
    <t>604206</t>
  </si>
  <si>
    <t>Tržby z predaja -  Privátna značka Rx</t>
  </si>
  <si>
    <t>604207</t>
  </si>
  <si>
    <t>Tržby z predaja -  Vratné obaly</t>
  </si>
  <si>
    <t>604300</t>
  </si>
  <si>
    <t xml:space="preserve">Tržby z predaja - ostatní </t>
  </si>
  <si>
    <t>648100</t>
  </si>
  <si>
    <t>648200</t>
  </si>
  <si>
    <t>Ostatné výnosy z hospodárskej činnosti</t>
  </si>
  <si>
    <t>648316</t>
  </si>
  <si>
    <t>Skupinovy prispevok – MIR pre skupinu (TP)</t>
  </si>
  <si>
    <t>648400</t>
  </si>
  <si>
    <t>Prebytky na sklade</t>
  </si>
  <si>
    <t>648450</t>
  </si>
  <si>
    <t>Prebytky z inventúr</t>
  </si>
  <si>
    <t>648700</t>
  </si>
  <si>
    <t>Ostatné výnosy</t>
  </si>
  <si>
    <t>662200</t>
  </si>
  <si>
    <t>311117</t>
  </si>
  <si>
    <t xml:space="preserve">Odberatelia - distribučné spoločnosti </t>
  </si>
  <si>
    <t>325200</t>
  </si>
  <si>
    <t>Ostatné záväzky</t>
  </si>
  <si>
    <t>325900</t>
  </si>
  <si>
    <t>Ostatné záväzky - darč. poukážky DR. MAX</t>
  </si>
  <si>
    <t>326200</t>
  </si>
  <si>
    <t>Nevyfakturované dodávky - IDI</t>
  </si>
  <si>
    <t>335240</t>
  </si>
  <si>
    <t>Zrázka zamestnancom - Cafatéria</t>
  </si>
  <si>
    <t>345200</t>
  </si>
  <si>
    <t>Ostatné dane a poplatky</t>
  </si>
  <si>
    <t>518839</t>
  </si>
  <si>
    <t>Náklady na VS pre reporting</t>
  </si>
  <si>
    <t>518879</t>
  </si>
  <si>
    <t>Náklady na VS pre reporting (PL)</t>
  </si>
  <si>
    <t>521520</t>
  </si>
  <si>
    <t>Mzdové náklady - rezerva na odmeny</t>
  </si>
  <si>
    <t>524520</t>
  </si>
  <si>
    <t>ZSP - rezerva odvody z odmien</t>
  </si>
  <si>
    <t>524521</t>
  </si>
  <si>
    <t>ZSP - rezerva odvody z odmien ZP</t>
  </si>
  <si>
    <t>528100</t>
  </si>
  <si>
    <t>Ostatné sociálne náklady</t>
  </si>
  <si>
    <t>538200</t>
  </si>
  <si>
    <t>548300</t>
  </si>
  <si>
    <t>Poplatky Slov.Lek.Komora</t>
  </si>
  <si>
    <t>551230</t>
  </si>
  <si>
    <t>Odpisy k vybaveniu lekární (nábytok a príslušen.)</t>
  </si>
  <si>
    <t>602800</t>
  </si>
  <si>
    <t>Ostatné služby</t>
  </si>
  <si>
    <t>648502</t>
  </si>
  <si>
    <t>Ostatné výnosy -ostatné zľavy</t>
  </si>
  <si>
    <t>751100</t>
  </si>
  <si>
    <t>Darčekové poukážky</t>
  </si>
  <si>
    <t>754100</t>
  </si>
  <si>
    <t>Emitované darčekové poukážky</t>
  </si>
  <si>
    <t>013</t>
  </si>
  <si>
    <t>019</t>
  </si>
  <si>
    <t>021</t>
  </si>
  <si>
    <t>022</t>
  </si>
  <si>
    <t>Samost. hnuteľné veci a súbory hnuteľných vecí</t>
  </si>
  <si>
    <t>029</t>
  </si>
  <si>
    <t>Ostatný dlhodobý hmotný majetok</t>
  </si>
  <si>
    <t>042</t>
  </si>
  <si>
    <t>073</t>
  </si>
  <si>
    <t>079</t>
  </si>
  <si>
    <t>081</t>
  </si>
  <si>
    <t>Oprávky k stavbám</t>
  </si>
  <si>
    <t>082</t>
  </si>
  <si>
    <t>Oprávky k samost. hnut. veciam a k súboru hn. vecí</t>
  </si>
  <si>
    <t>089</t>
  </si>
  <si>
    <t>131</t>
  </si>
  <si>
    <t>132</t>
  </si>
  <si>
    <t>Tovar na sklade a v predajniach</t>
  </si>
  <si>
    <t>139</t>
  </si>
  <si>
    <t>196</t>
  </si>
  <si>
    <t>211</t>
  </si>
  <si>
    <t>Pokladnica</t>
  </si>
  <si>
    <t>213</t>
  </si>
  <si>
    <t>Ceniny</t>
  </si>
  <si>
    <t>221</t>
  </si>
  <si>
    <t>Bankové účty</t>
  </si>
  <si>
    <t>261</t>
  </si>
  <si>
    <t>Peniaze na ceste</t>
  </si>
  <si>
    <t>311</t>
  </si>
  <si>
    <t>314</t>
  </si>
  <si>
    <t>Poskytnuté preddavky</t>
  </si>
  <si>
    <t>315</t>
  </si>
  <si>
    <t>Ostatné pohľadávky</t>
  </si>
  <si>
    <t>321</t>
  </si>
  <si>
    <t>323</t>
  </si>
  <si>
    <t>Krátkodobé rezervy</t>
  </si>
  <si>
    <t>325</t>
  </si>
  <si>
    <t>326</t>
  </si>
  <si>
    <t>331</t>
  </si>
  <si>
    <t>333</t>
  </si>
  <si>
    <t>335</t>
  </si>
  <si>
    <t>Pohľadávky voči zamestnancom</t>
  </si>
  <si>
    <t>336</t>
  </si>
  <si>
    <t>Zúčtovanie s org. soc. zabezpečenia a zdrav. poist</t>
  </si>
  <si>
    <t>341</t>
  </si>
  <si>
    <t>Daň z príjmov</t>
  </si>
  <si>
    <t>342</t>
  </si>
  <si>
    <t>Ostatné priame dane</t>
  </si>
  <si>
    <t>343</t>
  </si>
  <si>
    <t>Daň z pridanej hodnoty</t>
  </si>
  <si>
    <t>345</t>
  </si>
  <si>
    <t>351</t>
  </si>
  <si>
    <t>Pohľadávky v rámci konsolidovaného celku</t>
  </si>
  <si>
    <t>361</t>
  </si>
  <si>
    <t>Záväzky v rámci konsolidovaného celku</t>
  </si>
  <si>
    <t>378</t>
  </si>
  <si>
    <t>379</t>
  </si>
  <si>
    <t>381</t>
  </si>
  <si>
    <t>391</t>
  </si>
  <si>
    <t>Opravná položka k pohľadávkam</t>
  </si>
  <si>
    <t>395</t>
  </si>
  <si>
    <t>411</t>
  </si>
  <si>
    <t>413</t>
  </si>
  <si>
    <t>421</t>
  </si>
  <si>
    <t>428</t>
  </si>
  <si>
    <t>431</t>
  </si>
  <si>
    <t>472</t>
  </si>
  <si>
    <t>481</t>
  </si>
  <si>
    <t>Odložený daň. záväzok a odlož. daň. pohľadávka</t>
  </si>
  <si>
    <t>501</t>
  </si>
  <si>
    <t>Spotreba materiálu</t>
  </si>
  <si>
    <t>502</t>
  </si>
  <si>
    <t>Spotreba energie</t>
  </si>
  <si>
    <t>504</t>
  </si>
  <si>
    <t>Predaný tovar</t>
  </si>
  <si>
    <t>505</t>
  </si>
  <si>
    <t>511</t>
  </si>
  <si>
    <t>Opravy a udržiavanie</t>
  </si>
  <si>
    <t>512</t>
  </si>
  <si>
    <t>Cestovné</t>
  </si>
  <si>
    <t>513</t>
  </si>
  <si>
    <t>518</t>
  </si>
  <si>
    <t>521</t>
  </si>
  <si>
    <t>524</t>
  </si>
  <si>
    <t>527</t>
  </si>
  <si>
    <t>Zákonné sociálne náklady</t>
  </si>
  <si>
    <t>528</t>
  </si>
  <si>
    <t>531</t>
  </si>
  <si>
    <t>Cestná daň</t>
  </si>
  <si>
    <t>543</t>
  </si>
  <si>
    <t>546</t>
  </si>
  <si>
    <t>547</t>
  </si>
  <si>
    <t>Tvorba a zúčtovanie OP k pohľadávkam</t>
  </si>
  <si>
    <t>548</t>
  </si>
  <si>
    <t>Ostatné náklady na hospodársku činnosť</t>
  </si>
  <si>
    <t>549</t>
  </si>
  <si>
    <t>Manká a škody</t>
  </si>
  <si>
    <t>551</t>
  </si>
  <si>
    <t>Odpisy dlhodobého nehmotného a hmotného majetku</t>
  </si>
  <si>
    <t>562</t>
  </si>
  <si>
    <t>Úroky</t>
  </si>
  <si>
    <t>568</t>
  </si>
  <si>
    <t>Ostatné finančné náklady</t>
  </si>
  <si>
    <t>591</t>
  </si>
  <si>
    <t>Splatná daň z príjmov z bežnej činnosti</t>
  </si>
  <si>
    <t>592</t>
  </si>
  <si>
    <t>Odložená daň z príjmov z bežnej činnosti</t>
  </si>
  <si>
    <t>602</t>
  </si>
  <si>
    <t>Tržby z predaja služieb</t>
  </si>
  <si>
    <t>604</t>
  </si>
  <si>
    <t>Tržby za tovar</t>
  </si>
  <si>
    <t>648</t>
  </si>
  <si>
    <t>662</t>
  </si>
  <si>
    <t>538</t>
  </si>
  <si>
    <t>751</t>
  </si>
  <si>
    <t>Podsúvahové účty</t>
  </si>
  <si>
    <t>754</t>
  </si>
  <si>
    <t>Podsúvahový</t>
  </si>
  <si>
    <t>*</t>
  </si>
  <si>
    <t>Čistý obrat (časť účt.tr. 6 podľa zákona)</t>
  </si>
  <si>
    <t>01</t>
  </si>
  <si>
    <t>**</t>
  </si>
  <si>
    <t>Výnosy z hospodárskej činnosti spolu súčet (r.03 až r.09)</t>
  </si>
  <si>
    <t>02</t>
  </si>
  <si>
    <t>I.</t>
  </si>
  <si>
    <t>Tržby z predaja tovaru (604,607)</t>
  </si>
  <si>
    <t>03</t>
  </si>
  <si>
    <t>ll.</t>
  </si>
  <si>
    <t>Tržby z predaja vlastných výrobkov a služieb (601)</t>
  </si>
  <si>
    <t>04</t>
  </si>
  <si>
    <t>llI.</t>
  </si>
  <si>
    <t>Tržby z predaja služieb (602, 606)</t>
  </si>
  <si>
    <t>05</t>
  </si>
  <si>
    <t>IV.</t>
  </si>
  <si>
    <t>Zmeny stavu vnútroorganizačných zásob (+/-) (účtová skupina 61)</t>
  </si>
  <si>
    <t>06</t>
  </si>
  <si>
    <t>V.</t>
  </si>
  <si>
    <t>Aktivácia (účtová skupina 62)</t>
  </si>
  <si>
    <t>07</t>
  </si>
  <si>
    <t>Vl.</t>
  </si>
  <si>
    <t>Tržby z predaja dlhodobého nehmotného majetku, dlhodobého hmotného majetku a materiálu (641,642)</t>
  </si>
  <si>
    <t>08</t>
  </si>
  <si>
    <t>VII</t>
  </si>
  <si>
    <t>Ostatné výnosy z hospodárskej činnosti (644,645,646,648,655,657)</t>
  </si>
  <si>
    <t>09</t>
  </si>
  <si>
    <t>Náklady na hospodársku činnosť spolu r.11+r.12+r.13+r.14+r15+r.20+r.21+r.24+r.25+r.26</t>
  </si>
  <si>
    <t>10</t>
  </si>
  <si>
    <t>A.</t>
  </si>
  <si>
    <t>Náklady vynaložené na obstaranie predaného tovaru ( 504, 507)</t>
  </si>
  <si>
    <t>11</t>
  </si>
  <si>
    <t>B.</t>
  </si>
  <si>
    <t>Spotreba materiálu, energie a ostatných neskladovateľných dodávok (501,502,503)</t>
  </si>
  <si>
    <t>12</t>
  </si>
  <si>
    <t>C.</t>
  </si>
  <si>
    <t>Opravné položky k zásobám (+/-) (505)</t>
  </si>
  <si>
    <t>13</t>
  </si>
  <si>
    <t>D.</t>
  </si>
  <si>
    <t>Služby (účtová skupina 51)</t>
  </si>
  <si>
    <t>14</t>
  </si>
  <si>
    <t>E.</t>
  </si>
  <si>
    <t>Osobné náklady (r. 16 až 19)</t>
  </si>
  <si>
    <t>15</t>
  </si>
  <si>
    <t>E.1.</t>
  </si>
  <si>
    <t>Mzdové náklady (521,522)</t>
  </si>
  <si>
    <t>16</t>
  </si>
  <si>
    <t>Odmeny členom orgánov spoločnosti a družstva (523)</t>
  </si>
  <si>
    <t>17</t>
  </si>
  <si>
    <t>Náklady na sociálne poistenie (524,525,526)</t>
  </si>
  <si>
    <t>18</t>
  </si>
  <si>
    <t>Sociálne náklady (527,528)</t>
  </si>
  <si>
    <t>19</t>
  </si>
  <si>
    <t>F.</t>
  </si>
  <si>
    <t>Dane a poplatky (účtová  skupina 53)</t>
  </si>
  <si>
    <t>20</t>
  </si>
  <si>
    <t>G.</t>
  </si>
  <si>
    <t>Odpisy o opravné položky k dlhodobému nehmotnému majetku a dlhodobému hmotnému majetku (r.22 + r.23)</t>
  </si>
  <si>
    <t>21</t>
  </si>
  <si>
    <t>G.1.</t>
  </si>
  <si>
    <t>Odpisy dlhodobého nehmotného majetku a dlhodobého hmotného majetku (551)</t>
  </si>
  <si>
    <t>22</t>
  </si>
  <si>
    <t>Opravné položky k dlhodobému nehmotnému majetku a dlhodobému hmotnému majetku (+/-) (553)</t>
  </si>
  <si>
    <t>23</t>
  </si>
  <si>
    <t>H.</t>
  </si>
  <si>
    <t>Zostatková cena predaného dlhodobého majetku a predaného materiálu (541,542)</t>
  </si>
  <si>
    <t>24</t>
  </si>
  <si>
    <t>Opravné položky k pohľadávkam (+/-) ( 547)</t>
  </si>
  <si>
    <t>25</t>
  </si>
  <si>
    <t>J.</t>
  </si>
  <si>
    <t>Ostatné náklady na hospodársku činnosť (543,544,545,546,548,549,555,557)</t>
  </si>
  <si>
    <t>26</t>
  </si>
  <si>
    <t>***</t>
  </si>
  <si>
    <t>Výsledok hospodárenia z hospodárskej činnosti (+/-)  (r. 02 - r. 10)</t>
  </si>
  <si>
    <t>27</t>
  </si>
  <si>
    <t>Pridaná hodnota (r.03+r.04+r.05+r.06+r.07)-(r.11+r.12+r.13+r.14)</t>
  </si>
  <si>
    <t>28</t>
  </si>
  <si>
    <t>Výnosy z finančnej činnosti spolu r.30+r.31+r.35+r.39+r.42+r.43+r.44</t>
  </si>
  <si>
    <t>29</t>
  </si>
  <si>
    <t>VlII.</t>
  </si>
  <si>
    <t>Tržby z predaja cenných papierov a podielov (661)</t>
  </si>
  <si>
    <t>30</t>
  </si>
  <si>
    <t>IX.</t>
  </si>
  <si>
    <t>Výnosy z dlhodobého finančného majetku súčet (r.32 až r.34)</t>
  </si>
  <si>
    <t>31</t>
  </si>
  <si>
    <t>IX.1.</t>
  </si>
  <si>
    <t>Výnosy z cenných papierov a podielov od prepojených ÚJ (665 A)</t>
  </si>
  <si>
    <t>32</t>
  </si>
  <si>
    <t>Výnosy z cenných papierov a podielov v podielovej účasti okrem výnosov prepojených ÚJ (665 A)</t>
  </si>
  <si>
    <t>33</t>
  </si>
  <si>
    <t>Ostatné výnosy z cenných papierov a podielov (665 A)</t>
  </si>
  <si>
    <t>34</t>
  </si>
  <si>
    <t>X.</t>
  </si>
  <si>
    <t>Výnosy z kratkodobého finančného majetku súčet (r.36 až r.38)</t>
  </si>
  <si>
    <t>35</t>
  </si>
  <si>
    <t>X.1.</t>
  </si>
  <si>
    <t>Výnosy z kratkodobého finančného majetku od prepojených ÚJ (666A)</t>
  </si>
  <si>
    <t>36</t>
  </si>
  <si>
    <t>Výnosy z kratkodobého fin.majetku v podielovej účasti okrem výnosov prepojených ÚJ (666A)</t>
  </si>
  <si>
    <t>37</t>
  </si>
  <si>
    <t>Ostatné výnosy z kratkodobého finančného majetku (666A)</t>
  </si>
  <si>
    <t>38</t>
  </si>
  <si>
    <t>XI.</t>
  </si>
  <si>
    <t>Výnosové úroky (r. 40 + r. 41)</t>
  </si>
  <si>
    <t>39</t>
  </si>
  <si>
    <t>XI.1.</t>
  </si>
  <si>
    <t>Výnosové úroky od prepojených ÚJ (662A)</t>
  </si>
  <si>
    <t>40</t>
  </si>
  <si>
    <t>Ostatné výnosové úroky (662A)</t>
  </si>
  <si>
    <t>41</t>
  </si>
  <si>
    <t>XlI.</t>
  </si>
  <si>
    <t>Kurzové zisky (663)</t>
  </si>
  <si>
    <t>42</t>
  </si>
  <si>
    <t>XIII.</t>
  </si>
  <si>
    <t>Výnosy z precenenia cenných papierov a výnosy z derivátových operácií (664,667)</t>
  </si>
  <si>
    <t>43</t>
  </si>
  <si>
    <t>XlV.</t>
  </si>
  <si>
    <t>Ostatné výnosy z finančnej činnosti (668)</t>
  </si>
  <si>
    <t>44</t>
  </si>
  <si>
    <t>Náklady na finančnú činnosť spolu r.46+r.47+r.48+r.49+r.52+r.53+r.54</t>
  </si>
  <si>
    <t>45</t>
  </si>
  <si>
    <t>K.</t>
  </si>
  <si>
    <t>Predané cenné papiere a podiely (561)</t>
  </si>
  <si>
    <t>46</t>
  </si>
  <si>
    <t>L.</t>
  </si>
  <si>
    <t>Náklady na krátkodobý finančný majetok (566)</t>
  </si>
  <si>
    <t>47</t>
  </si>
  <si>
    <t>M.</t>
  </si>
  <si>
    <t>Opravné položky k finančnému majetku (+/-) (565)</t>
  </si>
  <si>
    <t>48</t>
  </si>
  <si>
    <t>N.</t>
  </si>
  <si>
    <t>Nákladové úroky ( r.50 + r.51 )</t>
  </si>
  <si>
    <t>49</t>
  </si>
  <si>
    <t>N.1.</t>
  </si>
  <si>
    <t>Nákladové úroky na prepojené ÚJ ( 562A )</t>
  </si>
  <si>
    <t>50</t>
  </si>
  <si>
    <t>Ostatné nákladové úroky ( 562A )</t>
  </si>
  <si>
    <t>51</t>
  </si>
  <si>
    <t>O.</t>
  </si>
  <si>
    <t>Kurzové straty (563)</t>
  </si>
  <si>
    <t>52</t>
  </si>
  <si>
    <t>P.</t>
  </si>
  <si>
    <t>Náklady na precenenie cenných papierov a náklady na derivátové operácie (564,567)</t>
  </si>
  <si>
    <t>53</t>
  </si>
  <si>
    <t>Q.</t>
  </si>
  <si>
    <t>Ostatné náklady na finančnú činnosť (568,569)</t>
  </si>
  <si>
    <t>54</t>
  </si>
  <si>
    <t>Výsledok hospodárenia z finančnej činnosti (+/-) (r.29 - r.45)</t>
  </si>
  <si>
    <t>55</t>
  </si>
  <si>
    <t>****</t>
  </si>
  <si>
    <t>Výsledok hospodárenia za účtovné obdobie pred zdanením (+/-) (r. 27 + r. 55)</t>
  </si>
  <si>
    <t>56</t>
  </si>
  <si>
    <t>R.</t>
  </si>
  <si>
    <t>Daň z príjmov (r. 58+ r.59)</t>
  </si>
  <si>
    <t>57</t>
  </si>
  <si>
    <t>R.1.</t>
  </si>
  <si>
    <t>Daň z príjmov splatná (591, 595)</t>
  </si>
  <si>
    <t>58</t>
  </si>
  <si>
    <t>Daň z príjmov odložená (+/-) (592)</t>
  </si>
  <si>
    <t>59</t>
  </si>
  <si>
    <t>S.</t>
  </si>
  <si>
    <t>Prevod podielov na výsledku hospodárenia spoločníkom (+/-596)</t>
  </si>
  <si>
    <t>60</t>
  </si>
  <si>
    <t>Výsledok hospodárenia za účtovné obdobie po zdanení (+/-) (r. 56- r. 57- r.60)</t>
  </si>
  <si>
    <t>61</t>
  </si>
  <si>
    <t>SPOLU MAJETOK r. 02+ r. 33+ r. 74</t>
  </si>
  <si>
    <t>001</t>
  </si>
  <si>
    <t>Neobežný majetok r. 03+ r. 11+ r. 21</t>
  </si>
  <si>
    <t>002</t>
  </si>
  <si>
    <t>A.l.</t>
  </si>
  <si>
    <t>Dlhodobý nehmotný majetok súčet (r. 04 až r. 10)</t>
  </si>
  <si>
    <t>003</t>
  </si>
  <si>
    <t>A.I.1</t>
  </si>
  <si>
    <t>Aktivované náklady na vývoj (012) - /072,091A/</t>
  </si>
  <si>
    <t>004</t>
  </si>
  <si>
    <t>Softvér (013) - /073,091A/</t>
  </si>
  <si>
    <t>005</t>
  </si>
  <si>
    <t>Oceniteľné práva (014) - /074,091A/</t>
  </si>
  <si>
    <t>006</t>
  </si>
  <si>
    <t>Goodwill (015) - /075,091A/</t>
  </si>
  <si>
    <t>007</t>
  </si>
  <si>
    <t>Ostatný dlhodobý nehmotný majetok (019,01X) - /079,07X,091A/</t>
  </si>
  <si>
    <t>008</t>
  </si>
  <si>
    <t>Obstarávaný dlhodobý nehmotný majetok (041) - /093/</t>
  </si>
  <si>
    <t>009</t>
  </si>
  <si>
    <t>Poskytnuté preddavky na dlhodobý nehmotný majetok (051) - /095A/</t>
  </si>
  <si>
    <t>010</t>
  </si>
  <si>
    <t>A.ll.</t>
  </si>
  <si>
    <t>Dlhodobý hmotný majetok súčet (r. 12 až 20)</t>
  </si>
  <si>
    <t>011</t>
  </si>
  <si>
    <t>A.ll.1.</t>
  </si>
  <si>
    <t>Pozemky (031) - /092A/</t>
  </si>
  <si>
    <t>012</t>
  </si>
  <si>
    <t>Stavby (021) - /081,092A/</t>
  </si>
  <si>
    <t>Samostatné hnuteľné veci a súbory hnuteľných vecí (022) - /082,092A/</t>
  </si>
  <si>
    <t>014</t>
  </si>
  <si>
    <t>Pestovateľské celky trvalých porastov (025) - /085,092A/</t>
  </si>
  <si>
    <t>015</t>
  </si>
  <si>
    <t>Základné stádo a ťažné zvieratá (026) - /086,092A/</t>
  </si>
  <si>
    <t>016</t>
  </si>
  <si>
    <t>Ostatný dlhodobý hmotný majetok (029,02X,032) - /089,08X,092A/</t>
  </si>
  <si>
    <t>017</t>
  </si>
  <si>
    <t>Obstarávaný dlhodobý hmotný majetok (042) - /094/</t>
  </si>
  <si>
    <t>018</t>
  </si>
  <si>
    <t>Poskytnuté preddavky na dlhodobý hmotný majetok (052) - /095A/</t>
  </si>
  <si>
    <t>Opravná položka k nadobudnutému majetku (+/- 097) +/- 098</t>
  </si>
  <si>
    <t>020</t>
  </si>
  <si>
    <t>A.lll.</t>
  </si>
  <si>
    <t>Dlhodobý finančný majetok súčet (r. 22 až 32)</t>
  </si>
  <si>
    <t>A.lll.1.</t>
  </si>
  <si>
    <t>Podielové cenné papiere a podiely v prepojených účtovných jednotkách (061A,062A,063A) - /096A/</t>
  </si>
  <si>
    <t>Podielové cenné papiere a podiely s podielovu účasťou okrem prepojených ÚJ  (062A) - /096A/</t>
  </si>
  <si>
    <t>023</t>
  </si>
  <si>
    <t>Ostatné realizovateľné cenné papiere a podiely (063A) - /096A/</t>
  </si>
  <si>
    <t>024</t>
  </si>
  <si>
    <t>Pôžičky prepojeným účtovným jednotkám (066A) - /096A/</t>
  </si>
  <si>
    <t>025</t>
  </si>
  <si>
    <t>Pôžičky v rámci podielovej účasti okrem prepojeným ÚJ (066A) - /096A/</t>
  </si>
  <si>
    <t>026</t>
  </si>
  <si>
    <t>Ostatné pôžičky (067A) - /096A/</t>
  </si>
  <si>
    <t>027</t>
  </si>
  <si>
    <t>Dlhové cenné papiere a ostatný dlhodobý finančný majetok ( 065A,069A,06XA ) - /096A/</t>
  </si>
  <si>
    <t>028</t>
  </si>
  <si>
    <t>Pôžičky a ostatný dlhodobý finančný majetok so zostatkovou dobou splatnosti najviac 1 rok ( 066A,067A,069A,06XA) - /096A/</t>
  </si>
  <si>
    <t>Účty v bankách s dobou viazanosti dhšou ako 1 rok (22XA)</t>
  </si>
  <si>
    <t>030</t>
  </si>
  <si>
    <t>Obstarávaný dlhodobý finančný majetok ( 043 ) - /096A/</t>
  </si>
  <si>
    <t>031</t>
  </si>
  <si>
    <t>Poskytnuté preddavky na dlhodobý finančný majetok ( 053 ) - /095A/</t>
  </si>
  <si>
    <t>032</t>
  </si>
  <si>
    <t>Obežný majetok r. 034+ r. 041+ r. 053+ r. 066+ r. 071</t>
  </si>
  <si>
    <t>033</t>
  </si>
  <si>
    <t>B.l.</t>
  </si>
  <si>
    <t>Zásoby súčet (r. 035 až r. 040)</t>
  </si>
  <si>
    <t>034</t>
  </si>
  <si>
    <t>B.l.1.</t>
  </si>
  <si>
    <t>Materiál (112,119,11X) - /191,19X/</t>
  </si>
  <si>
    <t>035</t>
  </si>
  <si>
    <t>Nedokončená výroba a polotovary vlastnej výroby(121,122, 12X) - /192,193,19X/</t>
  </si>
  <si>
    <t>036</t>
  </si>
  <si>
    <t>Výrobky (123) - /194/</t>
  </si>
  <si>
    <t>037</t>
  </si>
  <si>
    <t>Zvieratá (124) - /195/</t>
  </si>
  <si>
    <t>038</t>
  </si>
  <si>
    <t>Tovar ( 132,133,13X,139 ) - /196,19X/</t>
  </si>
  <si>
    <t>039</t>
  </si>
  <si>
    <t>Poskytnuté preddavky na zásoby (314A) - /391A/</t>
  </si>
  <si>
    <t>040</t>
  </si>
  <si>
    <t>B.ll.</t>
  </si>
  <si>
    <t>Dlhodobé pohľadávky súčet (r.042 + r.046 až r.052)</t>
  </si>
  <si>
    <t>041</t>
  </si>
  <si>
    <t>B.ll.1.</t>
  </si>
  <si>
    <t>Pohľadávky z obchodného styku súčet (r.043 až r.045)</t>
  </si>
  <si>
    <t>1.a.</t>
  </si>
  <si>
    <t>Pohľadávky z obchodného styku voči prepojeným ÚJ (311A,312A,313A,314A,315A,31XA) - /391A/</t>
  </si>
  <si>
    <t>043</t>
  </si>
  <si>
    <t>1.b.</t>
  </si>
  <si>
    <t>Pohľ.z obch.styku v rámci pod.účasti okrem pohľ.voči prep.ÚJ (311A,312A,313A,314A,315A,31XA) - /391A/</t>
  </si>
  <si>
    <t>044</t>
  </si>
  <si>
    <t>1.c.</t>
  </si>
  <si>
    <t>Ostatné pohľadávky z obchodného styku (311A,312A,313A,314A,315A,31XA) - /391A/</t>
  </si>
  <si>
    <t>045</t>
  </si>
  <si>
    <t>Čistá hodnota zákazky (316A)</t>
  </si>
  <si>
    <t>046</t>
  </si>
  <si>
    <t>Ostatné pohľadávky voči prepojeným ÚJ ( 351A ) - /391A/</t>
  </si>
  <si>
    <t>047</t>
  </si>
  <si>
    <t>Ostatné pohľ. v rámci podielovej účasti okrem pohľ.voči prep.ÚJ  (351A) - /391A/</t>
  </si>
  <si>
    <t>048</t>
  </si>
  <si>
    <t>Pohľadávky voči spoločníkom,členom a združeniu (354A,355A,358A,35XA) - /391A/</t>
  </si>
  <si>
    <t>049</t>
  </si>
  <si>
    <t>Pohľadávky z derivátových operácií (373A, 376A)</t>
  </si>
  <si>
    <t>050</t>
  </si>
  <si>
    <t>Iné pohľadávky (335A,336A,33XA,371A,374A,375A,378A) - /391A/</t>
  </si>
  <si>
    <t>051</t>
  </si>
  <si>
    <t>Odložená daňová pohľadávka (481 A)</t>
  </si>
  <si>
    <t>052</t>
  </si>
  <si>
    <t>B.lll.</t>
  </si>
  <si>
    <t>Krátkodobé pohľadávky súčet (r. 54 + r.58 až r.65)</t>
  </si>
  <si>
    <t>053</t>
  </si>
  <si>
    <t>B.lll.1.</t>
  </si>
  <si>
    <t>Pohľadávky z obchodného styku (súčet r.55 až r.57)</t>
  </si>
  <si>
    <t>054</t>
  </si>
  <si>
    <t>055</t>
  </si>
  <si>
    <t>056</t>
  </si>
  <si>
    <t>057</t>
  </si>
  <si>
    <t>058</t>
  </si>
  <si>
    <t>059</t>
  </si>
  <si>
    <t>060</t>
  </si>
  <si>
    <t>Pohľadávky voči spoločníkom,členom a združeniu (354A,355A,358A,35XA,398A) - /391A/</t>
  </si>
  <si>
    <t>061</t>
  </si>
  <si>
    <t>6.,</t>
  </si>
  <si>
    <t>Sociálne poistenie ( 336A ) - /391A/</t>
  </si>
  <si>
    <t>062</t>
  </si>
  <si>
    <t>Daňové pohľadávky a dotácie (341,342,343,345, 346, 347) - 391A</t>
  </si>
  <si>
    <t>063</t>
  </si>
  <si>
    <t>064</t>
  </si>
  <si>
    <t>Iné pohľadávky (335A,33XA,371A,374A,375A,378A) - /391A/</t>
  </si>
  <si>
    <t>065</t>
  </si>
  <si>
    <t>B.IV.</t>
  </si>
  <si>
    <t>Krátkodobý finančný majetok súčet (r. 67 až r.70)</t>
  </si>
  <si>
    <t>066</t>
  </si>
  <si>
    <t>B.IV.1.</t>
  </si>
  <si>
    <t>Krátkodobý finančný majetok v prepojených ÚJ (251A,253A,256A,257A,25XA) - /291A,29XA)</t>
  </si>
  <si>
    <t>067</t>
  </si>
  <si>
    <t>Krátkodobý fin.maj.bez krátkod.fin.maj. v prepojených ÚJ (251A,253A,256A,257A,25XA) - /291A,29XA/</t>
  </si>
  <si>
    <t>068</t>
  </si>
  <si>
    <t>Vlastné akcie a vlastné obchodné podiely (252)</t>
  </si>
  <si>
    <t>069</t>
  </si>
  <si>
    <t>Obstarávaný krátkodobý finančný majetok (259, 314A) - /291A/</t>
  </si>
  <si>
    <t>070</t>
  </si>
  <si>
    <t>B.V.</t>
  </si>
  <si>
    <t>Finančné účty r.072 + r. 073</t>
  </si>
  <si>
    <t>071</t>
  </si>
  <si>
    <t>B.V.1.</t>
  </si>
  <si>
    <t>Peniaze ( 211,213,21X )</t>
  </si>
  <si>
    <t>072</t>
  </si>
  <si>
    <t>Účty v bankách ( 221A, 22X +/-261 )</t>
  </si>
  <si>
    <t>Časové rozlíšenie súčet (r. 75 až r. 78)</t>
  </si>
  <si>
    <t>074</t>
  </si>
  <si>
    <t>C.1.</t>
  </si>
  <si>
    <t>Náklady budúcich období dlhodobé (381A,382A)</t>
  </si>
  <si>
    <t>075</t>
  </si>
  <si>
    <t>Náklady budúcich období krátkodobé (381A,382A)</t>
  </si>
  <si>
    <t>076</t>
  </si>
  <si>
    <t>Príjmy budúcich období dlhodobé (385A)</t>
  </si>
  <si>
    <t>077</t>
  </si>
  <si>
    <t>Príjmy budúcich období krátkodobé (385A)</t>
  </si>
  <si>
    <t>078</t>
  </si>
  <si>
    <t xml:space="preserve">Spolu vlastné imanie a záväzky ( r.080 + r.101 + r.141 ) </t>
  </si>
  <si>
    <t>Vlastné imanie r.081+r.085+r.086+r.087+r.090+r.093+r.097+r.100</t>
  </si>
  <si>
    <t>080</t>
  </si>
  <si>
    <t>Základné imanie súčet (r. 082 až r. 084)</t>
  </si>
  <si>
    <t>A.l.1.</t>
  </si>
  <si>
    <t>Základné imanie ( 411 alebo +/-491 )</t>
  </si>
  <si>
    <t>Zmena základného imania +/-419</t>
  </si>
  <si>
    <t>083</t>
  </si>
  <si>
    <t>Pohľadávky za upísané vlastné imanie (/-/353)</t>
  </si>
  <si>
    <t>084</t>
  </si>
  <si>
    <t>Emisné ážio (412)</t>
  </si>
  <si>
    <t>085</t>
  </si>
  <si>
    <t>A.III.</t>
  </si>
  <si>
    <t>Ostatné kapitálové fondy (413)</t>
  </si>
  <si>
    <t>086</t>
  </si>
  <si>
    <t>A.IV.</t>
  </si>
  <si>
    <t>Zákonné rezervné fondy r. 088 + r. 089</t>
  </si>
  <si>
    <t>087</t>
  </si>
  <si>
    <t>A.IV.1.</t>
  </si>
  <si>
    <t>Zákonný rezervný fond a nedeliteľný fond (417A,418,421A,422)</t>
  </si>
  <si>
    <t>088</t>
  </si>
  <si>
    <t>Rezervný fond na vlastné akcie a vlastné podiely ( 417A,421A )</t>
  </si>
  <si>
    <t>A.V.</t>
  </si>
  <si>
    <t>Ostatné fondy zo zisku r. 091 + r. 092</t>
  </si>
  <si>
    <t>090</t>
  </si>
  <si>
    <t>A.V.1.</t>
  </si>
  <si>
    <t>Štatutárne fondy ( 423, 42X )</t>
  </si>
  <si>
    <t>091</t>
  </si>
  <si>
    <t>Ostatné fondy ( 427, 42X )</t>
  </si>
  <si>
    <t>092</t>
  </si>
  <si>
    <t>A.Vl.</t>
  </si>
  <si>
    <t>Oceňovacie rozdiely z precenenia súčet (r. 094 až r. 096)</t>
  </si>
  <si>
    <t>093</t>
  </si>
  <si>
    <t>A.VI.1.</t>
  </si>
  <si>
    <t>Oceňovacie rozdiely z precenenia majetku a záväzkov (+/-414)</t>
  </si>
  <si>
    <t>094</t>
  </si>
  <si>
    <t>Oceňovacie rozdiely z kapitálových účastín (+/-415)</t>
  </si>
  <si>
    <t>095</t>
  </si>
  <si>
    <t>Oceňovacie rozdiely z precenenia pri zlúčení, splynutí a rozdelení (+/-416)</t>
  </si>
  <si>
    <t>096</t>
  </si>
  <si>
    <t>A.VII.</t>
  </si>
  <si>
    <t>Výsledok hospodárenia minulých rokov r. 098 + r.099</t>
  </si>
  <si>
    <t>097</t>
  </si>
  <si>
    <t>A.VII.1.</t>
  </si>
  <si>
    <t>Nerozdelený zisk z minulých rokov ( 428 )</t>
  </si>
  <si>
    <t>098</t>
  </si>
  <si>
    <t>Neuhradená strata minulých rokov (/-/429)</t>
  </si>
  <si>
    <t>099</t>
  </si>
  <si>
    <t>A.VIII.</t>
  </si>
  <si>
    <t>Výsledok hospodárenia za účtovné obdobie po zdanení /+- / r.01- (r. 81+ r.85+ r.86+ r. 87+ r. 90+ r. 93 + r.97 + r.101 + r.141)</t>
  </si>
  <si>
    <t>100</t>
  </si>
  <si>
    <t>Záväzky r. 102 + r. 118 + r. 121 + r. 122 + r.136 + r. 139 + r. 140</t>
  </si>
  <si>
    <t>101</t>
  </si>
  <si>
    <t>Dlhodobé záväzky súčet (r. 103 + r. 107 až r. 117)</t>
  </si>
  <si>
    <t>102</t>
  </si>
  <si>
    <t>Dlhodobé záväzky z obchodného styku súčet (r. 104 až r. 106)</t>
  </si>
  <si>
    <t>103</t>
  </si>
  <si>
    <t>Záväzky z obchodného styku voči prepojeným účtovným jednotkám (321A,475A,476A)</t>
  </si>
  <si>
    <t>104</t>
  </si>
  <si>
    <t>Záväzky z obchodného styku v rámci podielovej účasti okrem záväzkov voči prepojeným účtovným jednotkám (321A,475A,476A)</t>
  </si>
  <si>
    <t>105</t>
  </si>
  <si>
    <t>Ostatné záväzky z obchodného styku (321A,475A,476A)</t>
  </si>
  <si>
    <t>106</t>
  </si>
  <si>
    <t>107</t>
  </si>
  <si>
    <t>Ostatné záväzky voči prepojeným účtovným jednotkám (471A,47XA)</t>
  </si>
  <si>
    <t>108</t>
  </si>
  <si>
    <t>Ostatné záväzky v rámci podielovej účasti okrem záväzkov voči prep.ÚJ  (471A, 47XA)</t>
  </si>
  <si>
    <t>109</t>
  </si>
  <si>
    <t>Ostatné dlhodobé zázäzky ( 479A, 47XA )</t>
  </si>
  <si>
    <t>110</t>
  </si>
  <si>
    <t>Dlhodobé prijaté preddavky (475A)</t>
  </si>
  <si>
    <t>111</t>
  </si>
  <si>
    <t>Dlhodobé zmenky na úhradu (478A)</t>
  </si>
  <si>
    <t>112</t>
  </si>
  <si>
    <t>Vydané dlhopisy (473A,/-/255A)</t>
  </si>
  <si>
    <t>113</t>
  </si>
  <si>
    <t>Záväzky zo sociálneho fondu (472)</t>
  </si>
  <si>
    <t>114</t>
  </si>
  <si>
    <t>Iné dlhodobé záväzky ( 336A, 372A, 474A, 47XA)</t>
  </si>
  <si>
    <t>115</t>
  </si>
  <si>
    <t>Dlhodobé záväzky z derivátových operácií (373A, 377A)</t>
  </si>
  <si>
    <t>116</t>
  </si>
  <si>
    <t>Odložený daňový záväzok (481A)</t>
  </si>
  <si>
    <t>117</t>
  </si>
  <si>
    <t>B.II.</t>
  </si>
  <si>
    <t>Dlhodobé rezervy r. 119 + r. 120</t>
  </si>
  <si>
    <t>118</t>
  </si>
  <si>
    <t>B.lI.1.</t>
  </si>
  <si>
    <t>Zákonné rezervy ( 451A )</t>
  </si>
  <si>
    <t>119</t>
  </si>
  <si>
    <t>Ostatné rezervy ( 459A, 45XA )</t>
  </si>
  <si>
    <t>120</t>
  </si>
  <si>
    <t>B.III.</t>
  </si>
  <si>
    <t>Dlhodobé bankové úvery ( 461A, 46XA )</t>
  </si>
  <si>
    <t>121</t>
  </si>
  <si>
    <t>B.lV.</t>
  </si>
  <si>
    <t>Krátkodobé záväzky  súčet ( r. 123 + r. 127 až r. 135)</t>
  </si>
  <si>
    <t>122</t>
  </si>
  <si>
    <t>B.lV.1.</t>
  </si>
  <si>
    <t>Záväzky z obchodného styku súčet (r. 124 až r. 126)</t>
  </si>
  <si>
    <t>123</t>
  </si>
  <si>
    <t>Záväzky z obchodného styku voči prepojeným účtovným jednotkám (321A,322A,324A,325A,326A,32XA,475A,476A,478A,47XA)</t>
  </si>
  <si>
    <t>124</t>
  </si>
  <si>
    <t>záväzky z obchodného styku v rámci podielovej účasti okrem záväzkov voči prepojeným účt. jednotkám (321a,322a,324a,325a,326a,32xa,475a,476a,478a,47xa)</t>
  </si>
  <si>
    <t>125</t>
  </si>
  <si>
    <t>Ostatné záväzky z obchodného styku (321A,322A,324A,325A,326A,32XA,475A,476A,478A,47XA)</t>
  </si>
  <si>
    <t>126</t>
  </si>
  <si>
    <t>127</t>
  </si>
  <si>
    <t>Ostatné záväzky voči prepojeným účtovným jednotkám (361A,36XA,471A,47XA)</t>
  </si>
  <si>
    <t>128</t>
  </si>
  <si>
    <t>Ostatné záväzky v rámci podielovej účasti okrem záväzkov voči prepojeným účtovným jednotkám  (361A,36XA,471A,47XA)</t>
  </si>
  <si>
    <t>129</t>
  </si>
  <si>
    <t>Záväzky voči spoločníkom a združeniu ( 364, 365, 366, 367, 368, 398A, 478A, 479A)</t>
  </si>
  <si>
    <t>130</t>
  </si>
  <si>
    <t>Záväzky voči zamestnancom ( 331,333,33X,479A )</t>
  </si>
  <si>
    <t>Záväzky zo sociálneho poistenia ( 336A )</t>
  </si>
  <si>
    <t>Daňové záväzky a dotácie ( 341, 342, 343, 345, 346, 347, 34X )</t>
  </si>
  <si>
    <t>133</t>
  </si>
  <si>
    <t>Záväzky z derivátových operácií (373A, 377A)</t>
  </si>
  <si>
    <t>134</t>
  </si>
  <si>
    <t>Iné záväzky ( 372A, 379A, 474A, 475A, 479A, 47XA )</t>
  </si>
  <si>
    <t>135</t>
  </si>
  <si>
    <t>Krátkodobé rezervy r.137 +r.138</t>
  </si>
  <si>
    <t>136</t>
  </si>
  <si>
    <t>Zákonné rezervy ( 323A, 451A )</t>
  </si>
  <si>
    <t>137</t>
  </si>
  <si>
    <t>Ostatné rezervy (323A, 32X, 459A, 45XA)</t>
  </si>
  <si>
    <t>138</t>
  </si>
  <si>
    <t>B.VI.</t>
  </si>
  <si>
    <t>Bežné bankové úvery (221A,231,232,23X,461A,46XA)</t>
  </si>
  <si>
    <t>B.VII.</t>
  </si>
  <si>
    <t>Krátkodobé finančné výpomoci (241,249,24X,473A,/-/255A)</t>
  </si>
  <si>
    <t>140</t>
  </si>
  <si>
    <t>Časové rozlíšenie súčet (r. 142 až 145)</t>
  </si>
  <si>
    <t>141</t>
  </si>
  <si>
    <t>Výdavky budúcich období dlhodobé (383A)</t>
  </si>
  <si>
    <t>142</t>
  </si>
  <si>
    <t>Výdavky budúcich období krátkodobé (383A)</t>
  </si>
  <si>
    <t>143</t>
  </si>
  <si>
    <t>Výnosy budúcich období dlhodobé (384A)</t>
  </si>
  <si>
    <t>144</t>
  </si>
  <si>
    <t>Výnosy budúcich období krátkodobé (384A)</t>
  </si>
  <si>
    <t>145</t>
  </si>
  <si>
    <t>Dátum zostavenia ÚZ</t>
  </si>
  <si>
    <t>Obdobie od</t>
  </si>
  <si>
    <t>01.01.2024</t>
  </si>
  <si>
    <t>Obdobie do</t>
  </si>
  <si>
    <t>31.12.2024</t>
  </si>
  <si>
    <t>Bezprostredne predchádzajúce obdobie od</t>
  </si>
  <si>
    <t>01.01.2023</t>
  </si>
  <si>
    <t>Bezprostredne predchádzajúce obdobie do</t>
  </si>
  <si>
    <t>31.12.2023</t>
  </si>
  <si>
    <t>IČO</t>
  </si>
  <si>
    <t>DIČ</t>
  </si>
  <si>
    <t>Kód SK NACE</t>
  </si>
  <si>
    <t>Názov1</t>
  </si>
  <si>
    <t>SUN-CARE s.r.o.</t>
  </si>
  <si>
    <t>Názov2</t>
  </si>
  <si>
    <t>Ulica</t>
  </si>
  <si>
    <t>Moldavská cesta</t>
  </si>
  <si>
    <t>Číslo</t>
  </si>
  <si>
    <t>8/A</t>
  </si>
  <si>
    <t>PSČ</t>
  </si>
  <si>
    <t>040 11</t>
  </si>
  <si>
    <t>Názov obce</t>
  </si>
  <si>
    <t>Košice</t>
  </si>
  <si>
    <t>Číslo telefónu</t>
  </si>
  <si>
    <t>055/2813230</t>
  </si>
  <si>
    <t>Číslo faxu</t>
  </si>
  <si>
    <t>E-mail</t>
  </si>
  <si>
    <t>rybarova.vierka@drmax.sk</t>
  </si>
  <si>
    <t>c</t>
  </si>
  <si>
    <t>A. Informácie o účtovnej jednotke</t>
  </si>
  <si>
    <t xml:space="preserve">1. Hlavnými činnosťami spoločnosti  sú: </t>
  </si>
  <si>
    <r>
      <t>-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0"/>
        <color theme="1"/>
        <rFont val="Times New Roman"/>
        <family val="1"/>
        <charset val="238"/>
      </rPr>
      <t xml:space="preserve">kúpa tovaru na účely jeho predaja konečnému spotrebiteľovi (maloobchod) alebo iným prevádzkovateľom živnosti (veľkoobchod) 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</si>
  <si>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0"/>
        <color theme="1"/>
        <rFont val="Times New Roman"/>
        <family val="1"/>
        <charset val="238"/>
      </rPr>
      <t>sprostredkovanie obchodu a služieb v oblasti obchodu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</si>
  <si>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0"/>
        <color theme="1"/>
        <rFont val="Times New Roman"/>
        <family val="1"/>
        <charset val="238"/>
      </rPr>
      <t xml:space="preserve">poskytovanie lekárenskej starostlivosti vo verejnej lekárni. </t>
    </r>
  </si>
  <si>
    <t>2. Právny dôvod na zostavenie účtovnej závierky</t>
  </si>
  <si>
    <t>Účtovná závierka Spoločnosti k 31. decembru 2024 je zostavená ako riadna individuálna účtovná závierka. Bola zostavená za účtovné obdobie od 1. januára do 31. decembra 2024 podľa slovenských právnych predpisov, a to zákona o účtovníctve a postupov pre podnikateľov.</t>
  </si>
  <si>
    <t>3. Dátum schválenia účtovnej závierky za bezprostredne predchádzajúce účtovné obdobie</t>
  </si>
  <si>
    <t>Účtovná závierka Spoločnosti k 31. decembru 2023 za predchádzajúce účtovné obdobie, bola schválená Rozhodnutím spoločníkov spoločnosti dňa 20.08.2024.</t>
  </si>
  <si>
    <t>C. Informácie o konsolidovanom celku</t>
  </si>
  <si>
    <r>
      <t xml:space="preserve">Spoločnosť je dcérskou spoločnosťou spoločnosti Dr.Max Holding SK, a.s., so sídlom Einsteinova 23, Digital Park II/D,  Bratislava ktorá má </t>
    </r>
    <r>
      <rPr>
        <sz val="10"/>
        <color rgb="FFFF0000"/>
        <rFont val="Calibri"/>
        <family val="2"/>
        <charset val="238"/>
        <scheme val="minor"/>
      </rPr>
      <t>100</t>
    </r>
    <r>
      <rPr>
        <sz val="10"/>
        <color theme="1"/>
        <rFont val="Calibri"/>
        <family val="2"/>
        <charset val="238"/>
        <scheme val="minor"/>
      </rPr>
      <t xml:space="preserve">-percentný podiel na jej základnom imaní. </t>
    </r>
  </si>
  <si>
    <t xml:space="preserve">Materská spoločnosť Dr.Max Holding SK, a.s., je dcérskou spoločnosťou spoločnosti PHARMAX HOLDINGS LIMITED, so sídlom 3082 Limassol, Agias Fylaxeos Polygnostou 212, C I CENTER BUILDING, Cyprus a táto spoločnosť má 100-percentný podiel na jej základnom imaní. </t>
  </si>
  <si>
    <t xml:space="preserve">Účtovná závierka spoločnosti je zahrnutá do konsolidovanej účtovnej závierky spoločnosti Pharmax Holdings Limited, so sídlom 3082 Limassol, Agias Fylaxeos &amp; Polygnostou, 212, C&amp;I CENTER BUILDING, Cyprus (registračné číslo: HE 295375), ktorá zostavuje konsolidovanú účtovnú závierku podľa Medzinárodných štandardov finančného výkazníctva. </t>
  </si>
  <si>
    <t>D. Informácie o účtovných zásadách a účtovných metódach</t>
  </si>
  <si>
    <r>
      <t>a)</t>
    </r>
    <r>
      <rPr>
        <b/>
        <sz val="7"/>
        <color theme="1"/>
        <rFont val="Times New Roman"/>
        <family val="1"/>
        <charset val="238"/>
      </rPr>
      <t xml:space="preserve">       </t>
    </r>
    <r>
      <rPr>
        <b/>
        <sz val="10"/>
        <color theme="1"/>
        <rFont val="Times New Roman"/>
        <family val="1"/>
        <charset val="238"/>
      </rPr>
      <t xml:space="preserve">Východiská pre zostavenie účtovnej závierky </t>
    </r>
  </si>
  <si>
    <t>Účtovná závierka Spoločnosti bola zostavená za predpokladu nepretržitého trvania jej činnosti v súlade so zákonom o účtovníctve platným v Slovenskej republike a nadväzujúcimi postupmi účtovania. Účtovníctvo sa vedie v peňažných jednotkách slovenskej meny, t.j. v eurách.</t>
  </si>
  <si>
    <t>Účtovníctvo sa vedie na základe dodržania časovej a vecnej súvislosti nákladov a výnosov. Za základ sa berú všetky náklady a výnosy, ktoré sa vzťahujú na účtovné obdobie bez ohľadu na dátum ich platenia.</t>
  </si>
  <si>
    <r>
      <t>b)</t>
    </r>
    <r>
      <rPr>
        <b/>
        <sz val="7"/>
        <color theme="1"/>
        <rFont val="Times New Roman"/>
        <family val="1"/>
        <charset val="238"/>
      </rPr>
      <t xml:space="preserve">                  </t>
    </r>
    <r>
      <rPr>
        <b/>
        <sz val="10"/>
        <color theme="1"/>
        <rFont val="Times New Roman"/>
        <family val="1"/>
        <charset val="238"/>
      </rPr>
      <t xml:space="preserve">  Dlhodobý nehmotný a hmotný majetok</t>
    </r>
  </si>
  <si>
    <t>Dlhodobý hmotný a nehmotný majetok  sa odpisuje podľa plánu odpisov, ktorý bol stanovený vzhľadom na odhad reálnej ekonomickej životnosti. Majetok sa odpisuje počas predpokladanej doby používania zodpovedajúcej spotrebe budúcich ekonomických úžitkov z majetku. Účtovné odpisy sú rovnomerné. Majetok sa začína odpisovať v mesiaci zaradenia do používania.</t>
  </si>
  <si>
    <t>Daňové odpisy sa uplatňujú podľa sadzieb uvedených v zákone o daniach z príjmov  platných pre rovnomerné odpisovanie.</t>
  </si>
  <si>
    <r>
      <t>c)</t>
    </r>
    <r>
      <rPr>
        <b/>
        <sz val="7"/>
        <color theme="1"/>
        <rFont val="Times New Roman"/>
        <family val="1"/>
        <charset val="238"/>
      </rPr>
      <t xml:space="preserve"> </t>
    </r>
    <r>
      <rPr>
        <b/>
        <sz val="10"/>
        <color theme="1"/>
        <rFont val="Times New Roman"/>
        <family val="1"/>
        <charset val="238"/>
      </rPr>
      <t xml:space="preserve"> Zásoby</t>
    </r>
  </si>
  <si>
    <t>Zásoby nakupované sa oceňujú obstarávacou cenou, ktorá zahŕňa cenu zásob a náklady súvisiace s ich obstaraním (clo, prepravu, poistné, provízie, skonto a pod.). Úroky z cudzích zdrojov nie sú súčasťou obstarávacej ceny. Spoločnosť účtuje o zásobách spôsobom A.</t>
  </si>
  <si>
    <t xml:space="preserve">Zníženie hodnoty zásob sa upravuje vytvorením opravnej položky. </t>
  </si>
  <si>
    <r>
      <t>d)</t>
    </r>
    <r>
      <rPr>
        <b/>
        <sz val="7"/>
        <color theme="1"/>
        <rFont val="Times New Roman"/>
        <family val="1"/>
        <charset val="238"/>
      </rPr>
      <t xml:space="preserve"> </t>
    </r>
    <r>
      <rPr>
        <b/>
        <sz val="10"/>
        <color theme="1"/>
        <rFont val="Times New Roman"/>
        <family val="1"/>
        <charset val="238"/>
      </rPr>
      <t xml:space="preserve"> Pohľadávky</t>
    </r>
  </si>
  <si>
    <t>Pohľadávky pri ich vzniku sa oceňujú ich menovitou hodnotou; postúpené pohľadávky a pohľadávky nadobudnuté vkladom do základného imania sa oceňujú obstarávacou cenou, t.j. vrátane nákladov súvisiacich s obstaraním. Toto ocenenie sa znižuje o pochybné a nevymožiteľné pohľadávky.</t>
  </si>
  <si>
    <t xml:space="preserve">e) Peňažné prostriedky </t>
  </si>
  <si>
    <t>Peňažné prostriedky sa oceňujú ich menovitou hodnotou. Zníženie ich hodnoty sa vyjadruje opravnou položkou</t>
  </si>
  <si>
    <t>f) Náklady budúcich období a príjmy budúcich období</t>
  </si>
  <si>
    <t>Náklady budúcich období a príjmy budúcich období sa vykazujú vo výške, ktorá je potrebná na dodržanie zásady vecnej a časovej súvislosti s účtovným obdobím.</t>
  </si>
  <si>
    <t>g) Rezervy</t>
  </si>
  <si>
    <t xml:space="preserve">Rezervy sú záväzky s neurčitým časovým vymedzením alebo výškou, tvoria sa na krytie známych rizík alebo strát z podnikania. Oceňujú sa v očakávanej výške záväzku. </t>
  </si>
  <si>
    <t xml:space="preserve">h) Záväzky </t>
  </si>
  <si>
    <t>Záväzky pri ich vzniku sa oceňujú menovitou hodnotou. Záväzky pri ich prevzatí sa oceňujú obstarávacou cenou. Ak sa pri inventarizácii zistí, že suma záväzkov je iná ako ich výška v účtovníctve, uvedú sa záväzky v účtovníctve a v účtovnej závierke v tomto zistenom ocenení.</t>
  </si>
  <si>
    <t>i) Výdavky budúcich období a výnosy budúcich období</t>
  </si>
  <si>
    <t>Výdavky budúcich období a výnosy budúcich období sú vykázané vo výške, ktorá je potrebná na dodržanie zásady vecnej a časovej súvislosti s účtovným obdobím.</t>
  </si>
  <si>
    <r>
      <t>l)</t>
    </r>
    <r>
      <rPr>
        <b/>
        <sz val="7"/>
        <color theme="1"/>
        <rFont val="Times New Roman"/>
        <family val="1"/>
        <charset val="238"/>
      </rPr>
      <t xml:space="preserve">                    </t>
    </r>
    <r>
      <rPr>
        <b/>
        <sz val="10"/>
        <color theme="1"/>
        <rFont val="Times New Roman"/>
        <family val="1"/>
        <charset val="238"/>
      </rPr>
      <t>Výnosy</t>
    </r>
  </si>
  <si>
    <t>Tržby za vlastné výkony a tovar neobsahujú daň z pridanej hodnoty. Sú tiež znížené o zľavy a zrážky (rabaty, bonusy, skontá, dobropisy a pod.) bez ohľadu na to, či zákazník mal vopred na zľavu nárok, alebo či ide o dodatočne uznanú zľavu. Tržby sú účtované ku dňu splnenia dodávky alebo služby.</t>
  </si>
  <si>
    <t>E.Informácie o skutočnostiach, ktoré nastali po dni, ku ktorému
 sa zostavuje účtovná závierka, do dňa zostavenia účtovnej závierky</t>
  </si>
  <si>
    <t>Po 31. decembri 2024 a do dňa zostavenia účtovnej závierky nenastali žiadne také udalosti, ktoré by významným spôsobom ovplyvnili aktíva a pasíva spoločnosti, okrem tých, ktoré sú uvedené vyššie a ktoré sú výsledkom bežnej činnosti.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</si>
</sst>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"/>
  </numFmts>
  <fonts count="2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11"/>
      <color theme="3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7"/>
      <color theme="1"/>
      <name val="Times New Roman"/>
      <family val="1"/>
      <charset val="238"/>
    </font>
    <font>
      <b/>
      <sz val="7"/>
      <color theme="1"/>
      <name val="Times New Roman"/>
      <family val="1"/>
      <charset val="238"/>
    </font>
    <font>
      <sz val="10"/>
      <color rgb="FFFF0000"/>
      <name val="Calibri"/>
      <family val="2"/>
      <charset val="238"/>
      <scheme val="minor"/>
    </font>
    <font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40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7" fillId="0" borderId="0"/>
  </cellStyleXfs>
  <cellXfs count="248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0" fontId="0" fillId="0" borderId="0" xfId="0" applyAlignment="1">
      <alignment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justify"/>
    </xf>
    <xf numFmtId="0" fontId="0" fillId="0" borderId="29" xfId="0" applyBorder="1" applyAlignment="1">
      <alignment horizontal="center"/>
    </xf>
    <xf numFmtId="0" fontId="0" fillId="0" borderId="29" xfId="0" applyBorder="1"/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3" fontId="6" fillId="0" borderId="4" xfId="0" applyNumberFormat="1" applyFont="1" applyBorder="1" applyAlignment="1">
      <alignment horizontal="right" vertical="center" wrapText="1"/>
    </xf>
    <xf numFmtId="0" fontId="6" fillId="0" borderId="5" xfId="0" applyFont="1" applyBorder="1" applyAlignment="1">
      <alignment vertical="center" wrapText="1"/>
    </xf>
    <xf numFmtId="3" fontId="6" fillId="0" borderId="6" xfId="0" applyNumberFormat="1" applyFont="1" applyBorder="1" applyAlignment="1">
      <alignment horizontal="right" vertical="center" wrapText="1"/>
    </xf>
    <xf numFmtId="0" fontId="6" fillId="0" borderId="7" xfId="0" applyFont="1" applyBorder="1" applyAlignment="1">
      <alignment vertical="center" wrapText="1"/>
    </xf>
    <xf numFmtId="3" fontId="6" fillId="0" borderId="8" xfId="0" applyNumberFormat="1" applyFont="1" applyBorder="1" applyAlignment="1">
      <alignment horizontal="right" vertical="center" wrapText="1"/>
    </xf>
    <xf numFmtId="0" fontId="6" fillId="0" borderId="0" xfId="0" applyFont="1"/>
    <xf numFmtId="0" fontId="6" fillId="0" borderId="0" xfId="0" applyFont="1" applyAlignment="1">
      <alignment vertical="center"/>
    </xf>
    <xf numFmtId="0" fontId="5" fillId="0" borderId="8" xfId="0" applyFont="1" applyBorder="1" applyAlignment="1">
      <alignment horizontal="center" vertical="center" wrapText="1"/>
    </xf>
    <xf numFmtId="3" fontId="6" fillId="0" borderId="13" xfId="0" applyNumberFormat="1" applyFont="1" applyBorder="1" applyAlignment="1">
      <alignment horizontal="right" vertical="center" wrapText="1"/>
    </xf>
    <xf numFmtId="0" fontId="5" fillId="0" borderId="7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6" fillId="0" borderId="15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3" fontId="5" fillId="0" borderId="14" xfId="0" applyNumberFormat="1" applyFont="1" applyBorder="1" applyAlignment="1">
      <alignment horizontal="right" vertical="center" wrapText="1"/>
    </xf>
    <xf numFmtId="0" fontId="5" fillId="0" borderId="25" xfId="0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right" vertical="center" wrapText="1"/>
    </xf>
    <xf numFmtId="0" fontId="5" fillId="0" borderId="15" xfId="0" applyFont="1" applyBorder="1" applyAlignment="1">
      <alignment vertical="center" wrapText="1"/>
    </xf>
    <xf numFmtId="0" fontId="6" fillId="0" borderId="5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3" fontId="6" fillId="0" borderId="8" xfId="0" applyNumberFormat="1" applyFont="1" applyBorder="1" applyAlignment="1">
      <alignment horizontal="right" vertical="center"/>
    </xf>
    <xf numFmtId="3" fontId="6" fillId="0" borderId="13" xfId="0" applyNumberFormat="1" applyFont="1" applyBorder="1" applyAlignment="1">
      <alignment horizontal="right" vertical="center"/>
    </xf>
    <xf numFmtId="3" fontId="6" fillId="0" borderId="6" xfId="0" applyNumberFormat="1" applyFont="1" applyBorder="1" applyAlignment="1">
      <alignment horizontal="right" vertical="center"/>
    </xf>
    <xf numFmtId="3" fontId="5" fillId="0" borderId="14" xfId="0" applyNumberFormat="1" applyFont="1" applyBorder="1" applyAlignment="1">
      <alignment horizontal="right" vertical="center"/>
    </xf>
    <xf numFmtId="0" fontId="5" fillId="0" borderId="25" xfId="0" applyFont="1" applyBorder="1" applyAlignment="1">
      <alignment horizontal="center" vertical="center"/>
    </xf>
    <xf numFmtId="3" fontId="6" fillId="0" borderId="14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horizontal="left" vertical="center" wrapText="1"/>
    </xf>
    <xf numFmtId="0" fontId="6" fillId="0" borderId="23" xfId="0" applyFont="1" applyBorder="1" applyAlignment="1">
      <alignment vertical="center" wrapText="1"/>
    </xf>
    <xf numFmtId="0" fontId="6" fillId="0" borderId="30" xfId="0" applyFont="1" applyBorder="1" applyAlignment="1">
      <alignment vertical="center" wrapText="1"/>
    </xf>
    <xf numFmtId="0" fontId="5" fillId="0" borderId="14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/>
    </xf>
    <xf numFmtId="0" fontId="5" fillId="0" borderId="20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/>
    </xf>
    <xf numFmtId="0" fontId="5" fillId="0" borderId="9" xfId="0" applyFont="1" applyBorder="1" applyAlignment="1">
      <alignment vertical="center" wrapText="1"/>
    </xf>
    <xf numFmtId="0" fontId="5" fillId="0" borderId="26" xfId="0" applyFont="1" applyBorder="1" applyAlignment="1">
      <alignment vertical="center" wrapText="1"/>
    </xf>
    <xf numFmtId="3" fontId="6" fillId="0" borderId="14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9" fontId="6" fillId="0" borderId="13" xfId="1" applyFont="1" applyBorder="1" applyAlignment="1">
      <alignment horizontal="right" vertical="center"/>
    </xf>
    <xf numFmtId="9" fontId="6" fillId="0" borderId="6" xfId="1" applyFont="1" applyBorder="1" applyAlignment="1">
      <alignment horizontal="right" vertical="center"/>
    </xf>
    <xf numFmtId="0" fontId="6" fillId="0" borderId="26" xfId="0" applyFont="1" applyBorder="1" applyAlignment="1">
      <alignment vertical="center" wrapText="1"/>
    </xf>
    <xf numFmtId="3" fontId="6" fillId="0" borderId="17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0" fillId="0" borderId="0" xfId="0" applyAlignment="1">
      <alignment horizontal="center"/>
    </xf>
    <xf numFmtId="3" fontId="5" fillId="0" borderId="18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horizontal="left" vertical="center"/>
    </xf>
    <xf numFmtId="3" fontId="5" fillId="0" borderId="6" xfId="0" applyNumberFormat="1" applyFont="1" applyBorder="1" applyAlignment="1">
      <alignment horizontal="right" vertical="center"/>
    </xf>
    <xf numFmtId="9" fontId="6" fillId="0" borderId="8" xfId="1" applyFont="1" applyBorder="1" applyAlignment="1">
      <alignment horizontal="right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3" fontId="6" fillId="0" borderId="23" xfId="0" applyNumberFormat="1" applyFont="1" applyBorder="1" applyAlignment="1">
      <alignment horizontal="right" vertical="center"/>
    </xf>
    <xf numFmtId="3" fontId="6" fillId="0" borderId="13" xfId="0" applyNumberFormat="1" applyFont="1" applyBorder="1" applyAlignment="1">
      <alignment horizontal="center" vertical="center" wrapText="1"/>
    </xf>
    <xf numFmtId="0" fontId="9" fillId="0" borderId="0" xfId="0" applyFont="1"/>
    <xf numFmtId="0" fontId="6" fillId="0" borderId="21" xfId="0" applyFont="1" applyBorder="1" applyAlignment="1">
      <alignment vertical="center" wrapText="1"/>
    </xf>
    <xf numFmtId="0" fontId="6" fillId="0" borderId="34" xfId="0" applyFont="1" applyBorder="1" applyAlignment="1">
      <alignment vertical="center" wrapText="1"/>
    </xf>
    <xf numFmtId="0" fontId="5" fillId="0" borderId="20" xfId="0" applyFont="1" applyBorder="1" applyAlignment="1">
      <alignment vertical="center" wrapText="1"/>
    </xf>
    <xf numFmtId="3" fontId="5" fillId="0" borderId="30" xfId="0" applyNumberFormat="1" applyFont="1" applyBorder="1" applyAlignment="1">
      <alignment horizontal="right" vertical="center" wrapText="1"/>
    </xf>
    <xf numFmtId="0" fontId="6" fillId="0" borderId="20" xfId="0" applyFont="1" applyBorder="1" applyAlignment="1">
      <alignment vertical="center" wrapText="1"/>
    </xf>
    <xf numFmtId="0" fontId="11" fillId="0" borderId="0" xfId="0" applyFont="1"/>
    <xf numFmtId="0" fontId="8" fillId="0" borderId="0" xfId="0" applyFont="1" applyAlignment="1">
      <alignment vertical="center"/>
    </xf>
    <xf numFmtId="3" fontId="5" fillId="0" borderId="30" xfId="0" applyNumberFormat="1" applyFont="1" applyBorder="1" applyAlignment="1">
      <alignment horizontal="right" vertical="center"/>
    </xf>
    <xf numFmtId="3" fontId="5" fillId="0" borderId="35" xfId="0" applyNumberFormat="1" applyFont="1" applyBorder="1" applyAlignment="1">
      <alignment horizontal="right" vertical="center"/>
    </xf>
    <xf numFmtId="3" fontId="5" fillId="0" borderId="4" xfId="0" applyNumberFormat="1" applyFont="1" applyBorder="1" applyAlignment="1">
      <alignment horizontal="right" vertical="center"/>
    </xf>
    <xf numFmtId="3" fontId="5" fillId="0" borderId="23" xfId="0" applyNumberFormat="1" applyFont="1" applyBorder="1" applyAlignment="1">
      <alignment horizontal="right" vertical="center"/>
    </xf>
    <xf numFmtId="0" fontId="5" fillId="0" borderId="9" xfId="0" applyFont="1" applyBorder="1" applyAlignment="1">
      <alignment horizontal="center" vertical="center" wrapText="1"/>
    </xf>
    <xf numFmtId="3" fontId="5" fillId="0" borderId="38" xfId="0" applyNumberFormat="1" applyFont="1" applyBorder="1" applyAlignment="1">
      <alignment horizontal="right" vertical="center" wrapText="1"/>
    </xf>
    <xf numFmtId="3" fontId="5" fillId="0" borderId="13" xfId="0" applyNumberFormat="1" applyFont="1" applyBorder="1" applyAlignment="1">
      <alignment horizontal="right" vertical="center" wrapText="1"/>
    </xf>
    <xf numFmtId="0" fontId="10" fillId="0" borderId="0" xfId="0" applyFont="1"/>
    <xf numFmtId="3" fontId="14" fillId="2" borderId="13" xfId="0" applyNumberFormat="1" applyFont="1" applyFill="1" applyBorder="1" applyAlignment="1">
      <alignment horizontal="right" vertical="center" wrapText="1"/>
    </xf>
    <xf numFmtId="3" fontId="14" fillId="2" borderId="17" xfId="0" applyNumberFormat="1" applyFont="1" applyFill="1" applyBorder="1" applyAlignment="1">
      <alignment horizontal="right" vertical="center" wrapText="1"/>
    </xf>
    <xf numFmtId="0" fontId="14" fillId="2" borderId="11" xfId="0" applyFont="1" applyFill="1" applyBorder="1" applyAlignment="1">
      <alignment vertical="center" wrapText="1"/>
    </xf>
    <xf numFmtId="3" fontId="14" fillId="2" borderId="14" xfId="0" applyNumberFormat="1" applyFont="1" applyFill="1" applyBorder="1" applyAlignment="1">
      <alignment horizontal="right" vertical="center" wrapText="1"/>
    </xf>
    <xf numFmtId="0" fontId="0" fillId="2" borderId="0" xfId="0" applyFill="1"/>
    <xf numFmtId="0" fontId="0" fillId="0" borderId="0" xfId="0" applyBorder="1"/>
    <xf numFmtId="49" fontId="14" fillId="0" borderId="0" xfId="0" applyNumberFormat="1" applyFont="1" applyBorder="1" applyAlignment="1">
      <alignment horizontal="left" vertical="top"/>
    </xf>
    <xf numFmtId="0" fontId="14" fillId="0" borderId="0" xfId="0" applyFont="1" applyBorder="1" applyAlignment="1">
      <alignment horizontal="left" vertical="top"/>
    </xf>
    <xf numFmtId="164" fontId="14" fillId="0" borderId="0" xfId="0" applyNumberFormat="1" applyFont="1" applyBorder="1" applyAlignment="1">
      <alignment horizontal="right" vertical="top"/>
    </xf>
    <xf numFmtId="49" fontId="6" fillId="0" borderId="0" xfId="0" applyNumberFormat="1" applyFont="1" applyBorder="1"/>
    <xf numFmtId="0" fontId="6" fillId="0" borderId="0" xfId="0" applyFont="1" applyBorder="1"/>
    <xf numFmtId="164" fontId="6" fillId="0" borderId="0" xfId="0" applyNumberFormat="1" applyFont="1" applyBorder="1"/>
    <xf numFmtId="0" fontId="16" fillId="0" borderId="0" xfId="0" applyFont="1" applyBorder="1"/>
    <xf numFmtId="49" fontId="16" fillId="0" borderId="0" xfId="0" applyNumberFormat="1" applyFont="1" applyBorder="1"/>
    <xf numFmtId="164" fontId="16" fillId="0" borderId="0" xfId="0" applyNumberFormat="1" applyFont="1" applyBorder="1"/>
    <xf numFmtId="49" fontId="15" fillId="3" borderId="29" xfId="0" applyNumberFormat="1" applyFont="1" applyFill="1" applyBorder="1" applyAlignment="1">
      <alignment horizontal="left" vertical="top" wrapText="1"/>
    </xf>
    <xf numFmtId="0" fontId="15" fillId="3" borderId="29" xfId="0" applyFont="1" applyFill="1" applyBorder="1" applyAlignment="1">
      <alignment horizontal="left" vertical="top" wrapText="1"/>
    </xf>
    <xf numFmtId="164" fontId="15" fillId="3" borderId="29" xfId="0" applyNumberFormat="1" applyFont="1" applyFill="1" applyBorder="1" applyAlignment="1">
      <alignment horizontal="right" vertical="top" wrapText="1"/>
    </xf>
    <xf numFmtId="0" fontId="6" fillId="3" borderId="29" xfId="0" applyFont="1" applyFill="1" applyBorder="1"/>
    <xf numFmtId="49" fontId="6" fillId="0" borderId="0" xfId="0" applyNumberFormat="1" applyFont="1" applyAlignment="1">
      <alignment vertical="center"/>
    </xf>
    <xf numFmtId="3" fontId="6" fillId="2" borderId="6" xfId="0" applyNumberFormat="1" applyFont="1" applyFill="1" applyBorder="1" applyAlignment="1">
      <alignment horizontal="right" vertical="center" wrapText="1"/>
    </xf>
    <xf numFmtId="0" fontId="10" fillId="2" borderId="0" xfId="0" applyFont="1" applyFill="1" applyAlignment="1">
      <alignment horizontal="center"/>
    </xf>
    <xf numFmtId="3" fontId="6" fillId="2" borderId="8" xfId="0" applyNumberFormat="1" applyFont="1" applyFill="1" applyBorder="1" applyAlignment="1">
      <alignment horizontal="right" vertical="center" wrapText="1"/>
    </xf>
    <xf numFmtId="0" fontId="6" fillId="2" borderId="11" xfId="0" applyFont="1" applyFill="1" applyBorder="1" applyAlignment="1">
      <alignment vertical="center" wrapText="1"/>
    </xf>
    <xf numFmtId="0" fontId="6" fillId="2" borderId="10" xfId="0" applyFont="1" applyFill="1" applyBorder="1" applyAlignment="1">
      <alignment vertical="center" wrapText="1"/>
    </xf>
    <xf numFmtId="3" fontId="6" fillId="2" borderId="13" xfId="0" applyNumberFormat="1" applyFont="1" applyFill="1" applyBorder="1" applyAlignment="1">
      <alignment horizontal="right" vertical="center" wrapText="1"/>
    </xf>
    <xf numFmtId="3" fontId="6" fillId="2" borderId="14" xfId="0" applyNumberFormat="1" applyFont="1" applyFill="1" applyBorder="1" applyAlignment="1">
      <alignment horizontal="right" vertical="center" wrapText="1"/>
    </xf>
    <xf numFmtId="0" fontId="12" fillId="2" borderId="0" xfId="0" applyFont="1" applyFill="1" applyAlignment="1">
      <alignment horizontal="center"/>
    </xf>
    <xf numFmtId="0" fontId="9" fillId="2" borderId="0" xfId="0" applyFont="1" applyFill="1"/>
    <xf numFmtId="0" fontId="6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/>
    </xf>
    <xf numFmtId="0" fontId="5" fillId="2" borderId="1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2" fillId="2" borderId="0" xfId="0" applyFont="1" applyFill="1"/>
    <xf numFmtId="3" fontId="13" fillId="2" borderId="13" xfId="0" applyNumberFormat="1" applyFont="1" applyFill="1" applyBorder="1" applyAlignment="1">
      <alignment horizontal="right" vertical="center" wrapText="1"/>
    </xf>
    <xf numFmtId="0" fontId="6" fillId="2" borderId="11" xfId="0" applyFont="1" applyFill="1" applyBorder="1" applyAlignment="1">
      <alignment horizontal="right" vertical="center" wrapText="1"/>
    </xf>
    <xf numFmtId="0" fontId="6" fillId="2" borderId="19" xfId="0" applyFont="1" applyFill="1" applyBorder="1" applyAlignment="1">
      <alignment horizontal="right" vertical="center" wrapText="1"/>
    </xf>
    <xf numFmtId="1" fontId="13" fillId="2" borderId="28" xfId="0" applyNumberFormat="1" applyFont="1" applyFill="1" applyBorder="1" applyAlignment="1">
      <alignment horizontal="right" vertical="center" wrapText="1"/>
    </xf>
    <xf numFmtId="3" fontId="8" fillId="2" borderId="13" xfId="0" applyNumberFormat="1" applyFont="1" applyFill="1" applyBorder="1" applyAlignment="1">
      <alignment horizontal="right" vertical="center" wrapText="1"/>
    </xf>
    <xf numFmtId="0" fontId="14" fillId="2" borderId="11" xfId="0" applyFont="1" applyFill="1" applyBorder="1" applyAlignment="1">
      <alignment horizontal="right" vertical="center" wrapText="1"/>
    </xf>
    <xf numFmtId="0" fontId="2" fillId="2" borderId="0" xfId="0" applyFont="1" applyFill="1" applyAlignment="1">
      <alignment horizontal="left"/>
    </xf>
    <xf numFmtId="0" fontId="3" fillId="2" borderId="0" xfId="0" applyFont="1" applyFill="1"/>
    <xf numFmtId="0" fontId="0" fillId="2" borderId="0" xfId="0" applyFill="1" applyAlignment="1">
      <alignment wrapText="1"/>
    </xf>
    <xf numFmtId="0" fontId="6" fillId="2" borderId="15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vertical="center" wrapText="1"/>
    </xf>
    <xf numFmtId="0" fontId="14" fillId="2" borderId="0" xfId="0" applyFont="1" applyFill="1" applyAlignment="1">
      <alignment vertical="center"/>
    </xf>
    <xf numFmtId="0" fontId="13" fillId="2" borderId="1" xfId="0" applyFont="1" applyFill="1" applyBorder="1" applyAlignment="1">
      <alignment horizontal="center" vertical="center" wrapText="1"/>
    </xf>
    <xf numFmtId="0" fontId="14" fillId="2" borderId="15" xfId="0" applyFont="1" applyFill="1" applyBorder="1" applyAlignment="1">
      <alignment vertical="center" wrapText="1"/>
    </xf>
    <xf numFmtId="0" fontId="14" fillId="2" borderId="10" xfId="0" applyFont="1" applyFill="1" applyBorder="1" applyAlignment="1">
      <alignment vertical="center" wrapText="1"/>
    </xf>
    <xf numFmtId="0" fontId="13" fillId="2" borderId="5" xfId="0" applyFont="1" applyFill="1" applyBorder="1" applyAlignment="1">
      <alignment vertical="center" wrapText="1"/>
    </xf>
    <xf numFmtId="3" fontId="14" fillId="2" borderId="6" xfId="0" applyNumberFormat="1" applyFont="1" applyFill="1" applyBorder="1" applyAlignment="1">
      <alignment horizontal="right" vertical="center" wrapText="1"/>
    </xf>
    <xf numFmtId="0" fontId="14" fillId="2" borderId="5" xfId="0" applyFont="1" applyFill="1" applyBorder="1" applyAlignment="1">
      <alignment vertical="center" wrapText="1"/>
    </xf>
    <xf numFmtId="0" fontId="13" fillId="2" borderId="7" xfId="0" applyFont="1" applyFill="1" applyBorder="1" applyAlignment="1">
      <alignment vertical="center" wrapText="1"/>
    </xf>
    <xf numFmtId="3" fontId="14" fillId="2" borderId="8" xfId="0" applyNumberFormat="1" applyFont="1" applyFill="1" applyBorder="1" applyAlignment="1">
      <alignment horizontal="right" vertical="center" wrapText="1"/>
    </xf>
    <xf numFmtId="0" fontId="14" fillId="2" borderId="0" xfId="0" applyFont="1" applyFill="1" applyAlignment="1">
      <alignment horizontal="right" vertical="center"/>
    </xf>
    <xf numFmtId="0" fontId="13" fillId="2" borderId="10" xfId="0" applyFont="1" applyFill="1" applyBorder="1" applyAlignment="1">
      <alignment horizontal="right" vertical="center" wrapText="1"/>
    </xf>
    <xf numFmtId="3" fontId="8" fillId="2" borderId="0" xfId="0" applyNumberFormat="1" applyFont="1" applyFill="1" applyBorder="1" applyAlignment="1">
      <alignment horizontal="center" vertical="center" wrapText="1"/>
    </xf>
    <xf numFmtId="3" fontId="13" fillId="2" borderId="8" xfId="0" applyNumberFormat="1" applyFont="1" applyFill="1" applyBorder="1" applyAlignment="1">
      <alignment horizontal="right" vertical="center" wrapText="1"/>
    </xf>
    <xf numFmtId="3" fontId="14" fillId="0" borderId="13" xfId="0" applyNumberFormat="1" applyFont="1" applyBorder="1" applyAlignment="1">
      <alignment horizontal="right" vertical="center" wrapText="1"/>
    </xf>
    <xf numFmtId="3" fontId="13" fillId="2" borderId="0" xfId="0" applyNumberFormat="1" applyFont="1" applyFill="1" applyBorder="1" applyAlignment="1">
      <alignment horizontal="center" vertical="center" wrapText="1"/>
    </xf>
    <xf numFmtId="3" fontId="13" fillId="2" borderId="28" xfId="0" applyNumberFormat="1" applyFont="1" applyFill="1" applyBorder="1" applyAlignment="1">
      <alignment horizontal="right" vertical="center" wrapText="1"/>
    </xf>
    <xf numFmtId="3" fontId="13" fillId="2" borderId="17" xfId="0" applyNumberFormat="1" applyFont="1" applyFill="1" applyBorder="1" applyAlignment="1">
      <alignment horizontal="right" vertical="center" wrapText="1"/>
    </xf>
    <xf numFmtId="0" fontId="17" fillId="2" borderId="0" xfId="0" applyFont="1" applyFill="1" applyAlignment="1">
      <alignment horizontal="right" wrapText="1"/>
    </xf>
    <xf numFmtId="3" fontId="13" fillId="2" borderId="0" xfId="0" applyNumberFormat="1" applyFont="1" applyFill="1" applyBorder="1" applyAlignment="1">
      <alignment horizontal="right" vertical="center" wrapText="1"/>
    </xf>
    <xf numFmtId="3" fontId="13" fillId="2" borderId="38" xfId="0" applyNumberFormat="1" applyFont="1" applyFill="1" applyBorder="1" applyAlignment="1">
      <alignment horizontal="right" vertical="center" wrapText="1"/>
    </xf>
    <xf numFmtId="0" fontId="17" fillId="2" borderId="0" xfId="0" applyFont="1" applyFill="1"/>
    <xf numFmtId="3" fontId="13" fillId="2" borderId="6" xfId="0" applyNumberFormat="1" applyFont="1" applyFill="1" applyBorder="1" applyAlignment="1">
      <alignment horizontal="right" vertical="center" wrapText="1"/>
    </xf>
    <xf numFmtId="0" fontId="17" fillId="2" borderId="0" xfId="0" applyFont="1" applyFill="1" applyAlignment="1">
      <alignment horizontal="right"/>
    </xf>
    <xf numFmtId="3" fontId="13" fillId="2" borderId="35" xfId="0" applyNumberFormat="1" applyFont="1" applyFill="1" applyBorder="1" applyAlignment="1">
      <alignment horizontal="right" vertical="center" wrapText="1"/>
    </xf>
    <xf numFmtId="3" fontId="13" fillId="2" borderId="36" xfId="0" applyNumberFormat="1" applyFont="1" applyFill="1" applyBorder="1" applyAlignment="1">
      <alignment horizontal="right" vertical="center" wrapText="1"/>
    </xf>
    <xf numFmtId="3" fontId="13" fillId="2" borderId="23" xfId="0" applyNumberFormat="1" applyFont="1" applyFill="1" applyBorder="1" applyAlignment="1">
      <alignment horizontal="right" vertical="center" wrapText="1"/>
    </xf>
    <xf numFmtId="3" fontId="13" fillId="2" borderId="24" xfId="0" applyNumberFormat="1" applyFont="1" applyFill="1" applyBorder="1" applyAlignment="1">
      <alignment horizontal="right" vertical="center" wrapText="1"/>
    </xf>
    <xf numFmtId="3" fontId="14" fillId="2" borderId="13" xfId="0" applyNumberFormat="1" applyFont="1" applyFill="1" applyBorder="1" applyAlignment="1">
      <alignment horizontal="right" vertical="center"/>
    </xf>
    <xf numFmtId="3" fontId="13" fillId="2" borderId="6" xfId="0" applyNumberFormat="1" applyFont="1" applyFill="1" applyBorder="1" applyAlignment="1">
      <alignment horizontal="right" vertical="center"/>
    </xf>
    <xf numFmtId="3" fontId="14" fillId="2" borderId="23" xfId="0" applyNumberFormat="1" applyFont="1" applyFill="1" applyBorder="1" applyAlignment="1">
      <alignment horizontal="right" vertical="center"/>
    </xf>
    <xf numFmtId="3" fontId="14" fillId="2" borderId="30" xfId="0" applyNumberFormat="1" applyFont="1" applyFill="1" applyBorder="1" applyAlignment="1">
      <alignment horizontal="right" vertical="center"/>
    </xf>
    <xf numFmtId="3" fontId="13" fillId="2" borderId="33" xfId="0" applyNumberFormat="1" applyFont="1" applyFill="1" applyBorder="1" applyAlignment="1">
      <alignment horizontal="right" vertical="center"/>
    </xf>
    <xf numFmtId="0" fontId="13" fillId="2" borderId="8" xfId="0" applyFont="1" applyFill="1" applyBorder="1" applyAlignment="1">
      <alignment horizontal="center" vertical="center"/>
    </xf>
    <xf numFmtId="3" fontId="14" fillId="2" borderId="6" xfId="0" applyNumberFormat="1" applyFont="1" applyFill="1" applyBorder="1" applyAlignment="1">
      <alignment horizontal="right" vertical="center"/>
    </xf>
    <xf numFmtId="3" fontId="14" fillId="2" borderId="8" xfId="0" applyNumberFormat="1" applyFont="1" applyFill="1" applyBorder="1" applyAlignment="1">
      <alignment horizontal="right" vertical="center"/>
    </xf>
    <xf numFmtId="0" fontId="13" fillId="2" borderId="10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right" vertical="center"/>
    </xf>
    <xf numFmtId="0" fontId="14" fillId="2" borderId="13" xfId="0" applyFont="1" applyFill="1" applyBorder="1" applyAlignment="1">
      <alignment horizontal="right" vertical="center"/>
    </xf>
    <xf numFmtId="3" fontId="13" fillId="2" borderId="4" xfId="0" applyNumberFormat="1" applyFont="1" applyFill="1" applyBorder="1" applyAlignment="1">
      <alignment horizontal="right" vertical="center" wrapText="1"/>
    </xf>
    <xf numFmtId="3" fontId="14" fillId="2" borderId="37" xfId="0" applyNumberFormat="1" applyFont="1" applyFill="1" applyBorder="1" applyAlignment="1">
      <alignment horizontal="right" vertical="center"/>
    </xf>
    <xf numFmtId="3" fontId="14" fillId="2" borderId="16" xfId="0" applyNumberFormat="1" applyFont="1" applyFill="1" applyBorder="1" applyAlignment="1">
      <alignment horizontal="right" vertical="center"/>
    </xf>
    <xf numFmtId="3" fontId="14" fillId="2" borderId="24" xfId="0" applyNumberFormat="1" applyFont="1" applyFill="1" applyBorder="1" applyAlignment="1">
      <alignment horizontal="right" vertical="center"/>
    </xf>
    <xf numFmtId="3" fontId="14" fillId="2" borderId="17" xfId="0" applyNumberFormat="1" applyFont="1" applyFill="1" applyBorder="1" applyAlignment="1">
      <alignment horizontal="right" vertical="center"/>
    </xf>
    <xf numFmtId="3" fontId="14" fillId="2" borderId="14" xfId="0" applyNumberFormat="1" applyFont="1" applyFill="1" applyBorder="1" applyAlignment="1">
      <alignment horizontal="right" vertical="center"/>
    </xf>
    <xf numFmtId="3" fontId="14" fillId="2" borderId="18" xfId="0" applyNumberFormat="1" applyFont="1" applyFill="1" applyBorder="1" applyAlignment="1">
      <alignment horizontal="right" vertical="center"/>
    </xf>
    <xf numFmtId="3" fontId="14" fillId="2" borderId="32" xfId="0" applyNumberFormat="1" applyFont="1" applyFill="1" applyBorder="1" applyAlignment="1">
      <alignment horizontal="right" vertical="center"/>
    </xf>
    <xf numFmtId="3" fontId="13" fillId="2" borderId="10" xfId="0" applyNumberFormat="1" applyFont="1" applyFill="1" applyBorder="1" applyAlignment="1">
      <alignment horizontal="right" vertical="center"/>
    </xf>
    <xf numFmtId="3" fontId="13" fillId="2" borderId="30" xfId="0" applyNumberFormat="1" applyFont="1" applyFill="1" applyBorder="1" applyAlignment="1">
      <alignment horizontal="right" vertical="center"/>
    </xf>
    <xf numFmtId="3" fontId="13" fillId="2" borderId="8" xfId="0" applyNumberFormat="1" applyFont="1" applyFill="1" applyBorder="1" applyAlignment="1">
      <alignment horizontal="right" vertical="center"/>
    </xf>
    <xf numFmtId="0" fontId="18" fillId="2" borderId="0" xfId="0" applyFont="1" applyFill="1" applyAlignment="1">
      <alignment horizontal="center"/>
    </xf>
    <xf numFmtId="3" fontId="13" fillId="2" borderId="13" xfId="0" applyNumberFormat="1" applyFont="1" applyFill="1" applyBorder="1" applyAlignment="1">
      <alignment horizontal="right" vertical="center"/>
    </xf>
    <xf numFmtId="0" fontId="18" fillId="2" borderId="0" xfId="0" applyFont="1" applyFill="1" applyAlignment="1">
      <alignment horizontal="right"/>
    </xf>
    <xf numFmtId="3" fontId="13" fillId="2" borderId="14" xfId="0" applyNumberFormat="1" applyFont="1" applyFill="1" applyBorder="1" applyAlignment="1">
      <alignment horizontal="right" vertical="center"/>
    </xf>
    <xf numFmtId="0" fontId="13" fillId="2" borderId="0" xfId="0" applyFont="1" applyFill="1" applyAlignment="1">
      <alignment horizontal="right" vertical="center"/>
    </xf>
    <xf numFmtId="0" fontId="14" fillId="2" borderId="6" xfId="0" applyFont="1" applyFill="1" applyBorder="1" applyAlignment="1">
      <alignment horizontal="right" vertical="center"/>
    </xf>
    <xf numFmtId="0" fontId="17" fillId="2" borderId="0" xfId="0" applyFont="1" applyFill="1" applyAlignment="1">
      <alignment horizontal="right" vertical="center" wrapText="1"/>
    </xf>
    <xf numFmtId="0" fontId="18" fillId="2" borderId="0" xfId="0" applyFont="1" applyFill="1" applyAlignment="1">
      <alignment horizontal="right" vertical="center" wrapText="1"/>
    </xf>
    <xf numFmtId="3" fontId="14" fillId="2" borderId="13" xfId="0" applyNumberFormat="1" applyFont="1" applyFill="1" applyBorder="1" applyAlignment="1">
      <alignment horizontal="center" vertical="center"/>
    </xf>
    <xf numFmtId="3" fontId="14" fillId="2" borderId="6" xfId="0" applyNumberFormat="1" applyFont="1" applyFill="1" applyBorder="1" applyAlignment="1">
      <alignment horizontal="center" vertical="center"/>
    </xf>
    <xf numFmtId="9" fontId="14" fillId="2" borderId="6" xfId="1" applyFont="1" applyFill="1" applyBorder="1" applyAlignment="1">
      <alignment horizontal="right" vertical="center"/>
    </xf>
    <xf numFmtId="0" fontId="14" fillId="2" borderId="13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14" fillId="2" borderId="14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3" fontId="13" fillId="2" borderId="30" xfId="0" applyNumberFormat="1" applyFont="1" applyFill="1" applyBorder="1" applyAlignment="1">
      <alignment horizontal="right" vertical="center" wrapText="1"/>
    </xf>
    <xf numFmtId="0" fontId="17" fillId="2" borderId="0" xfId="0" quotePrefix="1" applyFont="1" applyFill="1" applyAlignment="1">
      <alignment horizontal="right" wrapText="1"/>
    </xf>
    <xf numFmtId="3" fontId="13" fillId="2" borderId="0" xfId="0" quotePrefix="1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right"/>
    </xf>
    <xf numFmtId="0" fontId="5" fillId="0" borderId="1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5" fillId="0" borderId="15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14" fontId="6" fillId="0" borderId="0" xfId="0" applyNumberFormat="1" applyFont="1"/>
    <xf numFmtId="0" fontId="0" fillId="0" borderId="0" xfId="0"/>
    <xf numFmtId="0" fontId="19" fillId="0" borderId="0" xfId="0" applyFont="1" applyAlignment="1">
      <alignment horizontal="justify" vertical="center"/>
    </xf>
    <xf numFmtId="0" fontId="20" fillId="0" borderId="0" xfId="0" applyFont="1" applyAlignment="1">
      <alignment horizontal="justify" vertical="center"/>
    </xf>
    <xf numFmtId="0" fontId="21" fillId="0" borderId="0" xfId="0" applyFont="1" applyAlignment="1">
      <alignment horizontal="justify" vertical="center"/>
    </xf>
    <xf numFmtId="0" fontId="22" fillId="0" borderId="0" xfId="0" applyFont="1" applyAlignment="1">
      <alignment horizontal="justify" vertical="center"/>
    </xf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0" fillId="0" borderId="0" xfId="0" applyFont="1" applyAlignment="1">
      <alignment horizontal="left" vertical="center" indent="2"/>
    </xf>
    <xf numFmtId="0" fontId="20" fillId="0" borderId="0" xfId="0" applyFont="1" applyAlignment="1">
      <alignment horizontal="left" vertical="center" indent="1"/>
    </xf>
    <xf numFmtId="0" fontId="22" fillId="0" borderId="0" xfId="0" applyFont="1" applyAlignment="1">
      <alignment vertical="center"/>
    </xf>
    <xf numFmtId="0" fontId="19" fillId="0" borderId="0" xfId="0" applyFont="1" applyAlignment="1">
      <alignment vertical="center" wrapText="1"/>
    </xf>
    <xf numFmtId="0" fontId="26" fillId="2" borderId="0" xfId="0" applyFont="1" applyFill="1" applyAlignment="1">
      <alignment horizontal="justify" vertical="center"/>
    </xf>
    <xf numFmtId="0" fontId="21" fillId="0" borderId="0" xfId="0" applyFont="1" applyAlignment="1">
      <alignment wrapText="1"/>
    </xf>
  </cellXfs>
  <cellStyles count="3">
    <cellStyle name="Normal" xfId="0" builtinId="0"/>
    <cellStyle name="Normálna 2" xfId="2" xr:uid="{00000000-0005-0000-0000-000001000000}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1"/>
  <sheetViews>
    <sheetView showGridLines="0" workbookViewId="0">
      <selection activeCell="B39" sqref="B39"/>
    </sheetView>
  </sheetViews>
  <sheetFormatPr defaultRowHeight="14.5" x14ac:dyDescent="0.35"/>
  <cols>
    <col min="1" max="1" width="22" customWidth="1"/>
    <col min="2" max="2" width="21.54296875" customWidth="1"/>
  </cols>
  <sheetData>
    <row r="1" spans="1:2" x14ac:dyDescent="0.35">
      <c r="A1" t="s">
        <v>162</v>
      </c>
    </row>
    <row r="2" spans="1:2" x14ac:dyDescent="0.35">
      <c r="A2" t="s">
        <v>163</v>
      </c>
    </row>
    <row r="3" spans="1:2" x14ac:dyDescent="0.35">
      <c r="A3" t="s">
        <v>164</v>
      </c>
    </row>
    <row r="4" spans="1:2" x14ac:dyDescent="0.35">
      <c r="A4" t="s">
        <v>165</v>
      </c>
    </row>
    <row r="5" spans="1:2" x14ac:dyDescent="0.35">
      <c r="A5" t="s">
        <v>166</v>
      </c>
    </row>
    <row r="6" spans="1:2" x14ac:dyDescent="0.35">
      <c r="A6" t="s">
        <v>167</v>
      </c>
    </row>
    <row r="7" spans="1:2" x14ac:dyDescent="0.35">
      <c r="A7" t="s">
        <v>168</v>
      </c>
    </row>
    <row r="8" spans="1:2" x14ac:dyDescent="0.35">
      <c r="A8" t="s">
        <v>169</v>
      </c>
    </row>
    <row r="9" spans="1:2" x14ac:dyDescent="0.35">
      <c r="A9" t="s">
        <v>170</v>
      </c>
    </row>
    <row r="10" spans="1:2" x14ac:dyDescent="0.35">
      <c r="A10" t="s">
        <v>171</v>
      </c>
    </row>
    <row r="11" spans="1:2" x14ac:dyDescent="0.35">
      <c r="A11" s="8" t="s">
        <v>149</v>
      </c>
      <c r="B11" s="8" t="s">
        <v>172</v>
      </c>
    </row>
    <row r="12" spans="1:2" x14ac:dyDescent="0.35">
      <c r="A12" s="6">
        <v>1</v>
      </c>
      <c r="B12" s="7" t="s">
        <v>173</v>
      </c>
    </row>
    <row r="13" spans="1:2" x14ac:dyDescent="0.35">
      <c r="A13" s="6">
        <v>2</v>
      </c>
      <c r="B13" s="7" t="s">
        <v>174</v>
      </c>
    </row>
    <row r="14" spans="1:2" x14ac:dyDescent="0.35">
      <c r="A14" s="6">
        <v>3</v>
      </c>
      <c r="B14" s="7" t="s">
        <v>175</v>
      </c>
    </row>
    <row r="15" spans="1:2" x14ac:dyDescent="0.35">
      <c r="A15" s="6">
        <v>4</v>
      </c>
      <c r="B15" s="7" t="s">
        <v>176</v>
      </c>
    </row>
    <row r="16" spans="1:2" x14ac:dyDescent="0.35">
      <c r="A16" s="6">
        <v>5</v>
      </c>
      <c r="B16" s="7" t="s">
        <v>177</v>
      </c>
    </row>
    <row r="17" spans="1:2" x14ac:dyDescent="0.35">
      <c r="A17" s="6">
        <v>6</v>
      </c>
      <c r="B17" s="7" t="s">
        <v>178</v>
      </c>
    </row>
    <row r="18" spans="1:2" x14ac:dyDescent="0.35">
      <c r="A18" s="6">
        <v>7</v>
      </c>
      <c r="B18" s="7" t="s">
        <v>179</v>
      </c>
    </row>
    <row r="19" spans="1:2" x14ac:dyDescent="0.35">
      <c r="A19" s="6">
        <v>8</v>
      </c>
      <c r="B19" s="7" t="s">
        <v>180</v>
      </c>
    </row>
    <row r="20" spans="1:2" x14ac:dyDescent="0.35">
      <c r="A20" s="6">
        <v>9</v>
      </c>
      <c r="B20" s="7" t="s">
        <v>181</v>
      </c>
    </row>
    <row r="21" spans="1:2" x14ac:dyDescent="0.35">
      <c r="A21" s="6">
        <v>10</v>
      </c>
      <c r="B21" s="7" t="s">
        <v>182</v>
      </c>
    </row>
    <row r="22" spans="1:2" x14ac:dyDescent="0.35">
      <c r="A22" s="6">
        <v>11</v>
      </c>
      <c r="B22" s="7" t="s">
        <v>183</v>
      </c>
    </row>
    <row r="24" spans="1:2" x14ac:dyDescent="0.35">
      <c r="A24" t="s">
        <v>184</v>
      </c>
    </row>
    <row r="25" spans="1:2" x14ac:dyDescent="0.35">
      <c r="A25" t="s">
        <v>185</v>
      </c>
    </row>
    <row r="26" spans="1:2" x14ac:dyDescent="0.35">
      <c r="A26" t="s">
        <v>186</v>
      </c>
    </row>
    <row r="27" spans="1:2" x14ac:dyDescent="0.35">
      <c r="A27" t="s">
        <v>187</v>
      </c>
    </row>
    <row r="28" spans="1:2" x14ac:dyDescent="0.35">
      <c r="A28" t="s">
        <v>188</v>
      </c>
    </row>
    <row r="29" spans="1:2" x14ac:dyDescent="0.35">
      <c r="A29" t="s">
        <v>189</v>
      </c>
    </row>
    <row r="30" spans="1:2" x14ac:dyDescent="0.35">
      <c r="A30" t="s">
        <v>190</v>
      </c>
    </row>
    <row r="31" spans="1:2" x14ac:dyDescent="0.35">
      <c r="A31" t="s">
        <v>191</v>
      </c>
    </row>
    <row r="32" spans="1:2" x14ac:dyDescent="0.35">
      <c r="A32" t="s">
        <v>192</v>
      </c>
    </row>
    <row r="33" spans="1:2" x14ac:dyDescent="0.35">
      <c r="A33" t="s">
        <v>193</v>
      </c>
    </row>
    <row r="34" spans="1:2" x14ac:dyDescent="0.35">
      <c r="A34" t="s">
        <v>194</v>
      </c>
    </row>
    <row r="35" spans="1:2" x14ac:dyDescent="0.35">
      <c r="A35" t="s">
        <v>195</v>
      </c>
    </row>
    <row r="36" spans="1:2" x14ac:dyDescent="0.35">
      <c r="A36" t="s">
        <v>196</v>
      </c>
    </row>
    <row r="37" spans="1:2" x14ac:dyDescent="0.35">
      <c r="A37" t="s">
        <v>197</v>
      </c>
    </row>
    <row r="39" spans="1:2" x14ac:dyDescent="0.35">
      <c r="A39" t="s">
        <v>280</v>
      </c>
      <c r="B39" t="s">
        <v>284</v>
      </c>
    </row>
    <row r="40" spans="1:2" x14ac:dyDescent="0.35">
      <c r="A40" t="s">
        <v>281</v>
      </c>
      <c r="B40" t="str">
        <f>CONCATENATE("IČO : ",Info!$B$7)</f>
        <v>IČO : 44078773</v>
      </c>
    </row>
    <row r="41" spans="1:2" x14ac:dyDescent="0.35">
      <c r="A41" t="s">
        <v>282</v>
      </c>
      <c r="B41" t="str">
        <f>CONCATENATE("DIČ : ",Info!$B$8)</f>
        <v>DIČ : 2022590790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00B050"/>
  </sheetPr>
  <dimension ref="A1:E11"/>
  <sheetViews>
    <sheetView showGridLines="0" zoomScaleNormal="100" workbookViewId="0">
      <selection activeCell="F23" sqref="F23"/>
    </sheetView>
  </sheetViews>
  <sheetFormatPr defaultRowHeight="14.5" x14ac:dyDescent="0.35"/>
  <cols>
    <col min="1" max="1" width="33" customWidth="1"/>
    <col min="2" max="3" width="26.7265625" customWidth="1"/>
    <col min="4" max="6" width="20.453125" customWidth="1"/>
  </cols>
  <sheetData>
    <row r="1" spans="1:5" x14ac:dyDescent="0.35">
      <c r="A1" t="str">
        <f>VYSVETLIVKY!$B$39</f>
        <v>Poznámky Úč POD 3-01</v>
      </c>
      <c r="C1" s="204" t="str">
        <f>VYSVETLIVKY!$B$40</f>
        <v>IČO : 44078773</v>
      </c>
    </row>
    <row r="2" spans="1:5" x14ac:dyDescent="0.35">
      <c r="C2" s="204" t="str">
        <f>VYSVETLIVKY!$B$41</f>
        <v>DIČ : 2022590790</v>
      </c>
    </row>
    <row r="3" spans="1:5" x14ac:dyDescent="0.35">
      <c r="A3" s="1" t="s">
        <v>265</v>
      </c>
    </row>
    <row r="4" spans="1:5" ht="15" thickBot="1" x14ac:dyDescent="0.4">
      <c r="A4" s="4" t="s">
        <v>64</v>
      </c>
    </row>
    <row r="5" spans="1:5" ht="30" customHeight="1" thickTop="1" thickBot="1" x14ac:dyDescent="0.4">
      <c r="A5" s="9" t="s">
        <v>52</v>
      </c>
      <c r="B5" s="10" t="s">
        <v>2</v>
      </c>
      <c r="C5" s="10" t="s">
        <v>3</v>
      </c>
    </row>
    <row r="6" spans="1:5" ht="18.75" customHeight="1" thickTop="1" thickBot="1" x14ac:dyDescent="0.4">
      <c r="A6" s="74" t="s">
        <v>65</v>
      </c>
      <c r="B6" s="160">
        <f>SUMIF(SUA!C:C,"072",SUA!F:F)</f>
        <v>4835.38</v>
      </c>
      <c r="C6" s="161">
        <f>SUMIF(SUA!C:C,"072",SUA!G:G)</f>
        <v>11231.25</v>
      </c>
      <c r="D6" s="159"/>
      <c r="E6" s="155"/>
    </row>
    <row r="7" spans="1:5" ht="15" thickBot="1" x14ac:dyDescent="0.4">
      <c r="A7" s="75" t="s">
        <v>66</v>
      </c>
      <c r="B7" s="162">
        <f>SUMIF(SUA!C:C,"073",SUA!F:F)-(SUMIF(HK!A:A,"261*",HK!K:K)+SUMIF(HK!A:A,"261*",HK!L:L))</f>
        <v>0</v>
      </c>
      <c r="C7" s="163">
        <f>SUMIF(SUA!C:C,"073",SUA!G:G)-(SUMIF(HK!A:A,"261*",HK!C:C)+SUMIF(HK!A:A,"261*",HK!D:D))</f>
        <v>0</v>
      </c>
      <c r="D7" s="159"/>
      <c r="E7" s="155"/>
    </row>
    <row r="8" spans="1:5" ht="18.75" customHeight="1" thickBot="1" x14ac:dyDescent="0.4">
      <c r="A8" s="75" t="s">
        <v>67</v>
      </c>
      <c r="B8" s="162">
        <f>SUMIF(SUA!C:C,"030",SUA!F:F)</f>
        <v>0</v>
      </c>
      <c r="C8" s="163">
        <f>SUMIF(SUA!C:C,"030",SUA!G:G)</f>
        <v>0</v>
      </c>
      <c r="D8" s="159"/>
      <c r="E8" s="155"/>
    </row>
    <row r="9" spans="1:5" ht="18.75" customHeight="1" thickBot="1" x14ac:dyDescent="0.4">
      <c r="A9" s="75" t="s">
        <v>68</v>
      </c>
      <c r="B9" s="162">
        <f>SUMIF(HK!A:A,"261*",HK!K:K)-SUMIF(HK!A:A,"261*",HK!L:L)</f>
        <v>0</v>
      </c>
      <c r="C9" s="163">
        <f>SUMIF(HK!A:A,"261*",HK!C:C)-SUMIF(HK!A:A,"261*",HK!D:D)</f>
        <v>0</v>
      </c>
      <c r="D9" s="159"/>
      <c r="E9" s="155"/>
    </row>
    <row r="10" spans="1:5" ht="18.75" customHeight="1" thickBot="1" x14ac:dyDescent="0.4">
      <c r="A10" s="76" t="s">
        <v>8</v>
      </c>
      <c r="B10" s="77">
        <f>SUM(B6:B9)</f>
        <v>4835.38</v>
      </c>
      <c r="C10" s="36">
        <f>SUM(C6:C9)</f>
        <v>11231.25</v>
      </c>
    </row>
    <row r="11" spans="1:5" ht="15" thickTop="1" x14ac:dyDescent="0.35"/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00B050"/>
  </sheetPr>
  <dimension ref="A1:F29"/>
  <sheetViews>
    <sheetView showGridLines="0" zoomScaleNormal="100" workbookViewId="0">
      <selection sqref="A1:B29"/>
    </sheetView>
  </sheetViews>
  <sheetFormatPr defaultRowHeight="14.5" x14ac:dyDescent="0.35"/>
  <cols>
    <col min="1" max="1" width="41" customWidth="1"/>
    <col min="2" max="2" width="45.453125" customWidth="1"/>
    <col min="3" max="3" width="15.7265625" customWidth="1"/>
    <col min="4" max="4" width="14.1796875" customWidth="1"/>
    <col min="5" max="5" width="14.453125" customWidth="1"/>
    <col min="6" max="6" width="15.54296875" customWidth="1"/>
    <col min="7" max="7" width="11.453125" customWidth="1"/>
  </cols>
  <sheetData>
    <row r="1" spans="1:6" x14ac:dyDescent="0.35">
      <c r="A1" t="str">
        <f>VYSVETLIVKY!$B$39</f>
        <v>Poznámky Úč POD 3-01</v>
      </c>
      <c r="B1" s="204" t="str">
        <f>VYSVETLIVKY!$B$40</f>
        <v>IČO : 44078773</v>
      </c>
    </row>
    <row r="2" spans="1:6" x14ac:dyDescent="0.35">
      <c r="B2" s="204" t="str">
        <f>VYSVETLIVKY!$B$41</f>
        <v>DIČ : 2022590790</v>
      </c>
    </row>
    <row r="3" spans="1:6" ht="34.5" customHeight="1" x14ac:dyDescent="0.35">
      <c r="A3" s="223" t="s">
        <v>266</v>
      </c>
      <c r="B3" s="223"/>
    </row>
    <row r="4" spans="1:6" ht="15" thickBot="1" x14ac:dyDescent="0.4">
      <c r="A4" s="18" t="s">
        <v>7</v>
      </c>
      <c r="B4" s="18"/>
    </row>
    <row r="5" spans="1:6" ht="18.75" customHeight="1" thickTop="1" thickBot="1" x14ac:dyDescent="0.4">
      <c r="A5" s="44" t="s">
        <v>52</v>
      </c>
      <c r="B5" s="31" t="s">
        <v>3</v>
      </c>
    </row>
    <row r="6" spans="1:6" ht="18.75" customHeight="1" thickTop="1" thickBot="1" x14ac:dyDescent="0.4">
      <c r="A6" s="39" t="s">
        <v>69</v>
      </c>
      <c r="B6" s="173">
        <f>IF(SUMIF(SUP!C:C,"100",SUP!E:E)&gt; 0,SUMIF(SUP!C:C,"100",SUP!E:E), 0)</f>
        <v>28557.38</v>
      </c>
      <c r="C6" s="157"/>
      <c r="D6" s="151"/>
      <c r="E6" s="157"/>
      <c r="F6" s="157"/>
    </row>
    <row r="7" spans="1:6" ht="18.75" customHeight="1" thickTop="1" thickBot="1" x14ac:dyDescent="0.4">
      <c r="A7" s="39" t="s">
        <v>70</v>
      </c>
      <c r="B7" s="169" t="s">
        <v>2</v>
      </c>
      <c r="C7" s="157"/>
      <c r="D7" s="157"/>
      <c r="E7" s="157"/>
      <c r="F7" s="157"/>
    </row>
    <row r="8" spans="1:6" ht="18.75" customHeight="1" thickTop="1" thickBot="1" x14ac:dyDescent="0.4">
      <c r="A8" s="38" t="s">
        <v>71</v>
      </c>
      <c r="B8" s="170"/>
      <c r="C8" s="157"/>
      <c r="D8" s="157"/>
      <c r="E8" s="157"/>
      <c r="F8" s="157"/>
    </row>
    <row r="9" spans="1:6" ht="18.75" customHeight="1" thickBot="1" x14ac:dyDescent="0.4">
      <c r="A9" s="38" t="s">
        <v>72</v>
      </c>
      <c r="B9" s="170"/>
      <c r="C9" s="157"/>
      <c r="D9" s="157"/>
      <c r="E9" s="157"/>
      <c r="F9" s="157"/>
    </row>
    <row r="10" spans="1:6" ht="18.75" customHeight="1" thickBot="1" x14ac:dyDescent="0.4">
      <c r="A10" s="38" t="s">
        <v>73</v>
      </c>
      <c r="B10" s="170"/>
      <c r="C10" s="157"/>
      <c r="D10" s="157"/>
      <c r="E10" s="157"/>
      <c r="F10" s="157"/>
    </row>
    <row r="11" spans="1:6" ht="18.75" customHeight="1" thickBot="1" x14ac:dyDescent="0.4">
      <c r="A11" s="38" t="s">
        <v>74</v>
      </c>
      <c r="B11" s="170"/>
      <c r="C11" s="157"/>
      <c r="D11" s="157"/>
      <c r="E11" s="157"/>
      <c r="F11" s="157"/>
    </row>
    <row r="12" spans="1:6" ht="18.75" customHeight="1" thickBot="1" x14ac:dyDescent="0.4">
      <c r="A12" s="38" t="s">
        <v>75</v>
      </c>
      <c r="B12" s="170"/>
      <c r="C12" s="157"/>
      <c r="D12" s="157"/>
      <c r="E12" s="157"/>
      <c r="F12" s="157"/>
    </row>
    <row r="13" spans="1:6" ht="18.75" customHeight="1" thickBot="1" x14ac:dyDescent="0.4">
      <c r="A13" s="38" t="s">
        <v>76</v>
      </c>
      <c r="B13" s="170"/>
      <c r="C13" s="157"/>
      <c r="D13" s="157"/>
      <c r="E13" s="157"/>
      <c r="F13" s="157"/>
    </row>
    <row r="14" spans="1:6" ht="18.75" customHeight="1" thickBot="1" x14ac:dyDescent="0.4">
      <c r="A14" s="38" t="s">
        <v>77</v>
      </c>
      <c r="B14" s="170"/>
      <c r="C14" s="157"/>
      <c r="D14" s="157"/>
      <c r="E14" s="157"/>
      <c r="F14" s="157"/>
    </row>
    <row r="15" spans="1:6" ht="18.75" customHeight="1" thickBot="1" x14ac:dyDescent="0.4">
      <c r="A15" s="38" t="s">
        <v>78</v>
      </c>
      <c r="B15" s="170"/>
      <c r="C15" s="157"/>
      <c r="D15" s="157"/>
      <c r="E15" s="157"/>
      <c r="F15" s="157"/>
    </row>
    <row r="16" spans="1:6" ht="18.75" customHeight="1" thickBot="1" x14ac:dyDescent="0.4">
      <c r="A16" s="39" t="s">
        <v>8</v>
      </c>
      <c r="B16" s="171">
        <f>SUM(B8:B15)</f>
        <v>0</v>
      </c>
      <c r="C16" s="157"/>
      <c r="D16" s="157"/>
      <c r="E16" s="157"/>
      <c r="F16" s="157"/>
    </row>
    <row r="17" spans="1:6" ht="18.75" customHeight="1" thickTop="1" x14ac:dyDescent="0.35">
      <c r="A17" s="18"/>
      <c r="B17" s="137"/>
      <c r="C17" s="157"/>
      <c r="D17" s="157"/>
      <c r="E17" s="157"/>
      <c r="F17" s="157"/>
    </row>
    <row r="18" spans="1:6" ht="18.75" customHeight="1" thickBot="1" x14ac:dyDescent="0.4">
      <c r="A18" s="18" t="s">
        <v>9</v>
      </c>
      <c r="B18" s="137"/>
      <c r="C18" s="157"/>
      <c r="D18" s="157"/>
      <c r="E18" s="157"/>
      <c r="F18" s="157"/>
    </row>
    <row r="19" spans="1:6" ht="18.75" customHeight="1" thickTop="1" thickBot="1" x14ac:dyDescent="0.4">
      <c r="A19" s="44" t="s">
        <v>52</v>
      </c>
      <c r="B19" s="172" t="s">
        <v>3</v>
      </c>
      <c r="C19" s="157"/>
      <c r="D19" s="157"/>
      <c r="E19" s="157"/>
      <c r="F19" s="157"/>
    </row>
    <row r="20" spans="1:6" ht="18.75" customHeight="1" thickTop="1" thickBot="1" x14ac:dyDescent="0.4">
      <c r="A20" s="39" t="s">
        <v>79</v>
      </c>
      <c r="B20" s="173">
        <f>IF(SUMIF(SUP!C:C,"100",SUP!E:E)&gt; 0,0,SUMIF(SUP!C:C,"100",SUP!E:E))</f>
        <v>0</v>
      </c>
      <c r="C20" s="157"/>
      <c r="D20" s="151"/>
      <c r="E20" s="157"/>
      <c r="F20" s="157"/>
    </row>
    <row r="21" spans="1:6" ht="18.75" customHeight="1" thickTop="1" thickBot="1" x14ac:dyDescent="0.4">
      <c r="A21" s="39" t="s">
        <v>80</v>
      </c>
      <c r="B21" s="169" t="s">
        <v>2</v>
      </c>
      <c r="C21" s="157"/>
      <c r="D21" s="157"/>
      <c r="E21" s="157"/>
      <c r="F21" s="157"/>
    </row>
    <row r="22" spans="1:6" ht="18.75" customHeight="1" thickTop="1" thickBot="1" x14ac:dyDescent="0.4">
      <c r="A22" s="38" t="s">
        <v>81</v>
      </c>
      <c r="B22" s="170"/>
      <c r="C22" s="157"/>
      <c r="D22" s="157"/>
      <c r="E22" s="157"/>
      <c r="F22" s="157"/>
    </row>
    <row r="23" spans="1:6" ht="18.75" customHeight="1" thickBot="1" x14ac:dyDescent="0.4">
      <c r="A23" s="38" t="s">
        <v>82</v>
      </c>
      <c r="B23" s="42"/>
    </row>
    <row r="24" spans="1:6" ht="18.75" customHeight="1" thickBot="1" x14ac:dyDescent="0.4">
      <c r="A24" s="38" t="s">
        <v>83</v>
      </c>
      <c r="B24" s="42"/>
    </row>
    <row r="25" spans="1:6" ht="18.75" customHeight="1" thickBot="1" x14ac:dyDescent="0.4">
      <c r="A25" s="38" t="s">
        <v>84</v>
      </c>
      <c r="B25" s="42"/>
    </row>
    <row r="26" spans="1:6" ht="18.75" customHeight="1" thickBot="1" x14ac:dyDescent="0.4">
      <c r="A26" s="38" t="s">
        <v>85</v>
      </c>
      <c r="B26" s="42"/>
    </row>
    <row r="27" spans="1:6" ht="18.75" customHeight="1" thickBot="1" x14ac:dyDescent="0.4">
      <c r="A27" s="38" t="s">
        <v>78</v>
      </c>
      <c r="B27" s="42"/>
    </row>
    <row r="28" spans="1:6" ht="18.75" customHeight="1" thickBot="1" x14ac:dyDescent="0.4">
      <c r="A28" s="39" t="s">
        <v>86</v>
      </c>
      <c r="B28" s="40">
        <f>SUM(B22:B27)</f>
        <v>0</v>
      </c>
    </row>
    <row r="29" spans="1:6" ht="15" thickTop="1" x14ac:dyDescent="0.35">
      <c r="A29" s="1"/>
    </row>
  </sheetData>
  <mergeCells count="1">
    <mergeCell ref="A3:B3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00B050"/>
  </sheetPr>
  <dimension ref="A1:I39"/>
  <sheetViews>
    <sheetView showGridLines="0" topLeftCell="A19" zoomScaleNormal="100" workbookViewId="0">
      <selection activeCell="F18" sqref="F18"/>
    </sheetView>
  </sheetViews>
  <sheetFormatPr defaultRowHeight="14.5" x14ac:dyDescent="0.35"/>
  <cols>
    <col min="1" max="1" width="20.7265625" customWidth="1"/>
    <col min="2" max="2" width="16.1796875" bestFit="1" customWidth="1"/>
    <col min="3" max="5" width="13.1796875" customWidth="1"/>
    <col min="6" max="6" width="16.1796875" bestFit="1" customWidth="1"/>
    <col min="7" max="7" width="23.26953125" customWidth="1"/>
  </cols>
  <sheetData>
    <row r="1" spans="1:9" x14ac:dyDescent="0.35">
      <c r="A1" t="str">
        <f>VYSVETLIVKY!$B$39</f>
        <v>Poznámky Úč POD 3-01</v>
      </c>
      <c r="F1" s="204" t="str">
        <f>VYSVETLIVKY!$B$40</f>
        <v>IČO : 44078773</v>
      </c>
    </row>
    <row r="2" spans="1:9" x14ac:dyDescent="0.35">
      <c r="F2" s="204" t="str">
        <f>VYSVETLIVKY!$B$41</f>
        <v>DIČ : 2022590790</v>
      </c>
    </row>
    <row r="3" spans="1:9" ht="16.5" customHeight="1" x14ac:dyDescent="0.35">
      <c r="A3" s="223" t="s">
        <v>267</v>
      </c>
      <c r="B3" s="223"/>
      <c r="C3" s="223"/>
      <c r="D3" s="223"/>
      <c r="E3" s="223"/>
      <c r="F3" s="223"/>
    </row>
    <row r="4" spans="1:9" ht="15" thickBot="1" x14ac:dyDescent="0.4">
      <c r="A4" s="18" t="s">
        <v>7</v>
      </c>
      <c r="B4" s="18"/>
      <c r="C4" s="18"/>
      <c r="D4" s="18"/>
      <c r="E4" s="18"/>
      <c r="F4" s="18"/>
    </row>
    <row r="5" spans="1:9" ht="15.5" thickTop="1" thickBot="1" x14ac:dyDescent="0.4">
      <c r="A5" s="227" t="s">
        <v>52</v>
      </c>
      <c r="B5" s="224" t="s">
        <v>2</v>
      </c>
      <c r="C5" s="225"/>
      <c r="D5" s="225"/>
      <c r="E5" s="225"/>
      <c r="F5" s="226"/>
    </row>
    <row r="6" spans="1:9" s="3" customFormat="1" ht="33" customHeight="1" thickTop="1" thickBot="1" x14ac:dyDescent="0.4">
      <c r="A6" s="228"/>
      <c r="B6" s="19" t="s">
        <v>23</v>
      </c>
      <c r="C6" s="19" t="s">
        <v>46</v>
      </c>
      <c r="D6" s="52" t="s">
        <v>87</v>
      </c>
      <c r="E6" s="68" t="s">
        <v>88</v>
      </c>
      <c r="F6" s="19" t="s">
        <v>21</v>
      </c>
    </row>
    <row r="7" spans="1:9" ht="21" customHeight="1" thickTop="1" thickBot="1" x14ac:dyDescent="0.4">
      <c r="A7" s="46" t="s">
        <v>89</v>
      </c>
      <c r="B7" s="168">
        <f>SUMIF(HK!A:A,"459*",HK!D:D)-SUMIF(HK!A:A,"459*",HK!C:C)</f>
        <v>0</v>
      </c>
      <c r="C7" s="176">
        <f>SUM(C8:C12)</f>
        <v>0</v>
      </c>
      <c r="D7" s="176">
        <f t="shared" ref="D7:E7" si="0">SUM(D8:D12)</f>
        <v>0</v>
      </c>
      <c r="E7" s="176">
        <f t="shared" si="0"/>
        <v>0</v>
      </c>
      <c r="F7" s="183">
        <f>SUMIF(HK!A:A,"459*",HK!L:L)-SUMIF(HK!A:A,"459*",HK!K:K)</f>
        <v>0</v>
      </c>
      <c r="G7" s="159"/>
      <c r="H7" s="155"/>
      <c r="I7" s="159"/>
    </row>
    <row r="8" spans="1:9" ht="21" customHeight="1" thickTop="1" thickBot="1" x14ac:dyDescent="0.4">
      <c r="A8" s="57"/>
      <c r="B8" s="166"/>
      <c r="C8" s="164"/>
      <c r="D8" s="177"/>
      <c r="E8" s="177"/>
      <c r="F8" s="178">
        <f t="shared" ref="F8:F12" si="1">SUM(B8:E8)</f>
        <v>0</v>
      </c>
      <c r="G8" s="159"/>
      <c r="H8" s="159"/>
      <c r="I8" s="159"/>
    </row>
    <row r="9" spans="1:9" ht="21" customHeight="1" thickBot="1" x14ac:dyDescent="0.4">
      <c r="A9" s="57"/>
      <c r="B9" s="166"/>
      <c r="C9" s="164"/>
      <c r="D9" s="179"/>
      <c r="E9" s="179"/>
      <c r="F9" s="178">
        <f t="shared" si="1"/>
        <v>0</v>
      </c>
      <c r="G9" s="159"/>
      <c r="H9" s="159"/>
      <c r="I9" s="159"/>
    </row>
    <row r="10" spans="1:9" ht="21" customHeight="1" thickBot="1" x14ac:dyDescent="0.4">
      <c r="A10" s="57"/>
      <c r="B10" s="166"/>
      <c r="C10" s="164"/>
      <c r="D10" s="179"/>
      <c r="E10" s="179"/>
      <c r="F10" s="178">
        <f t="shared" si="1"/>
        <v>0</v>
      </c>
      <c r="G10" s="159"/>
      <c r="H10" s="159"/>
      <c r="I10" s="159"/>
    </row>
    <row r="11" spans="1:9" ht="21" customHeight="1" thickBot="1" x14ac:dyDescent="0.4">
      <c r="A11" s="57"/>
      <c r="B11" s="166"/>
      <c r="C11" s="164"/>
      <c r="D11" s="179"/>
      <c r="E11" s="179"/>
      <c r="F11" s="178">
        <f t="shared" si="1"/>
        <v>0</v>
      </c>
      <c r="G11" s="159"/>
      <c r="H11" s="159"/>
      <c r="I11" s="159"/>
    </row>
    <row r="12" spans="1:9" ht="21" customHeight="1" thickBot="1" x14ac:dyDescent="0.4">
      <c r="A12" s="65"/>
      <c r="B12" s="167"/>
      <c r="C12" s="180"/>
      <c r="D12" s="181"/>
      <c r="E12" s="181"/>
      <c r="F12" s="182">
        <f t="shared" si="1"/>
        <v>0</v>
      </c>
      <c r="G12" s="159"/>
      <c r="H12" s="159"/>
      <c r="I12" s="159"/>
    </row>
    <row r="13" spans="1:9" ht="21" customHeight="1" thickTop="1" thickBot="1" x14ac:dyDescent="0.4">
      <c r="A13" s="46" t="s">
        <v>90</v>
      </c>
      <c r="B13" s="184">
        <f>SUMIF(HK!A:A,"323*",HK!D:D)-SUMIF(HK!A:A,"323*",HK!C:C)</f>
        <v>16634.32</v>
      </c>
      <c r="C13" s="180">
        <f>SUMIF(HK!A:A,"323*",HK!J:J)</f>
        <v>216523.69</v>
      </c>
      <c r="D13" s="180">
        <f>SUMIF(HK!A:A,"323*",HK!I:I)</f>
        <v>225999.34</v>
      </c>
      <c r="E13" s="180">
        <f t="shared" ref="E13" si="2">SUM(E14:E18)</f>
        <v>0</v>
      </c>
      <c r="F13" s="185">
        <f>SUMIF(HK!A:A,"323*",HK!L:L)-SUMIF(HK!A:A,"323*",HK!K:K)</f>
        <v>7158.67</v>
      </c>
      <c r="G13" s="159"/>
      <c r="H13" s="155"/>
      <c r="I13" s="159"/>
    </row>
    <row r="14" spans="1:9" ht="21" customHeight="1" thickTop="1" thickBot="1" x14ac:dyDescent="0.4">
      <c r="A14" s="57" t="s">
        <v>275</v>
      </c>
      <c r="B14" s="166">
        <f>SUMIF(HK!A:A,"323100",HK!D:D)-SUMIF(HK!A:A,"323100",HK!C:C)</f>
        <v>1181</v>
      </c>
      <c r="C14" s="164">
        <f>SUMIF(HK!A:A,"323100",HK!J:J)</f>
        <v>-1181</v>
      </c>
      <c r="D14" s="177">
        <f>SUMIF(HK!A:A,"323100",HK!I:I)</f>
        <v>0</v>
      </c>
      <c r="E14" s="177"/>
      <c r="F14" s="178">
        <f>B14+C14-D14</f>
        <v>0</v>
      </c>
      <c r="G14" s="159"/>
      <c r="H14" s="159"/>
      <c r="I14" s="159"/>
    </row>
    <row r="15" spans="1:9" ht="21" customHeight="1" thickBot="1" x14ac:dyDescent="0.4">
      <c r="A15" s="57" t="s">
        <v>276</v>
      </c>
      <c r="B15" s="71">
        <f>SUMIF(HK!A:A,"323200",HK!D:D)-SUMIF(HK!A:A,"323200",HK!C:C)</f>
        <v>115.79</v>
      </c>
      <c r="C15" s="41">
        <f>SUMIF(HK!A:A,"323200",HK!J:J)</f>
        <v>-115.79</v>
      </c>
      <c r="D15" s="61">
        <f>SUMIF(HK!A:A,"323200",HK!I:I)</f>
        <v>0</v>
      </c>
      <c r="E15" s="61"/>
      <c r="F15" s="178">
        <f>B15+C15-D15</f>
        <v>0</v>
      </c>
    </row>
    <row r="16" spans="1:9" ht="21" customHeight="1" thickBot="1" x14ac:dyDescent="0.4">
      <c r="A16" s="57" t="s">
        <v>277</v>
      </c>
      <c r="B16" s="71">
        <f>SUMIF(HK!A:A,"323210",HK!D:D)-SUMIF(HK!A:A,"323210",HK!C:C)</f>
        <v>410</v>
      </c>
      <c r="C16" s="41">
        <f>SUMIF(HK!A:A,"323210",HK!J:J)</f>
        <v>200</v>
      </c>
      <c r="D16" s="61">
        <f>SUMIF(HK!A:A,"323210",HK!I:I)</f>
        <v>410</v>
      </c>
      <c r="E16" s="61"/>
      <c r="F16" s="178">
        <f>B16+C16-D16</f>
        <v>200</v>
      </c>
    </row>
    <row r="17" spans="1:9" ht="21" customHeight="1" thickBot="1" x14ac:dyDescent="0.4">
      <c r="A17" s="57" t="s">
        <v>278</v>
      </c>
      <c r="B17" s="71">
        <f>SUMIF(HK!A:A,"323230",HK!D:D)-SUMIF(HK!A:A,"323230",HK!C:C)</f>
        <v>0</v>
      </c>
      <c r="C17" s="41">
        <f>SUMIF(HK!A:A,"323230",HK!J:J)</f>
        <v>0</v>
      </c>
      <c r="D17" s="61">
        <f>SUMIF(HK!A:A,"323230",HK!I:I)</f>
        <v>0</v>
      </c>
      <c r="E17" s="61"/>
      <c r="F17" s="178">
        <f t="shared" ref="F17" si="3">B17+C17-D17</f>
        <v>0</v>
      </c>
    </row>
    <row r="18" spans="1:9" ht="21" customHeight="1" thickBot="1" x14ac:dyDescent="0.4">
      <c r="A18" s="57" t="s">
        <v>279</v>
      </c>
      <c r="B18" s="71">
        <f>SUMIF(HK!A:A,"323240",HK!D:D)+SUMIF(HK!A:A,"323241",HK!D:D)-SUMIF(HK!A:A,"323240",HK!C:C)-SUMIF(HK!A:A,"323241",HK!C:C)</f>
        <v>3694.36</v>
      </c>
      <c r="C18" s="41">
        <f>SUMIF(HK!A:A,"323240",HK!J:J)+SUMIF(HK!A:A,"323241",HK!J:J)</f>
        <v>-1530.14</v>
      </c>
      <c r="D18" s="61">
        <f>SUMIF(HK!A:A,"323240",HK!I:I)+SUMIF(HK!A:A,"323241",HK!I:I)</f>
        <v>0</v>
      </c>
      <c r="E18" s="61"/>
      <c r="F18" s="178">
        <f>B18+C18-D18</f>
        <v>2164.2200000000003</v>
      </c>
    </row>
    <row r="19" spans="1:9" ht="21" customHeight="1" thickBot="1" x14ac:dyDescent="0.4">
      <c r="A19" s="65"/>
      <c r="B19" s="81"/>
      <c r="C19" s="43"/>
      <c r="D19" s="64"/>
      <c r="E19" s="64"/>
      <c r="F19" s="178"/>
    </row>
    <row r="20" spans="1:9" ht="15" thickTop="1" x14ac:dyDescent="0.35">
      <c r="A20" s="3"/>
      <c r="B20" s="3"/>
      <c r="C20" s="3"/>
      <c r="D20" s="3"/>
      <c r="E20" s="3"/>
      <c r="F20" s="3"/>
    </row>
    <row r="21" spans="1:9" x14ac:dyDescent="0.35">
      <c r="A21" t="str">
        <f>VYSVETLIVKY!$B$39</f>
        <v>Poznámky Úč POD 3-01</v>
      </c>
      <c r="F21" s="204" t="str">
        <f>VYSVETLIVKY!$B$40</f>
        <v>IČO : 44078773</v>
      </c>
    </row>
    <row r="22" spans="1:9" x14ac:dyDescent="0.35">
      <c r="F22" s="204" t="str">
        <f>VYSVETLIVKY!$B$41</f>
        <v>DIČ : 2022590790</v>
      </c>
    </row>
    <row r="23" spans="1:9" ht="15" thickBot="1" x14ac:dyDescent="0.4">
      <c r="A23" s="18" t="s">
        <v>9</v>
      </c>
      <c r="B23" s="18"/>
      <c r="C23" s="18"/>
      <c r="D23" s="18"/>
      <c r="E23" s="18"/>
      <c r="F23" s="18"/>
    </row>
    <row r="24" spans="1:9" ht="15.5" thickTop="1" thickBot="1" x14ac:dyDescent="0.4">
      <c r="A24" s="227" t="s">
        <v>52</v>
      </c>
      <c r="B24" s="224" t="s">
        <v>3</v>
      </c>
      <c r="C24" s="225"/>
      <c r="D24" s="225"/>
      <c r="E24" s="225"/>
      <c r="F24" s="226"/>
    </row>
    <row r="25" spans="1:9" s="3" customFormat="1" ht="22" thickTop="1" thickBot="1" x14ac:dyDescent="0.4">
      <c r="A25" s="228"/>
      <c r="B25" s="19" t="s">
        <v>23</v>
      </c>
      <c r="C25" s="19" t="s">
        <v>46</v>
      </c>
      <c r="D25" s="52" t="s">
        <v>87</v>
      </c>
      <c r="E25" s="68" t="s">
        <v>88</v>
      </c>
      <c r="F25" s="19" t="s">
        <v>21</v>
      </c>
    </row>
    <row r="26" spans="1:9" ht="21" customHeight="1" thickTop="1" thickBot="1" x14ac:dyDescent="0.4">
      <c r="A26" s="65" t="s">
        <v>89</v>
      </c>
      <c r="B26" s="168">
        <f>SUMIF(HKM!A:A,"459*",HKM!D:D)-SUMIF(HKM!A:A,"459*",HKM!C:C)</f>
        <v>0</v>
      </c>
      <c r="C26" s="176">
        <f>SUM(C27:C31)</f>
        <v>0</v>
      </c>
      <c r="D26" s="176">
        <f t="shared" ref="D26:E26" si="4">SUM(D27:D31)</f>
        <v>0</v>
      </c>
      <c r="E26" s="176">
        <f t="shared" si="4"/>
        <v>0</v>
      </c>
      <c r="F26" s="183">
        <f>SUMIF(HKM!A:A,"459*",HKM!L:L)-SUMIF(HKM!A:A,"459*",HKM!K:K)</f>
        <v>0</v>
      </c>
      <c r="G26" s="159"/>
      <c r="H26" s="155"/>
      <c r="I26" s="159"/>
    </row>
    <row r="27" spans="1:9" ht="21" customHeight="1" thickTop="1" thickBot="1" x14ac:dyDescent="0.4">
      <c r="A27" s="57"/>
      <c r="B27" s="166"/>
      <c r="C27" s="164"/>
      <c r="D27" s="177"/>
      <c r="E27" s="177"/>
      <c r="F27" s="178">
        <f t="shared" ref="F27:F31" si="5">SUM(B27:E27)</f>
        <v>0</v>
      </c>
      <c r="G27" s="159"/>
      <c r="H27" s="159"/>
      <c r="I27" s="159"/>
    </row>
    <row r="28" spans="1:9" ht="21" customHeight="1" thickBot="1" x14ac:dyDescent="0.4">
      <c r="A28" s="57"/>
      <c r="B28" s="166"/>
      <c r="C28" s="164"/>
      <c r="D28" s="179"/>
      <c r="E28" s="179"/>
      <c r="F28" s="178">
        <f t="shared" si="5"/>
        <v>0</v>
      </c>
      <c r="G28" s="159"/>
      <c r="H28" s="159"/>
      <c r="I28" s="159"/>
    </row>
    <row r="29" spans="1:9" ht="21" customHeight="1" thickBot="1" x14ac:dyDescent="0.4">
      <c r="A29" s="57"/>
      <c r="B29" s="166"/>
      <c r="C29" s="164"/>
      <c r="D29" s="179"/>
      <c r="E29" s="179"/>
      <c r="F29" s="178">
        <f t="shared" si="5"/>
        <v>0</v>
      </c>
      <c r="G29" s="159"/>
      <c r="H29" s="159"/>
      <c r="I29" s="159"/>
    </row>
    <row r="30" spans="1:9" ht="21" customHeight="1" thickBot="1" x14ac:dyDescent="0.4">
      <c r="A30" s="57"/>
      <c r="B30" s="166"/>
      <c r="C30" s="164"/>
      <c r="D30" s="179"/>
      <c r="E30" s="179"/>
      <c r="F30" s="178">
        <f t="shared" si="5"/>
        <v>0</v>
      </c>
      <c r="G30" s="159"/>
      <c r="H30" s="159"/>
      <c r="I30" s="159"/>
    </row>
    <row r="31" spans="1:9" ht="21" customHeight="1" thickBot="1" x14ac:dyDescent="0.4">
      <c r="A31" s="65"/>
      <c r="B31" s="167"/>
      <c r="C31" s="180"/>
      <c r="D31" s="181"/>
      <c r="E31" s="181"/>
      <c r="F31" s="182">
        <f t="shared" si="5"/>
        <v>0</v>
      </c>
      <c r="G31" s="159"/>
      <c r="H31" s="159"/>
      <c r="I31" s="159"/>
    </row>
    <row r="32" spans="1:9" ht="21" customHeight="1" thickTop="1" thickBot="1" x14ac:dyDescent="0.4">
      <c r="A32" s="65" t="s">
        <v>90</v>
      </c>
      <c r="B32" s="184">
        <f>SUMIF(HKM!A:A,"323*",HKM!D:D)-SUMIF(HKM!A:A,"323*",HKM!C:C)</f>
        <v>21037.52</v>
      </c>
      <c r="C32" s="180">
        <f>SUMIF(HKM!A:A,"323*",HKM!J:J)</f>
        <v>219860.62</v>
      </c>
      <c r="D32" s="180">
        <f>SUMIF(HKM!A:A,"323*",HKM!I:I)</f>
        <v>224263.82</v>
      </c>
      <c r="E32" s="180">
        <f t="shared" ref="E32" si="6">SUM(E33:E37)</f>
        <v>0</v>
      </c>
      <c r="F32" s="185">
        <f>SUMIF(HKM!A:A,"323*",HKM!L:L)-SUMIF(HKM!A:A,"323*",HKM!K:K)</f>
        <v>16634.32</v>
      </c>
      <c r="G32" s="159"/>
      <c r="H32" s="155"/>
      <c r="I32" s="159"/>
    </row>
    <row r="33" spans="1:9" ht="21" customHeight="1" thickTop="1" thickBot="1" x14ac:dyDescent="0.4">
      <c r="A33" s="57" t="s">
        <v>275</v>
      </c>
      <c r="B33" s="166">
        <f>SUMIF(HKM!A:A,"323100",HKM!D:D)-SUMIF(HKM!A:A,"323100",HKM!C:C)</f>
        <v>2425.21</v>
      </c>
      <c r="C33" s="164">
        <f>SUMIF(HKM!A:A,"323100",HKM!J:J)</f>
        <v>-1244.21</v>
      </c>
      <c r="D33" s="177">
        <f>SUMIF(HKM!A:A,"323100",HKM!I:I)</f>
        <v>0</v>
      </c>
      <c r="E33" s="177"/>
      <c r="F33" s="178">
        <f>B33+C33-D33</f>
        <v>1181</v>
      </c>
      <c r="G33" s="159"/>
      <c r="H33" s="159"/>
      <c r="I33" s="159"/>
    </row>
    <row r="34" spans="1:9" ht="21" customHeight="1" thickBot="1" x14ac:dyDescent="0.4">
      <c r="A34" s="57" t="s">
        <v>276</v>
      </c>
      <c r="B34" s="71">
        <f>SUMIF(HKM!A:A,"323200",HKM!D:D)-SUMIF(HKM!A:A,"323200",HKM!C:C)</f>
        <v>0</v>
      </c>
      <c r="C34" s="41">
        <f>SUMIF(HKM!A:A,"323200",HKM!J:J)</f>
        <v>115.79</v>
      </c>
      <c r="D34" s="61">
        <f>SUMIF(HKM!A:A,"323200",HKM!I:I)</f>
        <v>0</v>
      </c>
      <c r="E34" s="61"/>
      <c r="F34" s="178">
        <f t="shared" ref="F34:F37" si="7">B34+C34-D34</f>
        <v>115.79</v>
      </c>
    </row>
    <row r="35" spans="1:9" ht="21" customHeight="1" thickBot="1" x14ac:dyDescent="0.4">
      <c r="A35" s="57" t="s">
        <v>277</v>
      </c>
      <c r="B35" s="71">
        <f>SUMIF(HKM!A:A,"323210",HKM!D:D)-SUMIF(HKM!A:A,"323210",HKM!C:C)</f>
        <v>210</v>
      </c>
      <c r="C35" s="41">
        <f>SUMIF(HKM!A:A,"323210",HKM!J:J)</f>
        <v>410</v>
      </c>
      <c r="D35" s="61">
        <f>SUMIF(HKM!A:A,"323210",HKM!I:I)</f>
        <v>210</v>
      </c>
      <c r="E35" s="61"/>
      <c r="F35" s="178">
        <f t="shared" si="7"/>
        <v>410</v>
      </c>
    </row>
    <row r="36" spans="1:9" ht="21" customHeight="1" thickBot="1" x14ac:dyDescent="0.4">
      <c r="A36" s="57" t="s">
        <v>278</v>
      </c>
      <c r="B36" s="71">
        <f>SUMIF(HKM!A:A,"323230",HKM!D:D)-SUMIF(HKM!A:A,"323230",HKM!C:C)</f>
        <v>0</v>
      </c>
      <c r="C36" s="41">
        <f>SUMIF(HKM!A:A,"323230",HKM!J:J)</f>
        <v>0</v>
      </c>
      <c r="D36" s="61">
        <f>SUMIF(HKM!A:A,"323230",HKM!I:I)</f>
        <v>0</v>
      </c>
      <c r="E36" s="61"/>
      <c r="F36" s="178">
        <f t="shared" si="7"/>
        <v>0</v>
      </c>
    </row>
    <row r="37" spans="1:9" ht="21" customHeight="1" thickBot="1" x14ac:dyDescent="0.4">
      <c r="A37" s="57" t="s">
        <v>279</v>
      </c>
      <c r="B37" s="71">
        <f>SUMIF(HKM!A:A,"323240",HKM!D:D)+SUMIF(HKM!A:A,"323241",HKM!D:D)-SUMIF(HKM!A:A,"323240",HKM!C:C)-SUMIF(HKM!A:A,"323241",HKM!C:C)</f>
        <v>4876.2299999999996</v>
      </c>
      <c r="C37" s="41">
        <f>SUMIF(HKM!A:A,"323240",HKM!J:J)+SUMIF(HKM!A:A,"323241",HKM!J:J)</f>
        <v>-1181.8699999999999</v>
      </c>
      <c r="D37" s="61">
        <f>SUMIF(HKM!A:A,"323240",HKM!I:I)+SUMIF(HKM!A:A,"323241",HKM!I:I)</f>
        <v>0</v>
      </c>
      <c r="E37" s="61"/>
      <c r="F37" s="178">
        <f t="shared" si="7"/>
        <v>3694.3599999999997</v>
      </c>
    </row>
    <row r="38" spans="1:9" ht="21" customHeight="1" thickBot="1" x14ac:dyDescent="0.4">
      <c r="A38" s="65"/>
      <c r="B38" s="81"/>
      <c r="C38" s="43"/>
      <c r="D38" s="64"/>
      <c r="E38" s="64"/>
      <c r="F38" s="178"/>
    </row>
    <row r="39" spans="1:9" ht="15" thickTop="1" x14ac:dyDescent="0.35"/>
  </sheetData>
  <mergeCells count="5">
    <mergeCell ref="A3:F3"/>
    <mergeCell ref="B24:F24"/>
    <mergeCell ref="A24:A25"/>
    <mergeCell ref="A5:A6"/>
    <mergeCell ref="B5:F5"/>
  </mergeCells>
  <pageMargins left="0.70866141732283472" right="0.70866141732283472" top="0.74803149606299213" bottom="0.74803149606299213" header="0.31496062992125984" footer="0.31496062992125984"/>
  <pageSetup paperSize="9" orientation="landscape" r:id="rId1"/>
  <rowBreaks count="1" manualBreakCount="1">
    <brk id="20" max="16383" man="1"/>
  </rowBreaks>
  <ignoredErrors>
    <ignoredError sqref="F32 F13" 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FF0000"/>
  </sheetPr>
  <dimension ref="A1:C11"/>
  <sheetViews>
    <sheetView showGridLines="0" zoomScaleNormal="100" workbookViewId="0">
      <selection sqref="A1:C11"/>
    </sheetView>
  </sheetViews>
  <sheetFormatPr defaultRowHeight="14.5" x14ac:dyDescent="0.35"/>
  <cols>
    <col min="1" max="1" width="32" customWidth="1"/>
    <col min="2" max="3" width="27.26953125" customWidth="1"/>
    <col min="4" max="4" width="14.1796875" customWidth="1"/>
    <col min="5" max="5" width="14.453125" customWidth="1"/>
    <col min="6" max="7" width="23.26953125" customWidth="1"/>
  </cols>
  <sheetData>
    <row r="1" spans="1:3" x14ac:dyDescent="0.35">
      <c r="A1" t="str">
        <f>VYSVETLIVKY!$B$39</f>
        <v>Poznámky Úč POD 3-01</v>
      </c>
      <c r="C1" s="204" t="str">
        <f>VYSVETLIVKY!$B$40</f>
        <v>IČO : 44078773</v>
      </c>
    </row>
    <row r="2" spans="1:3" x14ac:dyDescent="0.35">
      <c r="C2" s="204" t="str">
        <f>VYSVETLIVKY!$B$41</f>
        <v>DIČ : 2022590790</v>
      </c>
    </row>
    <row r="3" spans="1:3" ht="15" thickBot="1" x14ac:dyDescent="0.4">
      <c r="A3" s="1" t="s">
        <v>268</v>
      </c>
    </row>
    <row r="4" spans="1:3" ht="26.25" customHeight="1" thickTop="1" thickBot="1" x14ac:dyDescent="0.4">
      <c r="A4" s="44" t="s">
        <v>52</v>
      </c>
      <c r="B4" s="23" t="s">
        <v>2</v>
      </c>
      <c r="C4" s="23" t="s">
        <v>3</v>
      </c>
    </row>
    <row r="5" spans="1:3" ht="20.25" customHeight="1" thickTop="1" thickBot="1" x14ac:dyDescent="0.4">
      <c r="A5" s="13" t="s">
        <v>91</v>
      </c>
      <c r="B5" s="82"/>
      <c r="C5" s="83"/>
    </row>
    <row r="6" spans="1:3" ht="20.25" customHeight="1" thickBot="1" x14ac:dyDescent="0.4">
      <c r="A6" s="13" t="s">
        <v>216</v>
      </c>
      <c r="B6" s="84"/>
      <c r="C6" s="66"/>
    </row>
    <row r="7" spans="1:3" ht="20.25" customHeight="1" thickBot="1" x14ac:dyDescent="0.4">
      <c r="A7" s="28" t="s">
        <v>92</v>
      </c>
      <c r="B7" s="84"/>
      <c r="C7" s="66"/>
    </row>
    <row r="8" spans="1:3" ht="20.25" customHeight="1" thickBot="1" x14ac:dyDescent="0.4">
      <c r="A8" s="13" t="s">
        <v>93</v>
      </c>
      <c r="B8" s="71"/>
      <c r="C8" s="42"/>
    </row>
    <row r="9" spans="1:3" ht="20.25" customHeight="1" thickBot="1" x14ac:dyDescent="0.4">
      <c r="A9" s="13" t="s">
        <v>94</v>
      </c>
      <c r="B9" s="71"/>
      <c r="C9" s="42"/>
    </row>
    <row r="10" spans="1:3" ht="20.25" customHeight="1" thickBot="1" x14ac:dyDescent="0.4">
      <c r="A10" s="21" t="s">
        <v>95</v>
      </c>
      <c r="B10" s="84"/>
      <c r="C10" s="66"/>
    </row>
    <row r="11" spans="1:3" ht="15" thickTop="1" x14ac:dyDescent="0.35"/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00B050"/>
  </sheetPr>
  <dimension ref="A1:E22"/>
  <sheetViews>
    <sheetView showGridLines="0" zoomScaleNormal="100" workbookViewId="0">
      <selection activeCell="C15" sqref="C15"/>
    </sheetView>
  </sheetViews>
  <sheetFormatPr defaultRowHeight="14.5" x14ac:dyDescent="0.35"/>
  <cols>
    <col min="1" max="1" width="27.7265625" customWidth="1"/>
    <col min="2" max="3" width="29.26953125" customWidth="1"/>
    <col min="4" max="4" width="14.1796875" customWidth="1"/>
    <col min="5" max="5" width="14.453125" customWidth="1"/>
    <col min="6" max="7" width="23.26953125" customWidth="1"/>
  </cols>
  <sheetData>
    <row r="1" spans="1:5" x14ac:dyDescent="0.35">
      <c r="A1" t="str">
        <f>VYSVETLIVKY!$B$39</f>
        <v>Poznámky Úč POD 3-01</v>
      </c>
      <c r="C1" s="204" t="str">
        <f>VYSVETLIVKY!$B$40</f>
        <v>IČO : 44078773</v>
      </c>
    </row>
    <row r="2" spans="1:5" x14ac:dyDescent="0.35">
      <c r="C2" s="204" t="str">
        <f>VYSVETLIVKY!$B$41</f>
        <v>DIČ : 2022590790</v>
      </c>
    </row>
    <row r="3" spans="1:5" ht="34.5" customHeight="1" thickBot="1" x14ac:dyDescent="0.4">
      <c r="A3" s="222" t="s">
        <v>270</v>
      </c>
      <c r="B3" s="222"/>
      <c r="C3" s="222"/>
    </row>
    <row r="4" spans="1:5" ht="22" thickTop="1" thickBot="1" x14ac:dyDescent="0.4">
      <c r="A4" s="44" t="s">
        <v>52</v>
      </c>
      <c r="B4" s="23" t="s">
        <v>2</v>
      </c>
      <c r="C4" s="23" t="s">
        <v>3</v>
      </c>
    </row>
    <row r="5" spans="1:5" ht="32.5" thickTop="1" thickBot="1" x14ac:dyDescent="0.4">
      <c r="A5" s="28" t="s">
        <v>96</v>
      </c>
      <c r="B5" s="41"/>
      <c r="C5" s="42"/>
    </row>
    <row r="6" spans="1:5" ht="23.25" customHeight="1" thickBot="1" x14ac:dyDescent="0.4">
      <c r="A6" s="13" t="s">
        <v>97</v>
      </c>
      <c r="B6" s="41"/>
      <c r="C6" s="42"/>
    </row>
    <row r="7" spans="1:5" ht="23.25" customHeight="1" thickBot="1" x14ac:dyDescent="0.4">
      <c r="A7" s="13" t="s">
        <v>98</v>
      </c>
      <c r="B7" s="41"/>
      <c r="C7" s="42"/>
    </row>
    <row r="8" spans="1:5" ht="32" thickBot="1" x14ac:dyDescent="0.4">
      <c r="A8" s="28" t="s">
        <v>99</v>
      </c>
      <c r="B8" s="41"/>
      <c r="C8" s="42"/>
    </row>
    <row r="9" spans="1:5" ht="23.25" customHeight="1" thickBot="1" x14ac:dyDescent="0.4">
      <c r="A9" s="13" t="s">
        <v>97</v>
      </c>
      <c r="B9" s="41"/>
      <c r="C9" s="42"/>
    </row>
    <row r="10" spans="1:5" ht="23.25" customHeight="1" thickBot="1" x14ac:dyDescent="0.4">
      <c r="A10" s="13" t="s">
        <v>98</v>
      </c>
      <c r="B10" s="41"/>
      <c r="C10" s="42"/>
    </row>
    <row r="11" spans="1:5" ht="23.25" customHeight="1" thickBot="1" x14ac:dyDescent="0.4">
      <c r="A11" s="28" t="s">
        <v>100</v>
      </c>
      <c r="B11" s="41"/>
      <c r="C11" s="42"/>
    </row>
    <row r="12" spans="1:5" ht="23.25" customHeight="1" thickBot="1" x14ac:dyDescent="0.4">
      <c r="A12" s="28" t="s">
        <v>101</v>
      </c>
      <c r="B12" s="41"/>
      <c r="C12" s="42"/>
    </row>
    <row r="13" spans="1:5" ht="23.25" customHeight="1" thickBot="1" x14ac:dyDescent="0.4">
      <c r="A13" s="28" t="s">
        <v>102</v>
      </c>
      <c r="B13" s="58">
        <v>0.21</v>
      </c>
      <c r="C13" s="59">
        <v>0.21</v>
      </c>
    </row>
    <row r="14" spans="1:5" ht="23.25" customHeight="1" thickBot="1" x14ac:dyDescent="0.4">
      <c r="A14" s="28" t="s">
        <v>103</v>
      </c>
      <c r="B14" s="187">
        <f>SUMIF(SUA!C:C,"052",SUA!F:F)</f>
        <v>3127.14</v>
      </c>
      <c r="C14" s="165">
        <f>SUMIF(SUA!C:C,"052",SUA!G:G)</f>
        <v>3244.2</v>
      </c>
      <c r="D14" s="159"/>
      <c r="E14" s="190"/>
    </row>
    <row r="15" spans="1:5" ht="23.25" customHeight="1" thickBot="1" x14ac:dyDescent="0.4">
      <c r="A15" s="28" t="s">
        <v>104</v>
      </c>
      <c r="B15" s="164"/>
      <c r="C15" s="170"/>
      <c r="D15" s="159"/>
      <c r="E15" s="159"/>
    </row>
    <row r="16" spans="1:5" ht="23.25" customHeight="1" thickBot="1" x14ac:dyDescent="0.4">
      <c r="A16" s="13" t="s">
        <v>105</v>
      </c>
      <c r="B16" s="164"/>
      <c r="C16" s="170"/>
      <c r="D16" s="159"/>
      <c r="E16" s="159"/>
    </row>
    <row r="17" spans="1:5" ht="23.25" customHeight="1" thickBot="1" x14ac:dyDescent="0.4">
      <c r="A17" s="13" t="s">
        <v>106</v>
      </c>
      <c r="B17" s="164"/>
      <c r="C17" s="170"/>
      <c r="D17" s="159"/>
      <c r="E17" s="159"/>
    </row>
    <row r="18" spans="1:5" ht="23.25" customHeight="1" thickBot="1" x14ac:dyDescent="0.4">
      <c r="A18" s="54" t="s">
        <v>107</v>
      </c>
      <c r="B18" s="187">
        <f>SUMIF(SUA!C:C,"117",SUA!F:F)</f>
        <v>0</v>
      </c>
      <c r="C18" s="165">
        <f>SUMIF(SUA!C:C,"117",SUA!G:G)</f>
        <v>0</v>
      </c>
      <c r="D18" s="159"/>
      <c r="E18" s="190"/>
    </row>
    <row r="19" spans="1:5" ht="23.25" customHeight="1" thickBot="1" x14ac:dyDescent="0.4">
      <c r="A19" s="55" t="s">
        <v>108</v>
      </c>
      <c r="B19" s="41"/>
      <c r="C19" s="42"/>
    </row>
    <row r="20" spans="1:5" ht="23.25" customHeight="1" thickBot="1" x14ac:dyDescent="0.4">
      <c r="A20" s="13" t="s">
        <v>109</v>
      </c>
      <c r="B20" s="41"/>
      <c r="C20" s="42"/>
    </row>
    <row r="21" spans="1:5" ht="23.25" customHeight="1" thickBot="1" x14ac:dyDescent="0.4">
      <c r="A21" s="15" t="s">
        <v>106</v>
      </c>
      <c r="B21" s="45"/>
      <c r="C21" s="40"/>
    </row>
    <row r="22" spans="1:5" ht="15" thickTop="1" x14ac:dyDescent="0.35"/>
  </sheetData>
  <mergeCells count="1">
    <mergeCell ref="A3:C3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00B050"/>
  </sheetPr>
  <dimension ref="A1:F12"/>
  <sheetViews>
    <sheetView showGridLines="0" zoomScaleNormal="100" workbookViewId="0">
      <selection sqref="A1:C12"/>
    </sheetView>
  </sheetViews>
  <sheetFormatPr defaultRowHeight="14.5" x14ac:dyDescent="0.35"/>
  <cols>
    <col min="1" max="1" width="33" customWidth="1"/>
    <col min="2" max="3" width="26.7265625" customWidth="1"/>
    <col min="4" max="4" width="14.1796875" customWidth="1"/>
    <col min="5" max="5" width="14.453125" customWidth="1"/>
    <col min="6" max="7" width="23.26953125" customWidth="1"/>
  </cols>
  <sheetData>
    <row r="1" spans="1:6" x14ac:dyDescent="0.35">
      <c r="A1" t="str">
        <f>VYSVETLIVKY!$B$39</f>
        <v>Poznámky Úč POD 3-01</v>
      </c>
      <c r="C1" s="204" t="str">
        <f>VYSVETLIVKY!$B$40</f>
        <v>IČO : 44078773</v>
      </c>
    </row>
    <row r="2" spans="1:6" x14ac:dyDescent="0.35">
      <c r="C2" s="204" t="str">
        <f>VYSVETLIVKY!$B$41</f>
        <v>DIČ : 2022590790</v>
      </c>
    </row>
    <row r="3" spans="1:6" ht="15" thickBot="1" x14ac:dyDescent="0.4">
      <c r="A3" s="1" t="s">
        <v>269</v>
      </c>
    </row>
    <row r="4" spans="1:6" ht="21.75" customHeight="1" thickTop="1" thickBot="1" x14ac:dyDescent="0.4">
      <c r="A4" s="35" t="s">
        <v>52</v>
      </c>
      <c r="B4" s="23" t="s">
        <v>2</v>
      </c>
      <c r="C4" s="23" t="s">
        <v>3</v>
      </c>
    </row>
    <row r="5" spans="1:6" ht="21.75" customHeight="1" thickTop="1" thickBot="1" x14ac:dyDescent="0.4">
      <c r="A5" s="53" t="s">
        <v>110</v>
      </c>
      <c r="B5" s="187">
        <f>SUMIF(HK!A:A,"472*",HK!D:D)-SUMIF(HK!A:A,"472*",HK!C:C)</f>
        <v>1688.7000000000005</v>
      </c>
      <c r="C5" s="165">
        <f>SUMIF(HKM!A:A,"472*",HKM!D:D)-SUMIF(HKM!A:A,"472*",HKM!C:C)</f>
        <v>1133.8399999999999</v>
      </c>
      <c r="D5" s="159"/>
      <c r="E5" s="188"/>
      <c r="F5" s="159"/>
    </row>
    <row r="6" spans="1:6" ht="21.75" customHeight="1" thickBot="1" x14ac:dyDescent="0.4">
      <c r="A6" s="38" t="s">
        <v>111</v>
      </c>
      <c r="B6" s="164">
        <f>SUMIF(HK!A:A,"472100",HK!J:J)</f>
        <v>996.01</v>
      </c>
      <c r="C6" s="170">
        <f>SUMIF(HKM!A:A,"472100",HKM!J:J)</f>
        <v>896.41</v>
      </c>
      <c r="D6" s="159"/>
      <c r="E6" s="159"/>
      <c r="F6" s="159"/>
    </row>
    <row r="7" spans="1:6" ht="21.75" customHeight="1" thickBot="1" x14ac:dyDescent="0.4">
      <c r="A7" s="38" t="s">
        <v>112</v>
      </c>
      <c r="B7" s="164"/>
      <c r="C7" s="170"/>
      <c r="D7" s="159"/>
      <c r="E7" s="159"/>
      <c r="F7" s="159"/>
    </row>
    <row r="8" spans="1:6" ht="21.75" customHeight="1" thickBot="1" x14ac:dyDescent="0.4">
      <c r="A8" s="38" t="s">
        <v>113</v>
      </c>
      <c r="B8" s="164"/>
      <c r="C8" s="170"/>
      <c r="D8" s="159"/>
      <c r="E8" s="159"/>
      <c r="F8" s="159"/>
    </row>
    <row r="9" spans="1:6" ht="21.75" customHeight="1" thickBot="1" x14ac:dyDescent="0.4">
      <c r="A9" s="53" t="s">
        <v>114</v>
      </c>
      <c r="B9" s="164">
        <f>SUM(B6:B8)</f>
        <v>996.01</v>
      </c>
      <c r="C9" s="170">
        <f>SUM(C6:C8)</f>
        <v>896.41</v>
      </c>
      <c r="D9" s="159"/>
      <c r="E9" s="159"/>
      <c r="F9" s="159"/>
    </row>
    <row r="10" spans="1:6" ht="21.75" customHeight="1" thickBot="1" x14ac:dyDescent="0.4">
      <c r="A10" s="53" t="s">
        <v>115</v>
      </c>
      <c r="B10" s="164">
        <f>SUMIF(HK!A:A,"472200",HK!I:I)+SUMIF(HK!A:A,"472300",HK!I:I)</f>
        <v>2052.2199999999998</v>
      </c>
      <c r="C10" s="170">
        <f>SUMIF(HKM!A:A,"472200",HKM!I:I)+SUMIF(HKM!A:A,"472300",HKM!I:I)</f>
        <v>341.55</v>
      </c>
      <c r="D10" s="159"/>
      <c r="E10" s="159"/>
      <c r="F10" s="159"/>
    </row>
    <row r="11" spans="1:6" ht="21.75" customHeight="1" thickBot="1" x14ac:dyDescent="0.4">
      <c r="A11" s="39" t="s">
        <v>116</v>
      </c>
      <c r="B11" s="189">
        <f>SUMIF(HK!A:A,"472*",HK!L:L)-SUMIF(HK!A:A,"472*",HK!K:K)</f>
        <v>632.49000000000092</v>
      </c>
      <c r="C11" s="185">
        <f>SUMIF(HKM!A:A,"472*",HKM!L:L)-SUMIF(HKM!A:A,"472*",HKM!K:K)</f>
        <v>1688.7000000000005</v>
      </c>
      <c r="D11" s="159"/>
      <c r="E11" s="188"/>
      <c r="F11" s="159"/>
    </row>
    <row r="12" spans="1:6" ht="15" thickTop="1" x14ac:dyDescent="0.35">
      <c r="A12" s="2"/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rgb="FF00B050"/>
  </sheetPr>
  <dimension ref="A1:J15"/>
  <sheetViews>
    <sheetView showGridLines="0" zoomScaleNormal="100" workbookViewId="0">
      <selection sqref="A1:F15"/>
    </sheetView>
  </sheetViews>
  <sheetFormatPr defaultRowHeight="14.5" x14ac:dyDescent="0.35"/>
  <cols>
    <col min="1" max="1" width="24.54296875" customWidth="1"/>
    <col min="2" max="6" width="12.26953125" customWidth="1"/>
    <col min="7" max="7" width="13" customWidth="1"/>
  </cols>
  <sheetData>
    <row r="1" spans="1:10" x14ac:dyDescent="0.35">
      <c r="A1" t="str">
        <f>VYSVETLIVKY!$B$39</f>
        <v>Poznámky Úč POD 3-01</v>
      </c>
      <c r="F1" s="204" t="str">
        <f>VYSVETLIVKY!$B$40</f>
        <v>IČO : 44078773</v>
      </c>
    </row>
    <row r="2" spans="1:10" x14ac:dyDescent="0.35">
      <c r="F2" s="204" t="str">
        <f>VYSVETLIVKY!$B$41</f>
        <v>DIČ : 2022590790</v>
      </c>
    </row>
    <row r="3" spans="1:10" ht="15" thickBot="1" x14ac:dyDescent="0.4">
      <c r="A3" s="1" t="s">
        <v>271</v>
      </c>
    </row>
    <row r="4" spans="1:10" ht="33" customHeight="1" thickTop="1" thickBot="1" x14ac:dyDescent="0.4">
      <c r="A4" s="227" t="s">
        <v>52</v>
      </c>
      <c r="B4" s="23" t="s">
        <v>2</v>
      </c>
      <c r="C4" s="211" t="s">
        <v>3</v>
      </c>
      <c r="D4" s="213"/>
      <c r="E4" s="211" t="s">
        <v>117</v>
      </c>
      <c r="F4" s="213"/>
    </row>
    <row r="5" spans="1:10" ht="45" customHeight="1" thickTop="1" thickBot="1" x14ac:dyDescent="0.4">
      <c r="A5" s="228"/>
      <c r="B5" s="19" t="s">
        <v>118</v>
      </c>
      <c r="C5" s="19" t="s">
        <v>118</v>
      </c>
      <c r="D5" s="19" t="s">
        <v>119</v>
      </c>
      <c r="E5" s="19" t="s">
        <v>2</v>
      </c>
      <c r="F5" s="19" t="s">
        <v>218</v>
      </c>
    </row>
    <row r="6" spans="1:10" ht="21" thickTop="1" thickBot="1" x14ac:dyDescent="0.4">
      <c r="A6" s="62" t="s">
        <v>217</v>
      </c>
      <c r="B6" s="158">
        <f>SUMIF(HK!A:A,"121*",HK!K:K)-SUMIF(HK!A:A,"121*",HK!L:L)+SUMIF(HK!A:A,"122*",HK!K:K)-SUMIF(HK!A:A,"122*",HK!L:L)</f>
        <v>0</v>
      </c>
      <c r="C6" s="158">
        <f>SUMIF(HKM!A:A,"121*",HKM!K:K)-SUMIF(HKM!A:A,"121*",HKM!L:L)+SUMIF(HKM!A:A,"122*",HKM!K:K)-SUMIF(HKM!A:A,"122*",HKM!L:L)</f>
        <v>0</v>
      </c>
      <c r="D6" s="158">
        <f>SUMIF(HKM!A:A,"121*",HKM!C:C)-SUMIF(HKM!A:A,"121*",HKM!D:D)+SUMIF(HKM!A:A,"122*",HKM!C:C)-SUMIF(HKM!A:A,"122*",HKM!D:D)</f>
        <v>0</v>
      </c>
      <c r="E6" s="158">
        <f>SUMIF(HK!A:A,"611*",HK!L:L)-SUMIF(HK!A:A,"611*",HK!K:K)+SUMIF(HK!A:A,"612*",HK!L:L)-SUMIF(HK!A:A,"611*",HK!K:K)</f>
        <v>0</v>
      </c>
      <c r="F6" s="158">
        <f>SUMIF(HKM!A:A,"611*",HKM!L:L)-SUMIF(HKM!A:A,"611*",HKM!K:K)+SUMIF(HKM!A:A,"612*",HKM!L:L)-SUMIF(HKM!A:A,"612*",HKM!K:K)</f>
        <v>0</v>
      </c>
      <c r="G6" s="159"/>
      <c r="H6" s="155"/>
      <c r="I6" s="159"/>
      <c r="J6" s="159"/>
    </row>
    <row r="7" spans="1:10" ht="15" thickBot="1" x14ac:dyDescent="0.4">
      <c r="A7" s="60" t="s">
        <v>38</v>
      </c>
      <c r="B7" s="158">
        <f>SUMIF(HK!A:A,"123*",HK!K:K)-SUMIF(HK!A:A,"123*",HK!L:L)</f>
        <v>0</v>
      </c>
      <c r="C7" s="158">
        <f>SUMIF(HKM!A:A,"123*",HKM!K:K)-SUMIF(HKM!A:A,"123*",HKM!L:L)</f>
        <v>0</v>
      </c>
      <c r="D7" s="158">
        <f>SUMIF(HKM!A:A,"123*",HKM!C:C)</f>
        <v>0</v>
      </c>
      <c r="E7" s="158">
        <f>SUMIF(HK!A:A,"613*",HK!L:L)-SUMIF(HK!A:A,"613*",HK!K:K)</f>
        <v>0</v>
      </c>
      <c r="F7" s="158">
        <f>SUMIF(HKM!A:A,"613*",HKM!L:L)-SUMIF(HKM!A:A,"613*",HKM!K:K)</f>
        <v>0</v>
      </c>
      <c r="G7" s="159"/>
      <c r="H7" s="155"/>
      <c r="I7" s="159"/>
      <c r="J7" s="159"/>
    </row>
    <row r="8" spans="1:10" ht="15" thickBot="1" x14ac:dyDescent="0.4">
      <c r="A8" s="13" t="s">
        <v>120</v>
      </c>
      <c r="B8" s="158">
        <f>SUMIF(HK!A:A,"124*",HK!K:K)-SUMIF(HK!A:A,"124*",HK!L:L)</f>
        <v>0</v>
      </c>
      <c r="C8" s="158">
        <f>SUMIF(HKM!A:A,"124*",HKM!K:K)-SUMIF(HKM!A:A,"124*",HKM!L:L)</f>
        <v>0</v>
      </c>
      <c r="D8" s="158">
        <f>SUMIF(HKM!A:A,"124*",HKM!C:C)-SUMIF(HKM!A:A,"124*",HKM!D:D)</f>
        <v>0</v>
      </c>
      <c r="E8" s="158">
        <f>SUMIF(HK!A:A,"614*",HK!L:L)-SUMIF(HK!A:A,"614*",HK!K:K)</f>
        <v>0</v>
      </c>
      <c r="F8" s="158">
        <f>SUMIF(HKM!A:A,"614*",HKM!L:L)-SUMIF(HKM!A:A,"614*",HKM!K:K)</f>
        <v>0</v>
      </c>
      <c r="G8" s="159"/>
      <c r="H8" s="155"/>
      <c r="I8" s="159"/>
      <c r="J8" s="159"/>
    </row>
    <row r="9" spans="1:10" ht="19.5" customHeight="1" thickBot="1" x14ac:dyDescent="0.4">
      <c r="A9" s="13" t="s">
        <v>8</v>
      </c>
      <c r="B9" s="174"/>
      <c r="C9" s="174"/>
      <c r="D9" s="191"/>
      <c r="E9" s="170"/>
      <c r="F9" s="170"/>
      <c r="G9" s="159"/>
      <c r="H9" s="192"/>
      <c r="I9" s="159"/>
      <c r="J9" s="159"/>
    </row>
    <row r="10" spans="1:10" ht="15" thickBot="1" x14ac:dyDescent="0.4">
      <c r="A10" s="13" t="s">
        <v>121</v>
      </c>
      <c r="B10" s="197" t="s">
        <v>10</v>
      </c>
      <c r="C10" s="197" t="s">
        <v>10</v>
      </c>
      <c r="D10" s="198" t="s">
        <v>10</v>
      </c>
      <c r="E10" s="158">
        <f>SUMIF(HK!A:A,"549*",HK!K:K)-SUMIF(HK!A:A,"549*",HK!L:L)</f>
        <v>548.72</v>
      </c>
      <c r="F10" s="158">
        <f>SUMIF(HKM!A:A,"549*",HKM!K:K)-SUMIF(HKM!A:A,"549*",HKM!L:L)</f>
        <v>3093.1800000000003</v>
      </c>
      <c r="G10" s="159"/>
      <c r="H10" s="155"/>
      <c r="I10" s="159"/>
      <c r="J10" s="159"/>
    </row>
    <row r="11" spans="1:10" ht="15" thickBot="1" x14ac:dyDescent="0.4">
      <c r="A11" s="13" t="s">
        <v>122</v>
      </c>
      <c r="B11" s="197" t="s">
        <v>10</v>
      </c>
      <c r="C11" s="197" t="s">
        <v>10</v>
      </c>
      <c r="D11" s="198" t="s">
        <v>10</v>
      </c>
      <c r="E11" s="158">
        <f>SUMIF(HK!A:A,"513*",HK!K:K)-SUMIF(HK!A:A,"513*",HK!L:L)</f>
        <v>4.1399999999999997</v>
      </c>
      <c r="F11" s="158">
        <f>SUMIF(HKM!A:A,"513*",HKM!K:K)-SUMIF(HKM!A:A,"513*",HKM!L:L)</f>
        <v>0</v>
      </c>
      <c r="G11" s="159"/>
      <c r="H11" s="155"/>
      <c r="I11" s="159"/>
      <c r="J11" s="159"/>
    </row>
    <row r="12" spans="1:10" ht="15" thickBot="1" x14ac:dyDescent="0.4">
      <c r="A12" s="13" t="s">
        <v>123</v>
      </c>
      <c r="B12" s="197" t="s">
        <v>10</v>
      </c>
      <c r="C12" s="197" t="s">
        <v>10</v>
      </c>
      <c r="D12" s="198" t="s">
        <v>10</v>
      </c>
      <c r="E12" s="158">
        <f>SUMIF(HK!A:A,"543*",HK!K:K)-SUMIF(HK!A:A,"543*",HK!L:L)</f>
        <v>1040</v>
      </c>
      <c r="F12" s="158">
        <f>SUMIF(HKM!A:A,"543*",HKM!K:K)-SUMIF(HKM!A:A,"543*",HKM!L:L)</f>
        <v>0</v>
      </c>
      <c r="G12" s="159"/>
      <c r="H12" s="155"/>
      <c r="I12" s="159"/>
      <c r="J12" s="159"/>
    </row>
    <row r="13" spans="1:10" ht="19.5" customHeight="1" thickBot="1" x14ac:dyDescent="0.4">
      <c r="A13" s="15" t="s">
        <v>124</v>
      </c>
      <c r="B13" s="199" t="s">
        <v>10</v>
      </c>
      <c r="C13" s="199" t="s">
        <v>10</v>
      </c>
      <c r="D13" s="200" t="s">
        <v>10</v>
      </c>
      <c r="E13" s="171"/>
      <c r="F13" s="171"/>
      <c r="G13" s="159"/>
      <c r="H13" s="192"/>
      <c r="I13" s="159"/>
      <c r="J13" s="159"/>
    </row>
    <row r="14" spans="1:10" ht="32.5" thickTop="1" thickBot="1" x14ac:dyDescent="0.4">
      <c r="A14" s="21" t="s">
        <v>125</v>
      </c>
      <c r="B14" s="199" t="s">
        <v>10</v>
      </c>
      <c r="C14" s="199" t="s">
        <v>10</v>
      </c>
      <c r="D14" s="200" t="s">
        <v>10</v>
      </c>
      <c r="E14" s="165">
        <f>SUMIF(VZaS!C:C,"06",VZaS!D:D)</f>
        <v>0</v>
      </c>
      <c r="F14" s="165">
        <f>SUMIF(VZaS!C:C,"06",VZaS!E:E)</f>
        <v>0</v>
      </c>
      <c r="G14" s="159"/>
      <c r="H14" s="193"/>
      <c r="I14" s="159"/>
      <c r="J14" s="159"/>
    </row>
    <row r="15" spans="1:10" ht="15" thickTop="1" x14ac:dyDescent="0.35"/>
  </sheetData>
  <mergeCells count="3">
    <mergeCell ref="A4:A5"/>
    <mergeCell ref="C4:D4"/>
    <mergeCell ref="E4:F4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rgb="FF00B050"/>
  </sheetPr>
  <dimension ref="A1:G12"/>
  <sheetViews>
    <sheetView showGridLines="0" zoomScaleNormal="100" workbookViewId="0">
      <selection activeCell="A4" sqref="A4:C4"/>
    </sheetView>
  </sheetViews>
  <sheetFormatPr defaultRowHeight="14.5" x14ac:dyDescent="0.35"/>
  <cols>
    <col min="1" max="1" width="27.81640625" customWidth="1"/>
    <col min="2" max="3" width="29.453125" customWidth="1"/>
    <col min="4" max="4" width="17.453125" customWidth="1"/>
    <col min="5" max="5" width="19.54296875" customWidth="1"/>
    <col min="6" max="6" width="19.26953125" customWidth="1"/>
    <col min="7" max="7" width="13" customWidth="1"/>
  </cols>
  <sheetData>
    <row r="1" spans="1:7" x14ac:dyDescent="0.35">
      <c r="A1" t="str">
        <f>VYSVETLIVKY!$B$39</f>
        <v>Poznámky Úč POD 3-01</v>
      </c>
      <c r="C1" s="204" t="str">
        <f>VYSVETLIVKY!$B$40</f>
        <v>IČO : 44078773</v>
      </c>
    </row>
    <row r="2" spans="1:7" x14ac:dyDescent="0.35">
      <c r="C2" s="204" t="str">
        <f>VYSVETLIVKY!$B$41</f>
        <v>DIČ : 2022590790</v>
      </c>
    </row>
    <row r="3" spans="1:7" ht="15" thickBot="1" x14ac:dyDescent="0.4">
      <c r="A3" s="1" t="s">
        <v>272</v>
      </c>
    </row>
    <row r="4" spans="1:7" ht="26.25" customHeight="1" thickTop="1" thickBot="1" x14ac:dyDescent="0.4">
      <c r="A4" s="35" t="s">
        <v>52</v>
      </c>
      <c r="B4" s="23" t="s">
        <v>2</v>
      </c>
      <c r="C4" s="23" t="s">
        <v>3</v>
      </c>
    </row>
    <row r="5" spans="1:7" ht="18.75" customHeight="1" thickTop="1" thickBot="1" x14ac:dyDescent="0.4">
      <c r="A5" s="38" t="s">
        <v>126</v>
      </c>
      <c r="B5" s="165">
        <f>SUMIF(HK!A:A,"601*",HK!L:L)-SUMIF(HK!A:A,"601*",HK!K:K)</f>
        <v>0</v>
      </c>
      <c r="C5" s="165">
        <f>SUMIF(HKM!A:A,"601*",HKM!L:L)-SUMIF(HKM!A:A,"601*",HKM!K:K)</f>
        <v>0</v>
      </c>
      <c r="D5" s="159"/>
      <c r="E5" s="188"/>
      <c r="G5" s="79"/>
    </row>
    <row r="6" spans="1:7" ht="18.75" customHeight="1" thickBot="1" x14ac:dyDescent="0.4">
      <c r="A6" s="38" t="s">
        <v>127</v>
      </c>
      <c r="B6" s="165">
        <f>SUMIF(HK!A:A,"602*",HK!L:L)-SUMIF(HK!A:A,"602*",HK!K:K)</f>
        <v>1203.94</v>
      </c>
      <c r="C6" s="165">
        <f>SUMIF(HKM!A:A,"602*",HKM!L:L)-SUMIF(HKM!A:A,"602*",HKM!K:K)</f>
        <v>924.98</v>
      </c>
      <c r="D6" s="159"/>
      <c r="E6" s="188"/>
      <c r="G6" s="79"/>
    </row>
    <row r="7" spans="1:7" ht="18.75" customHeight="1" thickBot="1" x14ac:dyDescent="0.4">
      <c r="A7" s="38" t="s">
        <v>128</v>
      </c>
      <c r="B7" s="165">
        <f>SUMIF(HK!A:A,"604*",HK!L:L)-SUMIF(HK!A:A,"604*",HK!K:K)</f>
        <v>2113278.0500000003</v>
      </c>
      <c r="C7" s="165">
        <f>SUMIF(HKM!A:A,"604*",HKM!L:L)-SUMIF(HKM!A:A,"604*",HKM!K:K)</f>
        <v>1836506.58</v>
      </c>
      <c r="D7" s="159"/>
      <c r="E7" s="188"/>
      <c r="G7" s="79"/>
    </row>
    <row r="8" spans="1:7" ht="18.75" customHeight="1" thickBot="1" x14ac:dyDescent="0.4">
      <c r="A8" s="38" t="s">
        <v>129</v>
      </c>
      <c r="B8" s="165">
        <f>SUMIF(HK!A:A,"606*",HK!L:L)-SUMIF(HK!A:A,"606*",HK!K:K)</f>
        <v>0</v>
      </c>
      <c r="C8" s="165">
        <f>SUMIF(HKM!A:A,"606*",HKM!L:L)-SUMIF(HKM!A:A,"606*",HKM!K:K)</f>
        <v>0</v>
      </c>
      <c r="D8" s="159"/>
      <c r="E8" s="188"/>
      <c r="G8" s="79"/>
    </row>
    <row r="9" spans="1:7" ht="18.75" customHeight="1" thickBot="1" x14ac:dyDescent="0.4">
      <c r="A9" s="38" t="s">
        <v>130</v>
      </c>
      <c r="B9" s="165"/>
      <c r="C9" s="165"/>
      <c r="D9" s="159"/>
      <c r="E9" s="188"/>
      <c r="G9" s="88"/>
    </row>
    <row r="10" spans="1:7" ht="15" thickBot="1" x14ac:dyDescent="0.4">
      <c r="A10" s="13" t="s">
        <v>131</v>
      </c>
      <c r="B10" s="170"/>
      <c r="C10" s="170"/>
      <c r="D10" s="159"/>
      <c r="E10" s="159"/>
      <c r="G10" s="79"/>
    </row>
    <row r="11" spans="1:7" ht="18.75" customHeight="1" thickBot="1" x14ac:dyDescent="0.4">
      <c r="A11" s="39" t="s">
        <v>132</v>
      </c>
      <c r="B11" s="40">
        <f>SUM(B5:B10)</f>
        <v>2114481.9900000002</v>
      </c>
      <c r="C11" s="40">
        <f>SUM(C5:C10)</f>
        <v>1837431.56</v>
      </c>
    </row>
    <row r="12" spans="1:7" ht="15" thickTop="1" x14ac:dyDescent="0.35"/>
  </sheetData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rgb="FF00B050"/>
  </sheetPr>
  <dimension ref="A1:E26"/>
  <sheetViews>
    <sheetView showGridLines="0" zoomScaleNormal="100" workbookViewId="0"/>
  </sheetViews>
  <sheetFormatPr defaultRowHeight="14.5" x14ac:dyDescent="0.35"/>
  <cols>
    <col min="1" max="1" width="27.81640625" customWidth="1"/>
    <col min="2" max="2" width="29.54296875" customWidth="1"/>
    <col min="3" max="3" width="29.453125" customWidth="1"/>
    <col min="4" max="4" width="17.453125" customWidth="1"/>
    <col min="5" max="5" width="19.54296875" customWidth="1"/>
    <col min="6" max="6" width="19.26953125" customWidth="1"/>
    <col min="7" max="7" width="13" customWidth="1"/>
  </cols>
  <sheetData>
    <row r="1" spans="1:5" x14ac:dyDescent="0.35">
      <c r="A1" t="str">
        <f>VYSVETLIVKY!$B$39</f>
        <v>Poznámky Úč POD 3-01</v>
      </c>
      <c r="C1" s="204" t="str">
        <f>VYSVETLIVKY!$B$40</f>
        <v>IČO : 44078773</v>
      </c>
    </row>
    <row r="2" spans="1:5" x14ac:dyDescent="0.35">
      <c r="C2" s="204" t="str">
        <f>VYSVETLIVKY!$B$41</f>
        <v>DIČ : 2022590790</v>
      </c>
    </row>
    <row r="3" spans="1:5" ht="15" thickBot="1" x14ac:dyDescent="0.4">
      <c r="A3" s="1" t="s">
        <v>283</v>
      </c>
    </row>
    <row r="4" spans="1:5" ht="30.75" customHeight="1" thickTop="1" thickBot="1" x14ac:dyDescent="0.4">
      <c r="A4" s="35" t="s">
        <v>52</v>
      </c>
      <c r="B4" s="205" t="s">
        <v>2</v>
      </c>
      <c r="C4" s="205" t="s">
        <v>3</v>
      </c>
    </row>
    <row r="5" spans="1:5" ht="24" customHeight="1" thickTop="1" thickBot="1" x14ac:dyDescent="0.4">
      <c r="A5" s="28" t="s">
        <v>292</v>
      </c>
      <c r="B5" s="165">
        <f>SUMIF(VZaS!C:C,"14",VZaS!D:D)</f>
        <v>318719.82</v>
      </c>
      <c r="C5" s="165">
        <f>SUMIF(VZaS!C:C,"14",VZaS!E:E)</f>
        <v>261796.84</v>
      </c>
    </row>
    <row r="6" spans="1:5" ht="20.5" thickBot="1" x14ac:dyDescent="0.4">
      <c r="A6" s="13" t="s">
        <v>285</v>
      </c>
      <c r="B6" s="165"/>
      <c r="C6" s="165"/>
      <c r="D6" s="159"/>
      <c r="E6" s="188"/>
    </row>
    <row r="7" spans="1:5" ht="20.5" thickBot="1" x14ac:dyDescent="0.4">
      <c r="A7" s="13" t="s">
        <v>133</v>
      </c>
      <c r="B7" s="170"/>
      <c r="C7" s="170"/>
      <c r="D7" s="159"/>
      <c r="E7" s="159"/>
    </row>
    <row r="8" spans="1:5" ht="20.25" customHeight="1" thickBot="1" x14ac:dyDescent="0.4">
      <c r="A8" s="13" t="s">
        <v>134</v>
      </c>
      <c r="B8" s="170"/>
      <c r="C8" s="170"/>
      <c r="D8" s="159"/>
      <c r="E8" s="159"/>
    </row>
    <row r="9" spans="1:5" ht="20.25" customHeight="1" thickBot="1" x14ac:dyDescent="0.4">
      <c r="A9" s="13" t="s">
        <v>135</v>
      </c>
      <c r="B9" s="170"/>
      <c r="C9" s="170"/>
      <c r="D9" s="159"/>
      <c r="E9" s="159"/>
    </row>
    <row r="10" spans="1:5" ht="20.25" customHeight="1" thickBot="1" x14ac:dyDescent="0.4">
      <c r="A10" s="13" t="s">
        <v>136</v>
      </c>
      <c r="B10" s="170"/>
      <c r="C10" s="170"/>
      <c r="D10" s="159"/>
      <c r="E10" s="159"/>
    </row>
    <row r="11" spans="1:5" ht="20.25" customHeight="1" thickBot="1" x14ac:dyDescent="0.4">
      <c r="A11" s="13" t="s">
        <v>137</v>
      </c>
      <c r="B11" s="170"/>
      <c r="C11" s="170"/>
      <c r="D11" s="159"/>
      <c r="E11" s="159"/>
    </row>
    <row r="12" spans="1:5" ht="20.5" thickBot="1" x14ac:dyDescent="0.4">
      <c r="A12" s="13" t="s">
        <v>286</v>
      </c>
      <c r="B12" s="170"/>
      <c r="C12" s="170"/>
      <c r="D12" s="159"/>
      <c r="E12" s="159"/>
    </row>
    <row r="13" spans="1:5" ht="15" thickBot="1" x14ac:dyDescent="0.4">
      <c r="A13" s="13"/>
      <c r="B13" s="170"/>
      <c r="C13" s="170"/>
      <c r="D13" s="159"/>
      <c r="E13" s="159"/>
    </row>
    <row r="14" spans="1:5" ht="15" thickBot="1" x14ac:dyDescent="0.4">
      <c r="A14" s="13"/>
      <c r="B14" s="170"/>
      <c r="C14" s="170"/>
    </row>
    <row r="15" spans="1:5" ht="21.5" thickBot="1" x14ac:dyDescent="0.4">
      <c r="A15" s="28" t="s">
        <v>287</v>
      </c>
      <c r="B15" s="170"/>
      <c r="C15" s="170"/>
    </row>
    <row r="16" spans="1:5" ht="15" thickBot="1" x14ac:dyDescent="0.4">
      <c r="A16" s="13"/>
      <c r="B16" s="170"/>
      <c r="C16" s="170"/>
    </row>
    <row r="17" spans="1:3" ht="15" thickBot="1" x14ac:dyDescent="0.4">
      <c r="A17" s="13"/>
      <c r="B17" s="170"/>
      <c r="C17" s="170"/>
    </row>
    <row r="18" spans="1:3" ht="15" thickBot="1" x14ac:dyDescent="0.4">
      <c r="A18" s="28" t="s">
        <v>288</v>
      </c>
      <c r="B18" s="170"/>
      <c r="C18" s="170"/>
    </row>
    <row r="19" spans="1:3" ht="15" thickBot="1" x14ac:dyDescent="0.4">
      <c r="A19" s="13" t="s">
        <v>289</v>
      </c>
      <c r="B19" s="170"/>
      <c r="C19" s="170"/>
    </row>
    <row r="20" spans="1:3" ht="20.5" thickBot="1" x14ac:dyDescent="0.4">
      <c r="A20" s="13" t="s">
        <v>293</v>
      </c>
      <c r="B20" s="170"/>
      <c r="C20" s="170"/>
    </row>
    <row r="21" spans="1:3" ht="20.5" thickBot="1" x14ac:dyDescent="0.4">
      <c r="A21" s="13" t="s">
        <v>290</v>
      </c>
      <c r="B21" s="170"/>
      <c r="C21" s="170"/>
    </row>
    <row r="22" spans="1:3" ht="15" thickBot="1" x14ac:dyDescent="0.4">
      <c r="A22" s="13"/>
      <c r="B22" s="170"/>
      <c r="C22" s="170"/>
    </row>
    <row r="23" spans="1:3" ht="15" thickBot="1" x14ac:dyDescent="0.4">
      <c r="A23" s="13"/>
      <c r="B23" s="170"/>
      <c r="C23" s="170"/>
    </row>
    <row r="24" spans="1:3" ht="21.5" thickBot="1" x14ac:dyDescent="0.4">
      <c r="A24" s="28" t="s">
        <v>291</v>
      </c>
      <c r="B24" s="170"/>
      <c r="C24" s="170"/>
    </row>
    <row r="25" spans="1:3" ht="15" thickBot="1" x14ac:dyDescent="0.4">
      <c r="A25" s="13"/>
      <c r="B25" s="170"/>
      <c r="C25" s="170"/>
    </row>
    <row r="26" spans="1:3" ht="15" thickBot="1" x14ac:dyDescent="0.4">
      <c r="A26" s="13"/>
      <c r="B26" s="170"/>
      <c r="C26" s="170"/>
    </row>
  </sheetData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rgb="FF00B050"/>
  </sheetPr>
  <dimension ref="A1:J15"/>
  <sheetViews>
    <sheetView showGridLines="0" zoomScaleNormal="100" workbookViewId="0">
      <selection activeCell="F12" sqref="F12"/>
    </sheetView>
  </sheetViews>
  <sheetFormatPr defaultRowHeight="14.5" x14ac:dyDescent="0.35"/>
  <cols>
    <col min="1" max="1" width="22.26953125" customWidth="1"/>
    <col min="2" max="2" width="10.7265625" customWidth="1"/>
    <col min="3" max="3" width="11.81640625" bestFit="1" customWidth="1"/>
    <col min="4" max="5" width="10.7265625" customWidth="1"/>
    <col min="6" max="6" width="12.7265625" bestFit="1" customWidth="1"/>
    <col min="7" max="7" width="10.7265625" customWidth="1"/>
  </cols>
  <sheetData>
    <row r="1" spans="1:10" x14ac:dyDescent="0.35">
      <c r="A1" t="str">
        <f>VYSVETLIVKY!$B$39</f>
        <v>Poznámky Úč POD 3-01</v>
      </c>
      <c r="G1" s="204" t="str">
        <f>VYSVETLIVKY!$B$40</f>
        <v>IČO : 44078773</v>
      </c>
    </row>
    <row r="2" spans="1:10" x14ac:dyDescent="0.35">
      <c r="G2" s="204" t="str">
        <f>VYSVETLIVKY!$B$41</f>
        <v>DIČ : 2022590790</v>
      </c>
    </row>
    <row r="3" spans="1:10" ht="15" thickBot="1" x14ac:dyDescent="0.4">
      <c r="A3" s="1" t="s">
        <v>273</v>
      </c>
    </row>
    <row r="4" spans="1:10" ht="35.25" customHeight="1" thickTop="1" thickBot="1" x14ac:dyDescent="0.4">
      <c r="A4" s="206" t="s">
        <v>52</v>
      </c>
      <c r="B4" s="211" t="s">
        <v>2</v>
      </c>
      <c r="C4" s="212"/>
      <c r="D4" s="213"/>
      <c r="E4" s="211" t="s">
        <v>3</v>
      </c>
      <c r="F4" s="212"/>
      <c r="G4" s="213"/>
    </row>
    <row r="5" spans="1:10" s="63" customFormat="1" ht="15.5" thickTop="1" thickBot="1" x14ac:dyDescent="0.4">
      <c r="A5" s="221"/>
      <c r="B5" s="19" t="s">
        <v>138</v>
      </c>
      <c r="C5" s="19" t="s">
        <v>139</v>
      </c>
      <c r="D5" s="19" t="s">
        <v>140</v>
      </c>
      <c r="E5" s="19" t="s">
        <v>138</v>
      </c>
      <c r="F5" s="19" t="s">
        <v>139</v>
      </c>
      <c r="G5" s="19" t="s">
        <v>140</v>
      </c>
    </row>
    <row r="6" spans="1:10" ht="21" thickTop="1" thickBot="1" x14ac:dyDescent="0.4">
      <c r="A6" s="13" t="s">
        <v>141</v>
      </c>
      <c r="B6" s="187">
        <f>SUMIF(VZaS!C:C,"56",VZaS!D:D)</f>
        <v>48440.27</v>
      </c>
      <c r="C6" s="194" t="s">
        <v>10</v>
      </c>
      <c r="D6" s="195" t="s">
        <v>10</v>
      </c>
      <c r="E6" s="187">
        <f>SUMIF(VZaS!C:C,"56",VZaS!E:E)</f>
        <v>37393.67</v>
      </c>
      <c r="F6" s="194" t="s">
        <v>10</v>
      </c>
      <c r="G6" s="195" t="s">
        <v>10</v>
      </c>
      <c r="H6" s="157"/>
      <c r="I6" s="157"/>
      <c r="J6" s="186"/>
    </row>
    <row r="7" spans="1:10" ht="20.25" customHeight="1" thickBot="1" x14ac:dyDescent="0.4">
      <c r="A7" s="13" t="s">
        <v>142</v>
      </c>
      <c r="B7" s="194" t="s">
        <v>10</v>
      </c>
      <c r="C7" s="164"/>
      <c r="D7" s="196"/>
      <c r="E7" s="194" t="s">
        <v>10</v>
      </c>
      <c r="F7" s="164"/>
      <c r="G7" s="196"/>
      <c r="H7" s="157"/>
      <c r="I7" s="157"/>
      <c r="J7" s="157"/>
    </row>
    <row r="8" spans="1:10" ht="20.25" customHeight="1" thickBot="1" x14ac:dyDescent="0.4">
      <c r="A8" s="13" t="s">
        <v>143</v>
      </c>
      <c r="B8" s="164"/>
      <c r="C8" s="164"/>
      <c r="D8" s="196"/>
      <c r="E8" s="164"/>
      <c r="F8" s="164"/>
      <c r="G8" s="196"/>
      <c r="H8" s="157"/>
      <c r="I8" s="157"/>
      <c r="J8" s="157"/>
    </row>
    <row r="9" spans="1:10" ht="20.25" customHeight="1" thickBot="1" x14ac:dyDescent="0.4">
      <c r="A9" s="13" t="s">
        <v>144</v>
      </c>
      <c r="B9" s="164"/>
      <c r="C9" s="164"/>
      <c r="D9" s="196"/>
      <c r="E9" s="164"/>
      <c r="F9" s="164"/>
      <c r="G9" s="196"/>
      <c r="H9" s="157"/>
      <c r="I9" s="157"/>
      <c r="J9" s="157"/>
    </row>
    <row r="10" spans="1:10" ht="20.25" customHeight="1" thickBot="1" x14ac:dyDescent="0.4">
      <c r="A10" s="13" t="s">
        <v>145</v>
      </c>
      <c r="B10" s="164"/>
      <c r="C10" s="164"/>
      <c r="D10" s="196"/>
      <c r="E10" s="164"/>
      <c r="F10" s="164"/>
      <c r="G10" s="196"/>
      <c r="H10" s="157"/>
      <c r="I10" s="157"/>
      <c r="J10" s="157"/>
    </row>
    <row r="11" spans="1:10" ht="20.25" customHeight="1" thickBot="1" x14ac:dyDescent="0.4">
      <c r="A11" s="13" t="s">
        <v>8</v>
      </c>
      <c r="B11" s="164"/>
      <c r="C11" s="164"/>
      <c r="D11" s="196"/>
      <c r="E11" s="164"/>
      <c r="F11" s="164"/>
      <c r="G11" s="196"/>
      <c r="H11" s="157"/>
      <c r="I11" s="157"/>
      <c r="J11" s="157"/>
    </row>
    <row r="12" spans="1:10" ht="20.25" customHeight="1" thickBot="1" x14ac:dyDescent="0.4">
      <c r="A12" s="13" t="s">
        <v>146</v>
      </c>
      <c r="B12" s="194" t="s">
        <v>10</v>
      </c>
      <c r="C12" s="187">
        <f>SUMIF(VZaS!C:C,"58",VZaS!D:D)</f>
        <v>10697.14</v>
      </c>
      <c r="D12" s="196"/>
      <c r="E12" s="194" t="s">
        <v>10</v>
      </c>
      <c r="F12" s="187">
        <f>SUMIF(VZaS!C:C,"58",VZaS!E:E)</f>
        <v>8041.95</v>
      </c>
      <c r="G12" s="196"/>
      <c r="H12" s="157"/>
      <c r="I12" s="157"/>
      <c r="J12" s="157"/>
    </row>
    <row r="13" spans="1:10" ht="20.25" customHeight="1" thickBot="1" x14ac:dyDescent="0.4">
      <c r="A13" s="13" t="s">
        <v>147</v>
      </c>
      <c r="B13" s="194" t="s">
        <v>10</v>
      </c>
      <c r="C13" s="187">
        <f>SUMIF(VZaS!C:C,"59",VZaS!D:D)</f>
        <v>117.06</v>
      </c>
      <c r="D13" s="196"/>
      <c r="E13" s="194" t="s">
        <v>10</v>
      </c>
      <c r="F13" s="187">
        <f>SUMIF(VZaS!C:C,"59",VZaS!E:E)</f>
        <v>794.34</v>
      </c>
      <c r="G13" s="196"/>
      <c r="H13" s="157"/>
      <c r="I13" s="157"/>
      <c r="J13" s="157"/>
    </row>
    <row r="14" spans="1:10" ht="20.25" customHeight="1" thickBot="1" x14ac:dyDescent="0.4">
      <c r="A14" s="15" t="s">
        <v>148</v>
      </c>
      <c r="B14" s="56" t="s">
        <v>10</v>
      </c>
      <c r="C14" s="45"/>
      <c r="D14" s="67"/>
      <c r="E14" s="56" t="s">
        <v>10</v>
      </c>
      <c r="F14" s="45"/>
      <c r="G14" s="67"/>
    </row>
    <row r="15" spans="1:10" ht="15" thickTop="1" x14ac:dyDescent="0.35"/>
  </sheetData>
  <mergeCells count="3">
    <mergeCell ref="A4:A5"/>
    <mergeCell ref="B4:D4"/>
    <mergeCell ref="E4:G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tabColor rgb="FF0070C0"/>
  </sheetPr>
  <dimension ref="A1:B18"/>
  <sheetViews>
    <sheetView workbookViewId="0">
      <selection activeCell="B3" sqref="B3"/>
    </sheetView>
  </sheetViews>
  <sheetFormatPr defaultRowHeight="14.5" x14ac:dyDescent="0.35"/>
  <cols>
    <col min="1" max="1" width="63.1796875" style="17" customWidth="1"/>
    <col min="2" max="2" width="24.81640625" style="17" customWidth="1"/>
  </cols>
  <sheetData>
    <row r="1" spans="1:2" x14ac:dyDescent="0.35">
      <c r="A1" s="107" t="s">
        <v>257</v>
      </c>
      <c r="B1" s="107" t="s">
        <v>33</v>
      </c>
    </row>
    <row r="2" spans="1:2" x14ac:dyDescent="0.35">
      <c r="A2" s="17" t="s">
        <v>1463</v>
      </c>
      <c r="B2" s="234">
        <v>45672</v>
      </c>
    </row>
    <row r="3" spans="1:2" x14ac:dyDescent="0.35">
      <c r="A3" s="17" t="s">
        <v>1464</v>
      </c>
      <c r="B3" s="17" t="s">
        <v>1465</v>
      </c>
    </row>
    <row r="4" spans="1:2" x14ac:dyDescent="0.35">
      <c r="A4" s="17" t="s">
        <v>1466</v>
      </c>
      <c r="B4" s="17" t="s">
        <v>1467</v>
      </c>
    </row>
    <row r="5" spans="1:2" x14ac:dyDescent="0.35">
      <c r="A5" s="17" t="s">
        <v>1468</v>
      </c>
      <c r="B5" s="17" t="s">
        <v>1469</v>
      </c>
    </row>
    <row r="6" spans="1:2" x14ac:dyDescent="0.35">
      <c r="A6" s="17" t="s">
        <v>1470</v>
      </c>
      <c r="B6" s="17" t="s">
        <v>1471</v>
      </c>
    </row>
    <row r="7" spans="1:2" x14ac:dyDescent="0.35">
      <c r="A7" s="17" t="s">
        <v>1472</v>
      </c>
      <c r="B7" s="17">
        <v>44078773</v>
      </c>
    </row>
    <row r="8" spans="1:2" x14ac:dyDescent="0.35">
      <c r="A8" s="17" t="s">
        <v>1473</v>
      </c>
      <c r="B8" s="17">
        <v>2022590790</v>
      </c>
    </row>
    <row r="9" spans="1:2" x14ac:dyDescent="0.35">
      <c r="A9" s="17" t="s">
        <v>1474</v>
      </c>
    </row>
    <row r="10" spans="1:2" x14ac:dyDescent="0.35">
      <c r="A10" s="17" t="s">
        <v>1475</v>
      </c>
      <c r="B10" s="17" t="s">
        <v>1476</v>
      </c>
    </row>
    <row r="11" spans="1:2" x14ac:dyDescent="0.35">
      <c r="A11" s="17" t="s">
        <v>1477</v>
      </c>
    </row>
    <row r="12" spans="1:2" x14ac:dyDescent="0.35">
      <c r="A12" s="17" t="s">
        <v>1478</v>
      </c>
      <c r="B12" s="17" t="s">
        <v>1479</v>
      </c>
    </row>
    <row r="13" spans="1:2" x14ac:dyDescent="0.35">
      <c r="A13" s="17" t="s">
        <v>1480</v>
      </c>
      <c r="B13" s="17" t="s">
        <v>1481</v>
      </c>
    </row>
    <row r="14" spans="1:2" x14ac:dyDescent="0.35">
      <c r="A14" s="17" t="s">
        <v>1482</v>
      </c>
      <c r="B14" s="17" t="s">
        <v>1483</v>
      </c>
    </row>
    <row r="15" spans="1:2" x14ac:dyDescent="0.35">
      <c r="A15" s="17" t="s">
        <v>1484</v>
      </c>
      <c r="B15" s="17" t="s">
        <v>1485</v>
      </c>
    </row>
    <row r="16" spans="1:2" x14ac:dyDescent="0.35">
      <c r="A16" s="17" t="s">
        <v>1486</v>
      </c>
      <c r="B16" s="17" t="s">
        <v>1487</v>
      </c>
    </row>
    <row r="17" spans="1:2" x14ac:dyDescent="0.35">
      <c r="A17" s="17" t="s">
        <v>1488</v>
      </c>
    </row>
    <row r="18" spans="1:2" x14ac:dyDescent="0.35">
      <c r="A18" s="17" t="s">
        <v>1489</v>
      </c>
      <c r="B18" s="17" t="s">
        <v>1490</v>
      </c>
    </row>
  </sheetData>
  <pageMargins left="0.7" right="0.7" top="0.75" bottom="0.75" header="0.3" footer="0.3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rgb="FF00B050"/>
  </sheetPr>
  <dimension ref="A1:J48"/>
  <sheetViews>
    <sheetView showGridLines="0" workbookViewId="0">
      <selection activeCell="A26" sqref="A26"/>
    </sheetView>
  </sheetViews>
  <sheetFormatPr defaultColWidth="9.1796875" defaultRowHeight="10" x14ac:dyDescent="0.35"/>
  <cols>
    <col min="1" max="1" width="28.453125" style="18" customWidth="1"/>
    <col min="2" max="4" width="11.54296875" style="18" customWidth="1"/>
    <col min="5" max="5" width="9.1796875" style="18" customWidth="1"/>
    <col min="6" max="6" width="17.81640625" style="18" bestFit="1" customWidth="1"/>
    <col min="7" max="16384" width="9.1796875" style="18"/>
  </cols>
  <sheetData>
    <row r="1" spans="1:9" ht="14.5" x14ac:dyDescent="0.35">
      <c r="A1" t="str">
        <f>VYSVETLIVKY!$B$39</f>
        <v>Poznámky Úč POD 3-01</v>
      </c>
      <c r="F1" s="204" t="str">
        <f>VYSVETLIVKY!$B$40</f>
        <v>IČO : 44078773</v>
      </c>
    </row>
    <row r="2" spans="1:9" ht="14.5" x14ac:dyDescent="0.35">
      <c r="F2" s="204" t="str">
        <f>VYSVETLIVKY!$B$41</f>
        <v>DIČ : 2022590790</v>
      </c>
    </row>
    <row r="3" spans="1:9" customFormat="1" ht="14.5" x14ac:dyDescent="0.35">
      <c r="A3" s="1" t="s">
        <v>274</v>
      </c>
    </row>
    <row r="4" spans="1:9" ht="10.5" thickBot="1" x14ac:dyDescent="0.4"/>
    <row r="5" spans="1:9" ht="13.5" customHeight="1" thickTop="1" thickBot="1" x14ac:dyDescent="0.4">
      <c r="A5" s="232" t="s">
        <v>208</v>
      </c>
      <c r="B5" s="229" t="s">
        <v>2</v>
      </c>
      <c r="C5" s="230"/>
      <c r="D5" s="230"/>
      <c r="E5" s="230"/>
      <c r="F5" s="231"/>
    </row>
    <row r="6" spans="1:9" ht="42.5" thickBot="1" x14ac:dyDescent="0.4">
      <c r="A6" s="233"/>
      <c r="B6" s="49" t="s">
        <v>215</v>
      </c>
      <c r="C6" s="49" t="s">
        <v>18</v>
      </c>
      <c r="D6" s="49" t="s">
        <v>19</v>
      </c>
      <c r="E6" s="49" t="s">
        <v>20</v>
      </c>
      <c r="F6" s="19" t="s">
        <v>150</v>
      </c>
    </row>
    <row r="7" spans="1:9" ht="11.5" thickTop="1" thickBot="1" x14ac:dyDescent="0.4">
      <c r="A7" s="75" t="s">
        <v>151</v>
      </c>
      <c r="B7" s="160">
        <f>SUMIF(HK!A:A,"411*",HK!D:D)-SUMIF(HK!A:A,"411*",HK!C:C)</f>
        <v>5000</v>
      </c>
      <c r="C7" s="177">
        <f>SUMIF(HK!A:A,"411*",HK!J:J)</f>
        <v>0</v>
      </c>
      <c r="D7" s="177">
        <f>SUMIF(HK!A:A,"411*",HK!I:I)</f>
        <v>0</v>
      </c>
      <c r="E7" s="177"/>
      <c r="F7" s="175">
        <f>SUMIF(HK!A:A,"411*",HK!L:L)-SUMIF(HK!A:A,"411*",HK!K:K)</f>
        <v>5000</v>
      </c>
      <c r="G7" s="146"/>
      <c r="H7" s="155"/>
      <c r="I7" s="146"/>
    </row>
    <row r="8" spans="1:9" ht="11" thickBot="1" x14ac:dyDescent="0.4">
      <c r="A8" s="75" t="s">
        <v>152</v>
      </c>
      <c r="B8" s="162">
        <f>SUMIF(HKM!A:A,"252*",HKM!C:C)-SUMIF(HKM!A:A,"252*",HKM!D:D)</f>
        <v>0</v>
      </c>
      <c r="C8" s="164">
        <f>SUMIF(HK!A:A,"252*",HK!J:J)</f>
        <v>0</v>
      </c>
      <c r="D8" s="164">
        <f>SUMIF(HK!A:A,"252*",HK!I:I)</f>
        <v>0</v>
      </c>
      <c r="E8" s="164"/>
      <c r="F8" s="158">
        <f>SUMIF(HK!A:A,"252*",HK!K:K)-SUMIF(HK!A:A,"252*",HK!L:L)</f>
        <v>0</v>
      </c>
      <c r="G8" s="146"/>
      <c r="H8" s="155"/>
      <c r="I8" s="146"/>
    </row>
    <row r="9" spans="1:9" ht="11" thickBot="1" x14ac:dyDescent="0.4">
      <c r="A9" s="75" t="s">
        <v>209</v>
      </c>
      <c r="B9" s="162">
        <f>SUMIF(HK!A:A,"419*",HK!D:D)-SUMIF(HK!A:A,"419*",HK!C:C)</f>
        <v>0</v>
      </c>
      <c r="C9" s="164">
        <f>SUMIF(HK!A:A,"419*",HK!J:J)</f>
        <v>0</v>
      </c>
      <c r="D9" s="164">
        <f>SUMIF(HK!A:A,"419*",HK!I:I)</f>
        <v>0</v>
      </c>
      <c r="E9" s="164"/>
      <c r="F9" s="158">
        <f>SUMIF(HK!A:A,"419*",HK!L:L)-SUMIF(HK!A:A,"419*",HK!K:K)</f>
        <v>0</v>
      </c>
      <c r="G9" s="146"/>
      <c r="H9" s="155"/>
      <c r="I9" s="146"/>
    </row>
    <row r="10" spans="1:9" ht="11" thickBot="1" x14ac:dyDescent="0.4">
      <c r="A10" s="75" t="s">
        <v>210</v>
      </c>
      <c r="B10" s="162">
        <f>SUMIF(HKM!A:A,"353*",HKM!C:C)-SUMIF(HKM!A:A,"353*",HKM!D:D)</f>
        <v>0</v>
      </c>
      <c r="C10" s="164">
        <f>SUMIF(HK!A:A,"353*",HK!J:J)</f>
        <v>0</v>
      </c>
      <c r="D10" s="164">
        <f>SUMIF(HK!A:A,"353*",HK!I:I)</f>
        <v>0</v>
      </c>
      <c r="E10" s="164"/>
      <c r="F10" s="158">
        <f>SUMIF(HK!A:A,"353*",HK!K:K)-SUMIF(HK!A:A,"353*",HK!L:L)</f>
        <v>0</v>
      </c>
      <c r="G10" s="146"/>
      <c r="H10" s="155"/>
      <c r="I10" s="146"/>
    </row>
    <row r="11" spans="1:9" ht="11" thickBot="1" x14ac:dyDescent="0.4">
      <c r="A11" s="75" t="s">
        <v>153</v>
      </c>
      <c r="B11" s="162">
        <f>SUMIF(HK!A:A,"412*",HK!D:D)-SUMIF(HK!A:A,"412*",HK!C:C)</f>
        <v>0</v>
      </c>
      <c r="C11" s="164">
        <f>SUMIF(HK!A:A,"412*",HK!J:J)</f>
        <v>0</v>
      </c>
      <c r="D11" s="164">
        <f>SUMIF(HK!A:A,"412*",HK!I:I)</f>
        <v>0</v>
      </c>
      <c r="E11" s="164"/>
      <c r="F11" s="158">
        <f>SUMIF(HK!A:A,"412*",HK!L:L)-SUMIF(HK!A:A,"412*",HK!K:K)</f>
        <v>0</v>
      </c>
      <c r="G11" s="146"/>
      <c r="H11" s="155"/>
      <c r="I11" s="146"/>
    </row>
    <row r="12" spans="1:9" ht="11" thickBot="1" x14ac:dyDescent="0.4">
      <c r="A12" s="75" t="s">
        <v>154</v>
      </c>
      <c r="B12" s="162">
        <f>SUMIF(HK!A:A,"413*",HK!D:D)-SUMIF(HK!A:A,"413*",HK!C:C)</f>
        <v>22000</v>
      </c>
      <c r="C12" s="164">
        <f>SUMIF(HK!A:A,"413*",HK!J:J)</f>
        <v>0</v>
      </c>
      <c r="D12" s="164">
        <f>SUMIF(HK!A:A,"413*",HK!I:I)</f>
        <v>0</v>
      </c>
      <c r="E12" s="164"/>
      <c r="F12" s="158">
        <f>SUMIF(HK!A:A,"413*",HK!L:L)-SUMIF(HK!A:A,"413*",HK!K:K)</f>
        <v>22000</v>
      </c>
      <c r="G12" s="146"/>
      <c r="H12" s="155"/>
      <c r="I12" s="146"/>
    </row>
    <row r="13" spans="1:9" ht="20.5" thickBot="1" x14ac:dyDescent="0.4">
      <c r="A13" s="75" t="s">
        <v>155</v>
      </c>
      <c r="B13" s="162">
        <f>SUMIF(HK!A:A,"417*",HK!D:D)-SUMIF(HK!A:A,"417*",HK!C:C)</f>
        <v>0</v>
      </c>
      <c r="C13" s="164">
        <f>SUMIF(HK!A:A,"417*",HK!J:J)</f>
        <v>0</v>
      </c>
      <c r="D13" s="164">
        <f>SUMIF(HK!A:A,"417*",HK!I:I)</f>
        <v>0</v>
      </c>
      <c r="E13" s="164"/>
      <c r="F13" s="158">
        <f>SUMIF(HK!A:A,"417*",HK!L:L)-SUMIF(HK!A:A,"417*",HK!K:K)</f>
        <v>0</v>
      </c>
      <c r="G13" s="146"/>
      <c r="H13" s="155"/>
      <c r="I13" s="146"/>
    </row>
    <row r="14" spans="1:9" ht="20.5" thickBot="1" x14ac:dyDescent="0.4">
      <c r="A14" s="75" t="s">
        <v>237</v>
      </c>
      <c r="B14" s="162">
        <f>SUMIF(HK!A:A,"414*",HK!D:D)-SUMIF(HK!A:A,"414*",HK!C:C)</f>
        <v>0</v>
      </c>
      <c r="C14" s="164">
        <f>SUMIF(HK!A:A,"414*",HK!J:J)</f>
        <v>0</v>
      </c>
      <c r="D14" s="164">
        <f>SUMIF(HK!A:A,"414*",HK!I:I)</f>
        <v>0</v>
      </c>
      <c r="E14" s="164"/>
      <c r="F14" s="158">
        <f>SUMIF(HK!A:A,"414*",HK!L:L)-SUMIF(HK!A:A,"414*",HK!K:K)</f>
        <v>0</v>
      </c>
      <c r="G14" s="146"/>
      <c r="H14" s="155"/>
      <c r="I14" s="146"/>
    </row>
    <row r="15" spans="1:9" ht="11" thickBot="1" x14ac:dyDescent="0.4">
      <c r="A15" s="75" t="s">
        <v>156</v>
      </c>
      <c r="B15" s="162">
        <f>SUMIF(HK!A:A,"415*",HK!D:D)-SUMIF(HK!A:A,"415*",HK!C:C)</f>
        <v>0</v>
      </c>
      <c r="C15" s="164">
        <f>SUMIF(HK!A:A,"415*",HK!J:J)</f>
        <v>0</v>
      </c>
      <c r="D15" s="164">
        <f>SUMIF(HK!A:A,"415*",HK!I:I)</f>
        <v>0</v>
      </c>
      <c r="E15" s="164"/>
      <c r="F15" s="158">
        <f>SUMIF(HK!A:A,"415*",HK!L:L)--SUMIF(HK!A:A,"415*",HK!K:K)</f>
        <v>0</v>
      </c>
      <c r="G15" s="146"/>
      <c r="H15" s="155"/>
      <c r="I15" s="146"/>
    </row>
    <row r="16" spans="1:9" ht="20.5" thickBot="1" x14ac:dyDescent="0.4">
      <c r="A16" s="75" t="s">
        <v>211</v>
      </c>
      <c r="B16" s="162">
        <f>SUMIF(HK!A:A,"416*",HK!D:D)-SUMIF(HK!A:A,"416*",HK!C:C)</f>
        <v>0</v>
      </c>
      <c r="C16" s="164">
        <f>SUMIF(HK!A:A,"416*",HK!J:J)</f>
        <v>0</v>
      </c>
      <c r="D16" s="164">
        <f>SUMIF(HK!A:A,"416*",HK!I:I)</f>
        <v>0</v>
      </c>
      <c r="E16" s="164"/>
      <c r="F16" s="158">
        <f>SUMIF(HK!A:A,"416*",HK!L:L)-SUMIF(HK!A:A,"416*",HK!K:K)</f>
        <v>0</v>
      </c>
      <c r="G16" s="146"/>
      <c r="H16" s="155"/>
      <c r="I16" s="146"/>
    </row>
    <row r="17" spans="1:9" ht="11" thickBot="1" x14ac:dyDescent="0.4">
      <c r="A17" s="75" t="s">
        <v>157</v>
      </c>
      <c r="B17" s="162">
        <f>SUMIF(HK!A:A,"421*",HK!D:D)-SUMIF(HK!A:A,"421*",HK!C:C)</f>
        <v>500</v>
      </c>
      <c r="C17" s="164">
        <f>SUMIF(HK!A:A,"421*",HK!J:J)</f>
        <v>0</v>
      </c>
      <c r="D17" s="164">
        <f>SUMIF(HK!A:A,"421*",HK!I:I)</f>
        <v>0</v>
      </c>
      <c r="E17" s="164"/>
      <c r="F17" s="158">
        <f>SUMIF(HK!A:A,"421*",HK!L:L)-SUMIF(HK!A:A,"421*",HK!K:K)</f>
        <v>500</v>
      </c>
      <c r="G17" s="146"/>
      <c r="H17" s="155"/>
      <c r="I17" s="146"/>
    </row>
    <row r="18" spans="1:9" ht="11" thickBot="1" x14ac:dyDescent="0.4">
      <c r="A18" s="75" t="s">
        <v>158</v>
      </c>
      <c r="B18" s="162">
        <f>SUMIF(HK!A:A,"422*",HK!D:D)-SUMIF(HK!A:A,"422*",HK!C:C)</f>
        <v>0</v>
      </c>
      <c r="C18" s="164">
        <f>SUMIF(HK!A:A,"422*",HK!J:J)</f>
        <v>0</v>
      </c>
      <c r="D18" s="164">
        <f>SUMIF(HK!A:A,"422*",HK!I:I)</f>
        <v>0</v>
      </c>
      <c r="E18" s="164"/>
      <c r="F18" s="158">
        <f>SUMIF(HK!A:A,"422*",HK!L:L)-SUMIF(HK!A:A,"422*",HK!K:K)</f>
        <v>0</v>
      </c>
      <c r="G18" s="146"/>
      <c r="H18" s="155"/>
      <c r="I18" s="146"/>
    </row>
    <row r="19" spans="1:9" ht="11" thickBot="1" x14ac:dyDescent="0.4">
      <c r="A19" s="75" t="s">
        <v>159</v>
      </c>
      <c r="B19" s="162">
        <f>SUMIF(HK!A:A,"423*",HK!D:D)-SUMIF(HK!A:A,"423*",HK!C:C)+SUMIF(HK!A:A,"427*",HK!D:D)-SUMIF(HK!A:A,"427*",HK!C:C)</f>
        <v>0</v>
      </c>
      <c r="C19" s="164">
        <f>SUMIF(HK!A:A,"423*",HK!J:J)</f>
        <v>0</v>
      </c>
      <c r="D19" s="164">
        <f>SUMIF(HK!A:A,"423*",HK!I:I)</f>
        <v>0</v>
      </c>
      <c r="E19" s="164"/>
      <c r="F19" s="158">
        <f>SUMIF(HK!A:A,"423*",HK!L:L)-SUMIF(HK!A:A,"423*",HK!K:K)+SUMIF(HK!A:A,"427*",HK!L:L)-SUMIF(HK!A:A,"427*",HK!K:K)</f>
        <v>0</v>
      </c>
      <c r="G19" s="146"/>
      <c r="H19" s="155"/>
      <c r="I19" s="146"/>
    </row>
    <row r="20" spans="1:9" ht="11" thickBot="1" x14ac:dyDescent="0.4">
      <c r="A20" s="75" t="s">
        <v>160</v>
      </c>
      <c r="B20" s="162">
        <f>SUMIF(HK!A:A,"428*",HK!D:D)-SUMIF(HK!A:A,"428*",HK!C:C)</f>
        <v>85666.239999999991</v>
      </c>
      <c r="C20" s="164">
        <f>SUMIF(HK!A:A,"428*",HK!J:J)</f>
        <v>28557.38</v>
      </c>
      <c r="D20" s="164">
        <f>SUMIF(HK!A:A,"428*",HK!I:I)</f>
        <v>0</v>
      </c>
      <c r="E20" s="164"/>
      <c r="F20" s="158">
        <f>SUMIF(HK!A:A,"428*",HK!L:L)-SUMIF(HK!A:A,"428*",HK!K:K)</f>
        <v>114223.62</v>
      </c>
      <c r="G20" s="146"/>
      <c r="H20" s="155"/>
      <c r="I20" s="146"/>
    </row>
    <row r="21" spans="1:9" ht="11" thickBot="1" x14ac:dyDescent="0.4">
      <c r="A21" s="75" t="s">
        <v>212</v>
      </c>
      <c r="B21" s="162">
        <f>SUMIF(HK!A:A,"429*",HK!D:D)-SUMIF(HK!A:A,"429*",HK!C:C)</f>
        <v>0</v>
      </c>
      <c r="C21" s="164">
        <f>SUMIF(HK!A:A,"429*",HK!J:J)</f>
        <v>0</v>
      </c>
      <c r="D21" s="164">
        <f>SUMIF(HK!A:A,"429*",HK!I:I)</f>
        <v>0</v>
      </c>
      <c r="E21" s="164"/>
      <c r="F21" s="158">
        <f>SUMIF(HK!A:A,"429*",HK!L:L)-SUMIF(HK!A:A,"429*",HK!K:K)</f>
        <v>0</v>
      </c>
      <c r="G21" s="146"/>
      <c r="H21" s="155"/>
      <c r="I21" s="146"/>
    </row>
    <row r="22" spans="1:9" ht="20.5" thickBot="1" x14ac:dyDescent="0.4">
      <c r="A22" s="75" t="s">
        <v>213</v>
      </c>
      <c r="B22" s="162">
        <f>SUMIF(SUP!C:C,"100",SUP!E:E)</f>
        <v>28557.38</v>
      </c>
      <c r="C22" s="164"/>
      <c r="D22" s="164"/>
      <c r="E22" s="164"/>
      <c r="F22" s="158">
        <f>SUMIF(SUP!C:C,"100",SUP!D:D)</f>
        <v>37626.07</v>
      </c>
      <c r="G22" s="146"/>
      <c r="H22" s="155"/>
      <c r="I22" s="146"/>
    </row>
    <row r="23" spans="1:9" ht="11" thickBot="1" x14ac:dyDescent="0.4">
      <c r="A23" s="75" t="s">
        <v>161</v>
      </c>
      <c r="B23" s="162">
        <f>SUMIF(HK!A:A,"418*",HK!D:D)-SUMIF(HK!A:A,"418*",HK!C:C)</f>
        <v>0</v>
      </c>
      <c r="C23" s="164">
        <f>SUMIF(HK!A:A,"418*",HK!J:J)</f>
        <v>0</v>
      </c>
      <c r="D23" s="164">
        <f>SUMIF(HK!A:A,"418*",HK!I:I)</f>
        <v>0</v>
      </c>
      <c r="E23" s="164"/>
      <c r="F23" s="158">
        <f>SUMIF(HK!A:A,"418*",HK!L:L)-SUMIF(HK!A:A,"418*",HK!K:K)</f>
        <v>0</v>
      </c>
      <c r="G23" s="146"/>
      <c r="H23" s="155"/>
      <c r="I23" s="146"/>
    </row>
    <row r="24" spans="1:9" ht="20.5" thickBot="1" x14ac:dyDescent="0.4">
      <c r="A24" s="78" t="s">
        <v>214</v>
      </c>
      <c r="B24" s="201">
        <f>SUMIF(HK!A:A,"491*",HK!D:D)-SUMIF(HK!A:A,"491*",HK!C:C)</f>
        <v>0</v>
      </c>
      <c r="C24" s="180">
        <f>SUMIF(HK!A:A,"491*",HK!J:J)</f>
        <v>0</v>
      </c>
      <c r="D24" s="180">
        <f>SUMIF(HK!A:A,"491*",HK!I:I)</f>
        <v>0</v>
      </c>
      <c r="E24" s="180"/>
      <c r="F24" s="149">
        <f>SUMIF(HK!A:A,"491*",HK!L:L)-SUMIF(HK!A:A,"491*",HK!K:K)</f>
        <v>0</v>
      </c>
      <c r="G24" s="146"/>
      <c r="H24" s="155"/>
      <c r="I24" s="146"/>
    </row>
    <row r="25" spans="1:9" ht="22.5" customHeight="1" thickTop="1" x14ac:dyDescent="0.35">
      <c r="A25" s="50"/>
      <c r="B25" s="51"/>
      <c r="C25" s="51"/>
      <c r="D25" s="51"/>
      <c r="E25" s="51"/>
      <c r="F25" s="51"/>
    </row>
    <row r="26" spans="1:9" ht="22.5" customHeight="1" x14ac:dyDescent="0.35">
      <c r="A26" t="str">
        <f>VYSVETLIVKY!$B$39</f>
        <v>Poznámky Úč POD 3-01</v>
      </c>
      <c r="F26" s="204" t="str">
        <f>VYSVETLIVKY!$B$40</f>
        <v>IČO : 44078773</v>
      </c>
    </row>
    <row r="27" spans="1:9" ht="15" thickBot="1" x14ac:dyDescent="0.4">
      <c r="F27" s="204" t="str">
        <f>VYSVETLIVKY!$B$41</f>
        <v>DIČ : 2022590790</v>
      </c>
    </row>
    <row r="28" spans="1:9" ht="13.5" customHeight="1" thickTop="1" thickBot="1" x14ac:dyDescent="0.4">
      <c r="A28" s="232" t="s">
        <v>208</v>
      </c>
      <c r="B28" s="229" t="s">
        <v>3</v>
      </c>
      <c r="C28" s="230"/>
      <c r="D28" s="230"/>
      <c r="E28" s="230"/>
      <c r="F28" s="231"/>
    </row>
    <row r="29" spans="1:9" ht="42.5" thickBot="1" x14ac:dyDescent="0.4">
      <c r="A29" s="233"/>
      <c r="B29" s="49" t="s">
        <v>215</v>
      </c>
      <c r="C29" s="49" t="s">
        <v>18</v>
      </c>
      <c r="D29" s="49" t="s">
        <v>19</v>
      </c>
      <c r="E29" s="49" t="s">
        <v>20</v>
      </c>
      <c r="F29" s="19" t="s">
        <v>150</v>
      </c>
    </row>
    <row r="30" spans="1:9" ht="22.5" customHeight="1" thickTop="1" thickBot="1" x14ac:dyDescent="0.4">
      <c r="A30" s="47" t="s">
        <v>151</v>
      </c>
      <c r="B30" s="160">
        <f>SUMIF(HKM!A:A,"411*",HKM!D:D)-SUMIF(HKM!A:A,"411*",HKM!C:C)</f>
        <v>5000</v>
      </c>
      <c r="C30" s="177">
        <f>SUMIF(HKM!A:A,"411*",HKM!J:J)</f>
        <v>0</v>
      </c>
      <c r="D30" s="177">
        <f>SUMIF(HKM!A:A,"411*",HKM!I:I)</f>
        <v>0</v>
      </c>
      <c r="E30" s="177"/>
      <c r="F30" s="175">
        <f>SUMIF(HKM!A:A,"411*",HKM!L:L)-SUMIF(HKM!A:A,"411*",HKM!K:K)</f>
        <v>5000</v>
      </c>
      <c r="G30" s="146"/>
      <c r="H30" s="155"/>
    </row>
    <row r="31" spans="1:9" ht="22.5" customHeight="1" thickBot="1" x14ac:dyDescent="0.4">
      <c r="A31" s="47" t="s">
        <v>152</v>
      </c>
      <c r="B31" s="162">
        <f>SUMIF(HKM!A:A,"252*",HKM!C:C)-SUMIF(HKM!A:A,"252*",HKM!D:D)</f>
        <v>0</v>
      </c>
      <c r="C31" s="164">
        <f>SUMIF(HKM!A:A,"252*",HKM!J:J)</f>
        <v>0</v>
      </c>
      <c r="D31" s="164">
        <f>SUMIF(HKM!A:A,"252*",HKM!I:I)</f>
        <v>0</v>
      </c>
      <c r="E31" s="164"/>
      <c r="F31" s="158">
        <f>SUMIF(HKM!A:A,"252*",HKM!K:K)-SUMIF(HKM!A:A,"252*",HKM!L:L)</f>
        <v>0</v>
      </c>
      <c r="G31" s="146"/>
      <c r="H31" s="155"/>
    </row>
    <row r="32" spans="1:9" ht="22.5" customHeight="1" thickBot="1" x14ac:dyDescent="0.4">
      <c r="A32" s="47" t="s">
        <v>209</v>
      </c>
      <c r="B32" s="162">
        <f>SUMIF(HKM!A:A,"419*",HKM!D:D)-SUMIF(HKM!A:A,"419*",HKM!C:C)</f>
        <v>0</v>
      </c>
      <c r="C32" s="164">
        <f>SUMIF(HKM!A:A,"419*",HKM!J:J)</f>
        <v>0</v>
      </c>
      <c r="D32" s="164">
        <f>SUMIF(HKM!A:A,"419*",HKM!I:I)</f>
        <v>0</v>
      </c>
      <c r="E32" s="164"/>
      <c r="F32" s="158">
        <f>SUMIF(HKM!A:A,"419*",HKM!L:L)-SUMIF(HKM!A:A,"419*",HKM!K:K)</f>
        <v>0</v>
      </c>
      <c r="G32" s="146"/>
      <c r="H32" s="155"/>
    </row>
    <row r="33" spans="1:10" ht="22.5" customHeight="1" thickBot="1" x14ac:dyDescent="0.4">
      <c r="A33" s="47" t="s">
        <v>210</v>
      </c>
      <c r="B33" s="162">
        <f>SUMIF(HKM!A:A,"353*",HKM!C:C)-SUMIF(HKM!A:A,"353*",HKM!D:D)</f>
        <v>0</v>
      </c>
      <c r="C33" s="164">
        <f>SUMIF(HKM!A:A,"353*",HKM!J:J)</f>
        <v>0</v>
      </c>
      <c r="D33" s="164">
        <f>SUMIF(HKM!A:A,"353*",HKM!I:I)</f>
        <v>0</v>
      </c>
      <c r="E33" s="164"/>
      <c r="F33" s="158">
        <f>SUMIF(HKM!A:A,"353*",HKM!K:K)-SUMIF(HKM!A:A,"353*",HKM!L:L)</f>
        <v>0</v>
      </c>
      <c r="G33" s="146"/>
      <c r="H33" s="155"/>
    </row>
    <row r="34" spans="1:10" ht="22.5" customHeight="1" thickBot="1" x14ac:dyDescent="0.4">
      <c r="A34" s="47" t="s">
        <v>153</v>
      </c>
      <c r="B34" s="162">
        <f>SUMIF(HKM!A:A,"412*",HKM!D:D)-SUMIF(HKM!A:A,"412*",HKM!C:C)</f>
        <v>0</v>
      </c>
      <c r="C34" s="164">
        <f>SUMIF(HKM!A:A,"412*",HKM!J:J)</f>
        <v>0</v>
      </c>
      <c r="D34" s="164">
        <f>SUMIF(HKM!A:A,"412*",HKM!I:I)</f>
        <v>0</v>
      </c>
      <c r="E34" s="164"/>
      <c r="F34" s="158">
        <f>SUMIF(HKM!A:A,"412*",HKM!L:L)-SUMIF(HKM!A:A,"412*",HKM!K:K)</f>
        <v>0</v>
      </c>
      <c r="G34" s="146"/>
      <c r="H34" s="155"/>
    </row>
    <row r="35" spans="1:10" ht="22.5" customHeight="1" thickBot="1" x14ac:dyDescent="0.4">
      <c r="A35" s="47" t="s">
        <v>154</v>
      </c>
      <c r="B35" s="162">
        <f>SUMIF(HKM!A:A,"413*",HKM!D:D)-SUMIF(HKM!A:A,"413*",HKM!C:C)</f>
        <v>22000</v>
      </c>
      <c r="C35" s="164">
        <f>SUMIF(HKM!A:A,"413*",HKM!J:J)</f>
        <v>0</v>
      </c>
      <c r="D35" s="164">
        <f>SUMIF(HKM!A:A,"413*",HKM!I:I)</f>
        <v>0</v>
      </c>
      <c r="E35" s="164"/>
      <c r="F35" s="158">
        <f>SUMIF(HKM!A:A,"413*",HKM!L:L)-SUMIF(HKM!A:A,"413*",HKM!K:K)</f>
        <v>22000</v>
      </c>
      <c r="G35" s="146"/>
      <c r="H35" s="155"/>
    </row>
    <row r="36" spans="1:10" ht="22.5" customHeight="1" thickBot="1" x14ac:dyDescent="0.4">
      <c r="A36" s="47" t="s">
        <v>155</v>
      </c>
      <c r="B36" s="162">
        <f>SUMIF(HKM!A:A,"417*",HKM!D:D)-SUMIF(HKM!A:A,"417*",HKM!C:C)</f>
        <v>0</v>
      </c>
      <c r="C36" s="164">
        <f>SUMIF(HKM!A:A,"417*",HKM!J:J)</f>
        <v>0</v>
      </c>
      <c r="D36" s="164">
        <f>SUMIF(HKM!A:A,"417*",HKM!I:I)</f>
        <v>0</v>
      </c>
      <c r="E36" s="164"/>
      <c r="F36" s="158">
        <f>SUMIF(HKM!A:A,"417*",HKM!L:L)-SUMIF(HKM!A:A,"417*",HKM!K:K)</f>
        <v>0</v>
      </c>
      <c r="G36" s="146"/>
      <c r="H36" s="155"/>
    </row>
    <row r="37" spans="1:10" ht="22.5" customHeight="1" thickBot="1" x14ac:dyDescent="0.4">
      <c r="A37" s="75" t="s">
        <v>237</v>
      </c>
      <c r="B37" s="162">
        <f>SUMIF(HKM!A:A,"414*",HKM!D:D)-SUMIF(HKM!A:A,"414*",HKM!C:C)</f>
        <v>0</v>
      </c>
      <c r="C37" s="164">
        <f>SUMIF(HKM!A:A,"414*",HKM!J:J)</f>
        <v>0</v>
      </c>
      <c r="D37" s="164">
        <f>SUMIF(HKM!A:A,"414*",HKM!I:I)</f>
        <v>0</v>
      </c>
      <c r="E37" s="164"/>
      <c r="F37" s="158">
        <f>SUMIF(HKM!A:A,"414*",HKM!L:L)-SUMIF(HKM!A:A,"414*",HKM!K:K)</f>
        <v>0</v>
      </c>
      <c r="G37" s="146"/>
      <c r="H37" s="155"/>
    </row>
    <row r="38" spans="1:10" ht="22.5" customHeight="1" thickBot="1" x14ac:dyDescent="0.4">
      <c r="A38" s="47" t="s">
        <v>156</v>
      </c>
      <c r="B38" s="162">
        <f>SUMIF(HKM!A:A,"415*",HKM!D:D)-SUMIF(HKM!A:A,"415*",HKM!C:C)</f>
        <v>0</v>
      </c>
      <c r="C38" s="164">
        <f>SUMIF(HKM!A:A,"415*",HKM!J:J)</f>
        <v>0</v>
      </c>
      <c r="D38" s="164">
        <f>SUMIF(HKM!A:A,"415*",HKM!I:I)</f>
        <v>0</v>
      </c>
      <c r="E38" s="164"/>
      <c r="F38" s="158">
        <f>SUMIF(HKM!A:A,"415*",HKM!L:L)-SUMIF(HKM!A:A,"415*",HKM!K:K)</f>
        <v>0</v>
      </c>
      <c r="G38" s="146"/>
      <c r="H38" s="155"/>
    </row>
    <row r="39" spans="1:10" ht="22.5" customHeight="1" thickBot="1" x14ac:dyDescent="0.4">
      <c r="A39" s="47" t="s">
        <v>211</v>
      </c>
      <c r="B39" s="162">
        <f>SUMIF(HKM!A:A,"416*",HKM!D:D)-SUMIF(HKM!A:A,"416*",HKM!C:C)</f>
        <v>0</v>
      </c>
      <c r="C39" s="164">
        <f>SUMIF(HKM!A:A,"416*",HKM!J:J)</f>
        <v>0</v>
      </c>
      <c r="D39" s="164">
        <f>SUMIF(HKM!A:A,"416*",HKM!I:I)</f>
        <v>0</v>
      </c>
      <c r="E39" s="164"/>
      <c r="F39" s="158">
        <f>SUMIF(HKM!A:A,"416*",HKM!L:L)-SUMIF(HKM!A:A,"416*",HKM!K:K)</f>
        <v>0</v>
      </c>
      <c r="G39" s="146"/>
      <c r="H39" s="155"/>
    </row>
    <row r="40" spans="1:10" ht="22.5" customHeight="1" thickBot="1" x14ac:dyDescent="0.4">
      <c r="A40" s="47" t="s">
        <v>157</v>
      </c>
      <c r="B40" s="162">
        <f>SUMIF(HKM!A:A,"421*",HKM!D:D)-SUMIF(HKM!A:A,"421*",HKM!C:C)</f>
        <v>500</v>
      </c>
      <c r="C40" s="164">
        <f>SUMIF(HKM!A:A,"421*",HKM!J:J)</f>
        <v>0</v>
      </c>
      <c r="D40" s="164">
        <f>SUMIF(HKM!A:A,"421*",HKM!I:I)</f>
        <v>0</v>
      </c>
      <c r="E40" s="164"/>
      <c r="F40" s="158">
        <f>SUMIF(HKM!A:A,"421*",HKM!L:L)-SUMIF(HKM!A:A,"421*",HKM!K:K)</f>
        <v>500</v>
      </c>
      <c r="G40" s="146"/>
      <c r="H40" s="155"/>
    </row>
    <row r="41" spans="1:10" ht="22.5" customHeight="1" thickBot="1" x14ac:dyDescent="0.4">
      <c r="A41" s="47" t="s">
        <v>158</v>
      </c>
      <c r="B41" s="162">
        <f>SUMIF(HKM!A:A,"422*",HKM!D:D)-SUMIF(HKM!A:A,"422*",HKM!C:C)</f>
        <v>0</v>
      </c>
      <c r="C41" s="164">
        <f>SUMIF(HKM!A:A,"422*",HKM!J:J)</f>
        <v>0</v>
      </c>
      <c r="D41" s="164">
        <f>SUMIF(HKM!A:A,"422*",HKM!I:I)</f>
        <v>0</v>
      </c>
      <c r="E41" s="164"/>
      <c r="F41" s="158">
        <f>SUMIF(HKM!A:A,"422*",HKM!L:L)-SUMIF(HKM!A:A,"422*",HKM!K:K)</f>
        <v>0</v>
      </c>
      <c r="G41" s="146"/>
      <c r="H41" s="155"/>
    </row>
    <row r="42" spans="1:10" ht="22.5" customHeight="1" thickBot="1" x14ac:dyDescent="0.4">
      <c r="A42" s="47" t="s">
        <v>159</v>
      </c>
      <c r="B42" s="162">
        <f>SUMIF(HKM!A:A,"423*",HKM!D:D)-SUMIF(HKM!A:A,"423*",HKM!C:C)+SUMIF(HKM!A:A,"427*",HKM!D:D)-SUMIF(HKM!A:A,"427*",HKM!C:C)</f>
        <v>0</v>
      </c>
      <c r="C42" s="164">
        <f>SUMIF(HKM!A:A,"423*",HKM!J:J)</f>
        <v>0</v>
      </c>
      <c r="D42" s="164">
        <f>SUMIF(HKM!A:A,"423*",HKM!I:I)</f>
        <v>0</v>
      </c>
      <c r="E42" s="164"/>
      <c r="F42" s="158">
        <f>SUMIF(HKM!A:A,"423*",HKM!L:L)-SUMIF(HKM!A:A,"423*",HKM!K:K)+SUMIF(HKM!A:A,"427*",HKM!L:L)-SUMIF(HKM!A:A,"427*",HKM!K:K)</f>
        <v>0</v>
      </c>
      <c r="G42" s="146"/>
      <c r="H42" s="155"/>
      <c r="I42" s="108"/>
    </row>
    <row r="43" spans="1:10" ht="22.5" customHeight="1" thickBot="1" x14ac:dyDescent="0.4">
      <c r="A43" s="47" t="s">
        <v>160</v>
      </c>
      <c r="B43" s="162">
        <f>SUMIF(HKM!A:A,"428*",HKM!D:D)-SUMIF(HKM!A:A,"428*",HKM!C:C)</f>
        <v>39123.68</v>
      </c>
      <c r="C43" s="164">
        <f>SUMIF(HKM!A:A,"428*",HKM!J:J)</f>
        <v>46542.559999999998</v>
      </c>
      <c r="D43" s="164">
        <f>SUMIF(HKM!A:A,"428*",HKM!I:I)</f>
        <v>0</v>
      </c>
      <c r="E43" s="164"/>
      <c r="F43" s="158">
        <f>SUMIF(HKM!A:A,"428*",HKM!L:L)-SUMIF(HKM!A:A,"428*",HKM!K:K)</f>
        <v>85666.239999999991</v>
      </c>
      <c r="G43" s="146"/>
      <c r="H43" s="155"/>
    </row>
    <row r="44" spans="1:10" ht="22.5" customHeight="1" thickBot="1" x14ac:dyDescent="0.4">
      <c r="A44" s="47" t="s">
        <v>212</v>
      </c>
      <c r="B44" s="162">
        <f>SUMIF(HKM!A:A,"429*",HKM!D:D)-SUMIF(HKM!A:A,"429*",HKM!C:C)</f>
        <v>0</v>
      </c>
      <c r="C44" s="164">
        <f>SUMIF(HKM!A:A,"429*",HKM!J:J)</f>
        <v>0</v>
      </c>
      <c r="D44" s="164">
        <f>SUMIF(HKM!A:A,"429*",HKM!I:I)</f>
        <v>0</v>
      </c>
      <c r="E44" s="164"/>
      <c r="F44" s="158">
        <f>SUMIF(HKM!A:A,"429*",HKM!L:L)-SUMIF(HKM!A:A,"429*",HKM!K:K)</f>
        <v>0</v>
      </c>
      <c r="G44" s="146"/>
      <c r="H44" s="155"/>
    </row>
    <row r="45" spans="1:10" ht="22.5" customHeight="1" thickBot="1" x14ac:dyDescent="0.4">
      <c r="A45" s="47" t="s">
        <v>213</v>
      </c>
      <c r="B45" s="162">
        <f>SUMIF(SUPM!C:C,"100",SUPM!E:E)</f>
        <v>46542.559999999998</v>
      </c>
      <c r="C45" s="164"/>
      <c r="D45" s="164"/>
      <c r="E45" s="164"/>
      <c r="F45" s="158">
        <f>SUMIF(SUPM!C:C,"100",SUPM!D:D)</f>
        <v>28557.38</v>
      </c>
      <c r="G45" s="146"/>
      <c r="H45" s="155"/>
      <c r="J45" s="80"/>
    </row>
    <row r="46" spans="1:10" ht="22.5" customHeight="1" thickBot="1" x14ac:dyDescent="0.4">
      <c r="A46" s="47" t="s">
        <v>161</v>
      </c>
      <c r="B46" s="162">
        <f>SUMIF(HKM!A:A,"418*",HKM!D:D)-SUMIF(HKM!A:A,"418*",HKM!C:C)</f>
        <v>0</v>
      </c>
      <c r="C46" s="164">
        <f>SUMIF(HKM!A:A,"418*",HKM!J:J)</f>
        <v>0</v>
      </c>
      <c r="D46" s="164">
        <f>SUMIF(HKM!A:A,"418*",HKM!I:I)</f>
        <v>0</v>
      </c>
      <c r="E46" s="164"/>
      <c r="F46" s="158">
        <f>SUMIF(HKM!A:A,"418*",HKM!L:L)-SUMIF(HKM!A:A,"418*",HKM!K:K)</f>
        <v>0</v>
      </c>
      <c r="G46" s="146"/>
      <c r="H46" s="155"/>
    </row>
    <row r="47" spans="1:10" ht="22.5" customHeight="1" thickBot="1" x14ac:dyDescent="0.4">
      <c r="A47" s="48" t="s">
        <v>214</v>
      </c>
      <c r="B47" s="201">
        <f>SUMIF(HKM!A:A,"491*",HKM!D:D)-SUMIF(HKM!A:A,"491*",HKM!C:C)</f>
        <v>0</v>
      </c>
      <c r="C47" s="180">
        <f>SUMIF(HKM!A:A,"491*",HKM!J:J)</f>
        <v>0</v>
      </c>
      <c r="D47" s="180">
        <f>SUMIF(HKM!A:A,"491*",HKM!I:I)</f>
        <v>0</v>
      </c>
      <c r="E47" s="180"/>
      <c r="F47" s="149">
        <f>SUMIF(HKM!A:A,"491*",HKM!L:L)-SUMIF(HKM!A:A,"491*",HKM!K:K)</f>
        <v>0</v>
      </c>
      <c r="G47" s="146"/>
      <c r="H47" s="155"/>
    </row>
    <row r="48" spans="1:10" ht="10.5" thickTop="1" x14ac:dyDescent="0.35">
      <c r="B48" s="146"/>
      <c r="C48" s="146"/>
      <c r="D48" s="146"/>
      <c r="E48" s="146"/>
      <c r="F48" s="146"/>
      <c r="G48" s="146"/>
      <c r="H48" s="146"/>
    </row>
  </sheetData>
  <mergeCells count="4">
    <mergeCell ref="B5:F5"/>
    <mergeCell ref="A28:A29"/>
    <mergeCell ref="B28:F28"/>
    <mergeCell ref="A5:A6"/>
  </mergeCells>
  <pageMargins left="0.70866141732283472" right="0.70866141732283472" top="0.74803149606299213" bottom="0.74803149606299213" header="0.31496062992125984" footer="0.31496062992125984"/>
  <pageSetup paperSize="9" orientation="landscape" r:id="rId1"/>
  <rowBreaks count="1" manualBreakCount="1">
    <brk id="25" max="5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B4"/>
  <sheetViews>
    <sheetView workbookViewId="0">
      <selection activeCell="A25" sqref="A25"/>
    </sheetView>
  </sheetViews>
  <sheetFormatPr defaultRowHeight="14.5" x14ac:dyDescent="0.35"/>
  <cols>
    <col min="1" max="1" width="32" customWidth="1"/>
  </cols>
  <sheetData>
    <row r="1" spans="1:2" x14ac:dyDescent="0.35">
      <c r="A1" t="s">
        <v>219</v>
      </c>
      <c r="B1" t="s">
        <v>225</v>
      </c>
    </row>
    <row r="2" spans="1:2" x14ac:dyDescent="0.35">
      <c r="A2" t="s">
        <v>220</v>
      </c>
      <c r="B2" t="s">
        <v>223</v>
      </c>
    </row>
    <row r="3" spans="1:2" x14ac:dyDescent="0.35">
      <c r="A3" t="s">
        <v>221</v>
      </c>
      <c r="B3" t="s">
        <v>224</v>
      </c>
    </row>
    <row r="4" spans="1:2" x14ac:dyDescent="0.35">
      <c r="A4" t="s">
        <v>222</v>
      </c>
      <c r="B4" t="s">
        <v>224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rgb="FF0070C0"/>
  </sheetPr>
  <dimension ref="A1:L276"/>
  <sheetViews>
    <sheetView workbookViewId="0">
      <selection activeCell="A2" sqref="A2"/>
    </sheetView>
  </sheetViews>
  <sheetFormatPr defaultColWidth="9.1796875" defaultRowHeight="14.5" x14ac:dyDescent="0.35"/>
  <cols>
    <col min="1" max="1" width="16.1796875" style="98" customWidth="1"/>
    <col min="2" max="2" width="46.7265625" style="99" customWidth="1"/>
    <col min="3" max="3" width="15.26953125" style="100" customWidth="1"/>
    <col min="4" max="4" width="15.26953125" style="100" bestFit="1" customWidth="1"/>
    <col min="5" max="5" width="15.1796875" style="100" customWidth="1"/>
    <col min="6" max="7" width="15.26953125" style="100" bestFit="1" customWidth="1"/>
    <col min="8" max="8" width="15.26953125" style="100" customWidth="1"/>
    <col min="9" max="11" width="15.26953125" style="100" bestFit="1" customWidth="1"/>
    <col min="12" max="12" width="14.81640625" style="100" customWidth="1"/>
    <col min="13" max="16384" width="9.1796875" style="94"/>
  </cols>
  <sheetData>
    <row r="1" spans="1:12" ht="20" x14ac:dyDescent="0.35">
      <c r="A1" s="104" t="s">
        <v>235</v>
      </c>
      <c r="B1" s="105" t="s">
        <v>236</v>
      </c>
      <c r="C1" s="106" t="s">
        <v>238</v>
      </c>
      <c r="D1" s="106" t="s">
        <v>239</v>
      </c>
      <c r="E1" s="106" t="s">
        <v>240</v>
      </c>
      <c r="F1" s="106" t="s">
        <v>241</v>
      </c>
      <c r="G1" s="106" t="s">
        <v>242</v>
      </c>
      <c r="H1" s="106" t="s">
        <v>243</v>
      </c>
      <c r="I1" s="106" t="s">
        <v>244</v>
      </c>
      <c r="J1" s="106" t="s">
        <v>245</v>
      </c>
      <c r="K1" s="106" t="s">
        <v>246</v>
      </c>
      <c r="L1" s="106" t="s">
        <v>247</v>
      </c>
    </row>
    <row r="2" spans="1:12" x14ac:dyDescent="0.35">
      <c r="A2" s="95" t="s">
        <v>294</v>
      </c>
      <c r="B2" s="96" t="s">
        <v>295</v>
      </c>
      <c r="C2" s="97">
        <v>2485.4899999999998</v>
      </c>
      <c r="D2" s="97">
        <v>0</v>
      </c>
      <c r="E2" s="97">
        <v>2485.4899999999998</v>
      </c>
      <c r="F2" s="97">
        <v>0</v>
      </c>
      <c r="G2" s="97">
        <v>0</v>
      </c>
      <c r="H2" s="97">
        <v>0</v>
      </c>
      <c r="I2" s="97">
        <v>0</v>
      </c>
      <c r="J2" s="97">
        <v>0</v>
      </c>
      <c r="K2" s="97">
        <v>2485.4899999999998</v>
      </c>
      <c r="L2" s="97">
        <v>0</v>
      </c>
    </row>
    <row r="3" spans="1:12" x14ac:dyDescent="0.35">
      <c r="A3" s="95" t="s">
        <v>296</v>
      </c>
      <c r="B3" s="96" t="s">
        <v>297</v>
      </c>
      <c r="C3" s="97">
        <v>2135.5500000000002</v>
      </c>
      <c r="D3" s="97">
        <v>0</v>
      </c>
      <c r="E3" s="97">
        <v>2135.5500000000002</v>
      </c>
      <c r="F3" s="97">
        <v>0</v>
      </c>
      <c r="G3" s="97">
        <v>0</v>
      </c>
      <c r="H3" s="97">
        <v>0</v>
      </c>
      <c r="I3" s="97">
        <v>0</v>
      </c>
      <c r="J3" s="97">
        <v>0</v>
      </c>
      <c r="K3" s="97">
        <v>2135.5500000000002</v>
      </c>
      <c r="L3" s="97">
        <v>0</v>
      </c>
    </row>
    <row r="4" spans="1:12" x14ac:dyDescent="0.35">
      <c r="A4" s="95" t="s">
        <v>298</v>
      </c>
      <c r="B4" s="96" t="s">
        <v>299</v>
      </c>
      <c r="C4" s="97">
        <v>76743.69</v>
      </c>
      <c r="D4" s="97">
        <v>0</v>
      </c>
      <c r="E4" s="97">
        <v>76743.69</v>
      </c>
      <c r="F4" s="97">
        <v>0</v>
      </c>
      <c r="G4" s="97">
        <v>0</v>
      </c>
      <c r="H4" s="97">
        <v>0</v>
      </c>
      <c r="I4" s="97">
        <v>0</v>
      </c>
      <c r="J4" s="97">
        <v>0</v>
      </c>
      <c r="K4" s="97">
        <v>76743.69</v>
      </c>
      <c r="L4" s="97">
        <v>0</v>
      </c>
    </row>
    <row r="5" spans="1:12" x14ac:dyDescent="0.35">
      <c r="A5" s="95" t="s">
        <v>300</v>
      </c>
      <c r="B5" s="96" t="s">
        <v>301</v>
      </c>
      <c r="C5" s="97">
        <v>13684.32</v>
      </c>
      <c r="D5" s="97">
        <v>0</v>
      </c>
      <c r="E5" s="97">
        <v>22263.43</v>
      </c>
      <c r="F5" s="97">
        <v>0</v>
      </c>
      <c r="G5" s="97">
        <v>0</v>
      </c>
      <c r="H5" s="97">
        <v>1870.57</v>
      </c>
      <c r="I5" s="97">
        <v>8579.11</v>
      </c>
      <c r="J5" s="97">
        <v>1870.57</v>
      </c>
      <c r="K5" s="97">
        <v>20392.86</v>
      </c>
      <c r="L5" s="97">
        <v>0</v>
      </c>
    </row>
    <row r="6" spans="1:12" x14ac:dyDescent="0.35">
      <c r="A6" s="95" t="s">
        <v>302</v>
      </c>
      <c r="B6" s="96" t="s">
        <v>303</v>
      </c>
      <c r="C6" s="97">
        <v>15935.35</v>
      </c>
      <c r="D6" s="97">
        <v>0</v>
      </c>
      <c r="E6" s="97">
        <v>15935.35</v>
      </c>
      <c r="F6" s="97">
        <v>0</v>
      </c>
      <c r="G6" s="97">
        <v>0</v>
      </c>
      <c r="H6" s="97">
        <v>0</v>
      </c>
      <c r="I6" s="97">
        <v>0</v>
      </c>
      <c r="J6" s="97">
        <v>0</v>
      </c>
      <c r="K6" s="97">
        <v>15935.35</v>
      </c>
      <c r="L6" s="97">
        <v>0</v>
      </c>
    </row>
    <row r="7" spans="1:12" x14ac:dyDescent="0.35">
      <c r="A7" s="95" t="s">
        <v>304</v>
      </c>
      <c r="B7" s="96" t="s">
        <v>305</v>
      </c>
      <c r="C7" s="97">
        <v>4148.34</v>
      </c>
      <c r="D7" s="97">
        <v>0</v>
      </c>
      <c r="E7" s="97">
        <v>4148.34</v>
      </c>
      <c r="F7" s="97">
        <v>0</v>
      </c>
      <c r="G7" s="97">
        <v>0</v>
      </c>
      <c r="H7" s="97">
        <v>0</v>
      </c>
      <c r="I7" s="97">
        <v>0</v>
      </c>
      <c r="J7" s="97">
        <v>0</v>
      </c>
      <c r="K7" s="97">
        <v>4148.34</v>
      </c>
      <c r="L7" s="97">
        <v>0</v>
      </c>
    </row>
    <row r="8" spans="1:12" x14ac:dyDescent="0.35">
      <c r="A8" s="95" t="s">
        <v>306</v>
      </c>
      <c r="B8" s="96" t="s">
        <v>307</v>
      </c>
      <c r="C8" s="97">
        <v>3250.31</v>
      </c>
      <c r="D8" s="97">
        <v>0</v>
      </c>
      <c r="E8" s="97">
        <v>3250.31</v>
      </c>
      <c r="F8" s="97">
        <v>0</v>
      </c>
      <c r="G8" s="97">
        <v>0</v>
      </c>
      <c r="H8" s="97">
        <v>0</v>
      </c>
      <c r="I8" s="97">
        <v>0</v>
      </c>
      <c r="J8" s="97">
        <v>0</v>
      </c>
      <c r="K8" s="97">
        <v>3250.31</v>
      </c>
      <c r="L8" s="97">
        <v>0</v>
      </c>
    </row>
    <row r="9" spans="1:12" x14ac:dyDescent="0.35">
      <c r="A9" s="95" t="s">
        <v>308</v>
      </c>
      <c r="B9" s="96" t="s">
        <v>309</v>
      </c>
      <c r="C9" s="97">
        <v>600</v>
      </c>
      <c r="D9" s="97">
        <v>0</v>
      </c>
      <c r="E9" s="97">
        <v>600</v>
      </c>
      <c r="F9" s="97">
        <v>0</v>
      </c>
      <c r="G9" s="97">
        <v>0</v>
      </c>
      <c r="H9" s="97">
        <v>0</v>
      </c>
      <c r="I9" s="97">
        <v>0</v>
      </c>
      <c r="J9" s="97">
        <v>0</v>
      </c>
      <c r="K9" s="97">
        <v>600</v>
      </c>
      <c r="L9" s="97">
        <v>0</v>
      </c>
    </row>
    <row r="10" spans="1:12" x14ac:dyDescent="0.35">
      <c r="A10" s="95" t="s">
        <v>310</v>
      </c>
      <c r="B10" s="96" t="s">
        <v>311</v>
      </c>
      <c r="C10" s="97">
        <v>350</v>
      </c>
      <c r="D10" s="97">
        <v>0</v>
      </c>
      <c r="E10" s="97">
        <v>350</v>
      </c>
      <c r="F10" s="97">
        <v>0</v>
      </c>
      <c r="G10" s="97">
        <v>0</v>
      </c>
      <c r="H10" s="97">
        <v>0</v>
      </c>
      <c r="I10" s="97">
        <v>0</v>
      </c>
      <c r="J10" s="97">
        <v>0</v>
      </c>
      <c r="K10" s="97">
        <v>350</v>
      </c>
      <c r="L10" s="97">
        <v>0</v>
      </c>
    </row>
    <row r="11" spans="1:12" x14ac:dyDescent="0.35">
      <c r="A11" s="95" t="s">
        <v>312</v>
      </c>
      <c r="B11" s="96" t="s">
        <v>313</v>
      </c>
      <c r="C11" s="97">
        <v>4403.13</v>
      </c>
      <c r="D11" s="97">
        <v>0</v>
      </c>
      <c r="E11" s="97">
        <v>5443.59</v>
      </c>
      <c r="F11" s="97">
        <v>0</v>
      </c>
      <c r="G11" s="97">
        <v>969.54</v>
      </c>
      <c r="H11" s="97">
        <v>477.16</v>
      </c>
      <c r="I11" s="97">
        <v>2010</v>
      </c>
      <c r="J11" s="97">
        <v>477.16</v>
      </c>
      <c r="K11" s="97">
        <v>5935.97</v>
      </c>
      <c r="L11" s="97">
        <v>0</v>
      </c>
    </row>
    <row r="12" spans="1:12" x14ac:dyDescent="0.35">
      <c r="A12" s="95" t="s">
        <v>314</v>
      </c>
      <c r="B12" s="96" t="s">
        <v>315</v>
      </c>
      <c r="C12" s="97">
        <v>2389.83</v>
      </c>
      <c r="D12" s="97">
        <v>0</v>
      </c>
      <c r="E12" s="97">
        <v>1419.54</v>
      </c>
      <c r="F12" s="97">
        <v>0</v>
      </c>
      <c r="G12" s="97">
        <v>2321.98</v>
      </c>
      <c r="H12" s="97">
        <v>969.54</v>
      </c>
      <c r="I12" s="97">
        <v>10971.26</v>
      </c>
      <c r="J12" s="97">
        <v>10589.11</v>
      </c>
      <c r="K12" s="97">
        <v>2771.98</v>
      </c>
      <c r="L12" s="97">
        <v>0</v>
      </c>
    </row>
    <row r="13" spans="1:12" x14ac:dyDescent="0.35">
      <c r="A13" s="95" t="s">
        <v>316</v>
      </c>
      <c r="B13" s="96" t="s">
        <v>317</v>
      </c>
      <c r="C13" s="97">
        <v>0</v>
      </c>
      <c r="D13" s="97">
        <v>2485.4899999999998</v>
      </c>
      <c r="E13" s="97">
        <v>0</v>
      </c>
      <c r="F13" s="97">
        <v>2485.4899999999998</v>
      </c>
      <c r="G13" s="97">
        <v>0</v>
      </c>
      <c r="H13" s="97">
        <v>0</v>
      </c>
      <c r="I13" s="97">
        <v>0</v>
      </c>
      <c r="J13" s="97">
        <v>0</v>
      </c>
      <c r="K13" s="97">
        <v>0</v>
      </c>
      <c r="L13" s="97">
        <v>2485.4899999999998</v>
      </c>
    </row>
    <row r="14" spans="1:12" x14ac:dyDescent="0.35">
      <c r="A14" s="95" t="s">
        <v>318</v>
      </c>
      <c r="B14" s="96" t="s">
        <v>319</v>
      </c>
      <c r="C14" s="97">
        <v>0</v>
      </c>
      <c r="D14" s="97">
        <v>1972.33</v>
      </c>
      <c r="E14" s="97">
        <v>0</v>
      </c>
      <c r="F14" s="97">
        <v>2135.5500000000002</v>
      </c>
      <c r="G14" s="97">
        <v>0</v>
      </c>
      <c r="H14" s="97">
        <v>0</v>
      </c>
      <c r="I14" s="97">
        <v>0</v>
      </c>
      <c r="J14" s="97">
        <v>163.22</v>
      </c>
      <c r="K14" s="97">
        <v>0</v>
      </c>
      <c r="L14" s="97">
        <v>2135.5500000000002</v>
      </c>
    </row>
    <row r="15" spans="1:12" x14ac:dyDescent="0.35">
      <c r="A15" s="95" t="s">
        <v>320</v>
      </c>
      <c r="B15" s="96" t="s">
        <v>321</v>
      </c>
      <c r="C15" s="97">
        <v>0</v>
      </c>
      <c r="D15" s="97">
        <v>56341.08</v>
      </c>
      <c r="E15" s="97">
        <v>0</v>
      </c>
      <c r="F15" s="97">
        <v>59858.55</v>
      </c>
      <c r="G15" s="97">
        <v>0</v>
      </c>
      <c r="H15" s="97">
        <v>319.77</v>
      </c>
      <c r="I15" s="97">
        <v>0</v>
      </c>
      <c r="J15" s="97">
        <v>3837.24</v>
      </c>
      <c r="K15" s="97">
        <v>0</v>
      </c>
      <c r="L15" s="97">
        <v>60178.32</v>
      </c>
    </row>
    <row r="16" spans="1:12" x14ac:dyDescent="0.35">
      <c r="A16" s="95" t="s">
        <v>322</v>
      </c>
      <c r="B16" s="96" t="s">
        <v>323</v>
      </c>
      <c r="C16" s="97">
        <v>0</v>
      </c>
      <c r="D16" s="97">
        <v>13522.06</v>
      </c>
      <c r="E16" s="97">
        <v>0</v>
      </c>
      <c r="F16" s="97">
        <v>13863.07</v>
      </c>
      <c r="G16" s="97">
        <v>1870.57</v>
      </c>
      <c r="H16" s="97">
        <v>178.73</v>
      </c>
      <c r="I16" s="97">
        <v>1870.57</v>
      </c>
      <c r="J16" s="97">
        <v>519.74</v>
      </c>
      <c r="K16" s="97">
        <v>0</v>
      </c>
      <c r="L16" s="97">
        <v>12171.23</v>
      </c>
    </row>
    <row r="17" spans="1:12" x14ac:dyDescent="0.35">
      <c r="A17" s="95" t="s">
        <v>324</v>
      </c>
      <c r="B17" s="96" t="s">
        <v>325</v>
      </c>
      <c r="C17" s="97">
        <v>0</v>
      </c>
      <c r="D17" s="97">
        <v>15935.35</v>
      </c>
      <c r="E17" s="97">
        <v>0</v>
      </c>
      <c r="F17" s="97">
        <v>15935.35</v>
      </c>
      <c r="G17" s="97">
        <v>0</v>
      </c>
      <c r="H17" s="97">
        <v>0</v>
      </c>
      <c r="I17" s="97">
        <v>0</v>
      </c>
      <c r="J17" s="97">
        <v>0</v>
      </c>
      <c r="K17" s="97">
        <v>0</v>
      </c>
      <c r="L17" s="97">
        <v>15935.35</v>
      </c>
    </row>
    <row r="18" spans="1:12" x14ac:dyDescent="0.35">
      <c r="A18" s="95" t="s">
        <v>326</v>
      </c>
      <c r="B18" s="96" t="s">
        <v>327</v>
      </c>
      <c r="C18" s="97">
        <v>0</v>
      </c>
      <c r="D18" s="97">
        <v>4148.34</v>
      </c>
      <c r="E18" s="97">
        <v>0</v>
      </c>
      <c r="F18" s="97">
        <v>4148.34</v>
      </c>
      <c r="G18" s="97">
        <v>0</v>
      </c>
      <c r="H18" s="97">
        <v>0</v>
      </c>
      <c r="I18" s="97">
        <v>0</v>
      </c>
      <c r="J18" s="97">
        <v>0</v>
      </c>
      <c r="K18" s="97">
        <v>0</v>
      </c>
      <c r="L18" s="97">
        <v>4148.34</v>
      </c>
    </row>
    <row r="19" spans="1:12" x14ac:dyDescent="0.35">
      <c r="A19" s="95" t="s">
        <v>328</v>
      </c>
      <c r="B19" s="96" t="s">
        <v>329</v>
      </c>
      <c r="C19" s="97">
        <v>0</v>
      </c>
      <c r="D19" s="97">
        <v>3196.58</v>
      </c>
      <c r="E19" s="97">
        <v>0</v>
      </c>
      <c r="F19" s="97">
        <v>3250.31</v>
      </c>
      <c r="G19" s="97">
        <v>0</v>
      </c>
      <c r="H19" s="97">
        <v>0</v>
      </c>
      <c r="I19" s="97">
        <v>0</v>
      </c>
      <c r="J19" s="97">
        <v>53.73</v>
      </c>
      <c r="K19" s="97">
        <v>0</v>
      </c>
      <c r="L19" s="97">
        <v>3250.31</v>
      </c>
    </row>
    <row r="20" spans="1:12" x14ac:dyDescent="0.35">
      <c r="A20" s="95" t="s">
        <v>330</v>
      </c>
      <c r="B20" s="96" t="s">
        <v>331</v>
      </c>
      <c r="C20" s="97">
        <v>0</v>
      </c>
      <c r="D20" s="97">
        <v>600</v>
      </c>
      <c r="E20" s="97">
        <v>0</v>
      </c>
      <c r="F20" s="97">
        <v>600</v>
      </c>
      <c r="G20" s="97">
        <v>0</v>
      </c>
      <c r="H20" s="97">
        <v>0</v>
      </c>
      <c r="I20" s="97">
        <v>0</v>
      </c>
      <c r="J20" s="97">
        <v>0</v>
      </c>
      <c r="K20" s="97">
        <v>0</v>
      </c>
      <c r="L20" s="97">
        <v>600</v>
      </c>
    </row>
    <row r="21" spans="1:12" x14ac:dyDescent="0.35">
      <c r="A21" s="95" t="s">
        <v>332</v>
      </c>
      <c r="B21" s="96" t="s">
        <v>333</v>
      </c>
      <c r="C21" s="97">
        <v>0</v>
      </c>
      <c r="D21" s="97">
        <v>350</v>
      </c>
      <c r="E21" s="97">
        <v>0</v>
      </c>
      <c r="F21" s="97">
        <v>350</v>
      </c>
      <c r="G21" s="97">
        <v>0</v>
      </c>
      <c r="H21" s="97">
        <v>0</v>
      </c>
      <c r="I21" s="97">
        <v>0</v>
      </c>
      <c r="J21" s="97">
        <v>0</v>
      </c>
      <c r="K21" s="97">
        <v>0</v>
      </c>
      <c r="L21" s="97">
        <v>350</v>
      </c>
    </row>
    <row r="22" spans="1:12" x14ac:dyDescent="0.35">
      <c r="A22" s="95" t="s">
        <v>334</v>
      </c>
      <c r="B22" s="96" t="s">
        <v>335</v>
      </c>
      <c r="C22" s="97">
        <v>0</v>
      </c>
      <c r="D22" s="97">
        <v>3718.91</v>
      </c>
      <c r="E22" s="97">
        <v>0</v>
      </c>
      <c r="F22" s="97">
        <v>4677.74</v>
      </c>
      <c r="G22" s="97">
        <v>477.16</v>
      </c>
      <c r="H22" s="97">
        <v>115.48</v>
      </c>
      <c r="I22" s="97">
        <v>477.16</v>
      </c>
      <c r="J22" s="97">
        <v>1074.31</v>
      </c>
      <c r="K22" s="97">
        <v>0</v>
      </c>
      <c r="L22" s="97">
        <v>4316.0600000000004</v>
      </c>
    </row>
    <row r="23" spans="1:12" x14ac:dyDescent="0.35">
      <c r="A23" s="95" t="s">
        <v>336</v>
      </c>
      <c r="B23" s="96" t="s">
        <v>337</v>
      </c>
      <c r="C23" s="97">
        <v>0</v>
      </c>
      <c r="D23" s="97">
        <v>0</v>
      </c>
      <c r="E23" s="97">
        <v>-88.3</v>
      </c>
      <c r="F23" s="97">
        <v>0</v>
      </c>
      <c r="G23" s="97">
        <v>166672.94</v>
      </c>
      <c r="H23" s="97">
        <v>166584.64000000001</v>
      </c>
      <c r="I23" s="97">
        <v>1755673.72</v>
      </c>
      <c r="J23" s="97">
        <v>1755673.72</v>
      </c>
      <c r="K23" s="97">
        <v>0</v>
      </c>
      <c r="L23" s="97">
        <v>0</v>
      </c>
    </row>
    <row r="24" spans="1:12" x14ac:dyDescent="0.35">
      <c r="A24" s="95" t="s">
        <v>338</v>
      </c>
      <c r="B24" s="96" t="s">
        <v>339</v>
      </c>
      <c r="C24" s="97">
        <v>0</v>
      </c>
      <c r="D24" s="97">
        <v>0</v>
      </c>
      <c r="E24" s="97">
        <v>-4.82</v>
      </c>
      <c r="F24" s="97">
        <v>0</v>
      </c>
      <c r="G24" s="97">
        <v>4.82</v>
      </c>
      <c r="H24" s="97">
        <v>0</v>
      </c>
      <c r="I24" s="97">
        <v>0</v>
      </c>
      <c r="J24" s="97">
        <v>0</v>
      </c>
      <c r="K24" s="97">
        <v>0</v>
      </c>
      <c r="L24" s="97">
        <v>0</v>
      </c>
    </row>
    <row r="25" spans="1:12" x14ac:dyDescent="0.35">
      <c r="A25" s="95" t="s">
        <v>340</v>
      </c>
      <c r="B25" s="96" t="s">
        <v>341</v>
      </c>
      <c r="C25" s="97">
        <v>125292.67</v>
      </c>
      <c r="D25" s="97">
        <v>0</v>
      </c>
      <c r="E25" s="97">
        <v>154709.4</v>
      </c>
      <c r="F25" s="97">
        <v>0</v>
      </c>
      <c r="G25" s="97">
        <v>313101.31</v>
      </c>
      <c r="H25" s="97">
        <v>325795.31</v>
      </c>
      <c r="I25" s="97">
        <v>3315271.98</v>
      </c>
      <c r="J25" s="97">
        <v>3298549.25</v>
      </c>
      <c r="K25" s="97">
        <v>142015.4</v>
      </c>
      <c r="L25" s="97">
        <v>0</v>
      </c>
    </row>
    <row r="26" spans="1:12" x14ac:dyDescent="0.35">
      <c r="A26" s="95" t="s">
        <v>342</v>
      </c>
      <c r="B26" s="96" t="s">
        <v>343</v>
      </c>
      <c r="C26" s="97">
        <v>0</v>
      </c>
      <c r="D26" s="97">
        <v>0</v>
      </c>
      <c r="E26" s="97">
        <v>0</v>
      </c>
      <c r="F26" s="97">
        <v>0</v>
      </c>
      <c r="G26" s="97">
        <v>0</v>
      </c>
      <c r="H26" s="97">
        <v>7166.75</v>
      </c>
      <c r="I26" s="97">
        <v>0</v>
      </c>
      <c r="J26" s="97">
        <v>7166.75</v>
      </c>
      <c r="K26" s="97">
        <v>-7166.75</v>
      </c>
      <c r="L26" s="97">
        <v>0</v>
      </c>
    </row>
    <row r="27" spans="1:12" x14ac:dyDescent="0.35">
      <c r="A27" s="95" t="s">
        <v>344</v>
      </c>
      <c r="B27" s="96" t="s">
        <v>345</v>
      </c>
      <c r="C27" s="97">
        <v>111.78</v>
      </c>
      <c r="D27" s="97">
        <v>0</v>
      </c>
      <c r="E27" s="97">
        <v>2475.14</v>
      </c>
      <c r="F27" s="97">
        <v>0</v>
      </c>
      <c r="G27" s="97">
        <v>1643.63</v>
      </c>
      <c r="H27" s="97">
        <v>2475.14</v>
      </c>
      <c r="I27" s="97">
        <v>16437.04</v>
      </c>
      <c r="J27" s="97">
        <v>14905.19</v>
      </c>
      <c r="K27" s="97">
        <v>1643.63</v>
      </c>
      <c r="L27" s="97">
        <v>0</v>
      </c>
    </row>
    <row r="28" spans="1:12" x14ac:dyDescent="0.35">
      <c r="A28" s="95" t="s">
        <v>346</v>
      </c>
      <c r="B28" s="96" t="s">
        <v>347</v>
      </c>
      <c r="C28" s="97">
        <v>0</v>
      </c>
      <c r="D28" s="97">
        <v>1978.19</v>
      </c>
      <c r="E28" s="97">
        <v>0</v>
      </c>
      <c r="F28" s="97">
        <v>2126.7800000000002</v>
      </c>
      <c r="G28" s="97">
        <v>266.35000000000002</v>
      </c>
      <c r="H28" s="97">
        <v>580.58000000000004</v>
      </c>
      <c r="I28" s="97">
        <v>4069.55</v>
      </c>
      <c r="J28" s="97">
        <v>4532.37</v>
      </c>
      <c r="K28" s="97">
        <v>0</v>
      </c>
      <c r="L28" s="97">
        <v>2441.0100000000002</v>
      </c>
    </row>
    <row r="29" spans="1:12" x14ac:dyDescent="0.35">
      <c r="A29" s="95" t="s">
        <v>348</v>
      </c>
      <c r="B29" s="96" t="s">
        <v>349</v>
      </c>
      <c r="C29" s="97">
        <v>0</v>
      </c>
      <c r="D29" s="97">
        <v>1148.69</v>
      </c>
      <c r="E29" s="97">
        <v>0</v>
      </c>
      <c r="F29" s="97">
        <v>886.69</v>
      </c>
      <c r="G29" s="97">
        <v>0</v>
      </c>
      <c r="H29" s="97">
        <v>-191.91</v>
      </c>
      <c r="I29" s="97">
        <v>0</v>
      </c>
      <c r="J29" s="97">
        <v>-453.91</v>
      </c>
      <c r="K29" s="97">
        <v>0</v>
      </c>
      <c r="L29" s="97">
        <v>694.78</v>
      </c>
    </row>
    <row r="30" spans="1:12" x14ac:dyDescent="0.35">
      <c r="A30" s="95" t="s">
        <v>350</v>
      </c>
      <c r="B30" s="96" t="s">
        <v>351</v>
      </c>
      <c r="C30" s="97">
        <v>11231.25</v>
      </c>
      <c r="D30" s="97">
        <v>0</v>
      </c>
      <c r="E30" s="97">
        <v>3887.23</v>
      </c>
      <c r="F30" s="97">
        <v>0</v>
      </c>
      <c r="G30" s="97">
        <v>170177.2</v>
      </c>
      <c r="H30" s="97">
        <v>169229.05</v>
      </c>
      <c r="I30" s="97">
        <v>1501677.78</v>
      </c>
      <c r="J30" s="97">
        <v>1508073.65</v>
      </c>
      <c r="K30" s="97">
        <v>4835.38</v>
      </c>
      <c r="L30" s="97">
        <v>0</v>
      </c>
    </row>
    <row r="31" spans="1:12" x14ac:dyDescent="0.35">
      <c r="A31" s="95" t="s">
        <v>352</v>
      </c>
      <c r="B31" s="96" t="s">
        <v>353</v>
      </c>
      <c r="C31" s="97">
        <v>0</v>
      </c>
      <c r="D31" s="97">
        <v>0</v>
      </c>
      <c r="E31" s="97">
        <v>0</v>
      </c>
      <c r="F31" s="97">
        <v>0</v>
      </c>
      <c r="G31" s="97">
        <v>0</v>
      </c>
      <c r="H31" s="97">
        <v>0</v>
      </c>
      <c r="I31" s="97">
        <v>613.6</v>
      </c>
      <c r="J31" s="97">
        <v>613.6</v>
      </c>
      <c r="K31" s="97">
        <v>0</v>
      </c>
      <c r="L31" s="97">
        <v>0</v>
      </c>
    </row>
    <row r="32" spans="1:12" x14ac:dyDescent="0.35">
      <c r="A32" s="95" t="s">
        <v>354</v>
      </c>
      <c r="B32" s="96" t="s">
        <v>355</v>
      </c>
      <c r="C32" s="97">
        <v>0</v>
      </c>
      <c r="D32" s="97">
        <v>0</v>
      </c>
      <c r="E32" s="97">
        <v>0</v>
      </c>
      <c r="F32" s="97">
        <v>0</v>
      </c>
      <c r="G32" s="97">
        <v>605641.05000000005</v>
      </c>
      <c r="H32" s="97">
        <v>605641.05000000005</v>
      </c>
      <c r="I32" s="97">
        <v>3909529.34</v>
      </c>
      <c r="J32" s="97">
        <v>3909529.34</v>
      </c>
      <c r="K32" s="97">
        <v>0</v>
      </c>
      <c r="L32" s="97">
        <v>0</v>
      </c>
    </row>
    <row r="33" spans="1:12" x14ac:dyDescent="0.35">
      <c r="A33" s="95" t="s">
        <v>356</v>
      </c>
      <c r="B33" s="96" t="s">
        <v>357</v>
      </c>
      <c r="C33" s="97">
        <v>0</v>
      </c>
      <c r="D33" s="97">
        <v>0</v>
      </c>
      <c r="E33" s="97">
        <v>0</v>
      </c>
      <c r="F33" s="97">
        <v>0</v>
      </c>
      <c r="G33" s="97">
        <v>0</v>
      </c>
      <c r="H33" s="97">
        <v>0</v>
      </c>
      <c r="I33" s="97">
        <v>11981</v>
      </c>
      <c r="J33" s="97">
        <v>11981</v>
      </c>
      <c r="K33" s="97">
        <v>0</v>
      </c>
      <c r="L33" s="97">
        <v>0</v>
      </c>
    </row>
    <row r="34" spans="1:12" x14ac:dyDescent="0.35">
      <c r="A34" s="95" t="s">
        <v>358</v>
      </c>
      <c r="B34" s="96" t="s">
        <v>359</v>
      </c>
      <c r="C34" s="97">
        <v>0</v>
      </c>
      <c r="D34" s="97">
        <v>0</v>
      </c>
      <c r="E34" s="97">
        <v>732.9</v>
      </c>
      <c r="F34" s="97">
        <v>0</v>
      </c>
      <c r="G34" s="97">
        <v>767.26</v>
      </c>
      <c r="H34" s="97">
        <v>732.9</v>
      </c>
      <c r="I34" s="97">
        <v>6528.79</v>
      </c>
      <c r="J34" s="97">
        <v>5761.53</v>
      </c>
      <c r="K34" s="97">
        <v>767.26</v>
      </c>
      <c r="L34" s="97">
        <v>0</v>
      </c>
    </row>
    <row r="35" spans="1:12" x14ac:dyDescent="0.35">
      <c r="A35" s="95" t="s">
        <v>360</v>
      </c>
      <c r="B35" s="96" t="s">
        <v>361</v>
      </c>
      <c r="C35" s="97">
        <v>69948.19</v>
      </c>
      <c r="D35" s="97">
        <v>0</v>
      </c>
      <c r="E35" s="97">
        <v>66229.02</v>
      </c>
      <c r="F35" s="97">
        <v>0</v>
      </c>
      <c r="G35" s="97">
        <v>69674.61</v>
      </c>
      <c r="H35" s="97">
        <v>66201.440000000002</v>
      </c>
      <c r="I35" s="97">
        <v>807266.56</v>
      </c>
      <c r="J35" s="97">
        <v>807512.56</v>
      </c>
      <c r="K35" s="97">
        <v>69702.19</v>
      </c>
      <c r="L35" s="97">
        <v>0</v>
      </c>
    </row>
    <row r="36" spans="1:12" x14ac:dyDescent="0.35">
      <c r="A36" s="95" t="s">
        <v>362</v>
      </c>
      <c r="B36" s="96" t="s">
        <v>363</v>
      </c>
      <c r="C36" s="97">
        <v>930.05</v>
      </c>
      <c r="D36" s="97">
        <v>0</v>
      </c>
      <c r="E36" s="97">
        <v>746.11</v>
      </c>
      <c r="F36" s="97">
        <v>0</v>
      </c>
      <c r="G36" s="97">
        <v>906.56</v>
      </c>
      <c r="H36" s="97">
        <v>746.11</v>
      </c>
      <c r="I36" s="97">
        <v>10800.34</v>
      </c>
      <c r="J36" s="97">
        <v>10823.83</v>
      </c>
      <c r="K36" s="97">
        <v>906.56</v>
      </c>
      <c r="L36" s="97">
        <v>0</v>
      </c>
    </row>
    <row r="37" spans="1:12" x14ac:dyDescent="0.35">
      <c r="A37" s="95" t="s">
        <v>364</v>
      </c>
      <c r="B37" s="96" t="s">
        <v>365</v>
      </c>
      <c r="C37" s="97">
        <v>4748.82</v>
      </c>
      <c r="D37" s="97">
        <v>0</v>
      </c>
      <c r="E37" s="97">
        <v>0</v>
      </c>
      <c r="F37" s="97">
        <v>0</v>
      </c>
      <c r="G37" s="97">
        <v>13432.29</v>
      </c>
      <c r="H37" s="97">
        <v>5431.72</v>
      </c>
      <c r="I37" s="97">
        <v>73722.16</v>
      </c>
      <c r="J37" s="97">
        <v>70470.41</v>
      </c>
      <c r="K37" s="97">
        <v>8000.57</v>
      </c>
      <c r="L37" s="97">
        <v>0</v>
      </c>
    </row>
    <row r="38" spans="1:12" x14ac:dyDescent="0.35">
      <c r="A38" s="95" t="s">
        <v>366</v>
      </c>
      <c r="B38" s="96" t="s">
        <v>367</v>
      </c>
      <c r="C38" s="97">
        <v>34049.9</v>
      </c>
      <c r="D38" s="97">
        <v>0</v>
      </c>
      <c r="E38" s="97">
        <v>30174.34</v>
      </c>
      <c r="F38" s="97">
        <v>0</v>
      </c>
      <c r="G38" s="97">
        <v>42438.04</v>
      </c>
      <c r="H38" s="97">
        <v>30221.79</v>
      </c>
      <c r="I38" s="97">
        <v>291491.02</v>
      </c>
      <c r="J38" s="97">
        <v>283150.33</v>
      </c>
      <c r="K38" s="97">
        <v>42390.59</v>
      </c>
      <c r="L38" s="97">
        <v>0</v>
      </c>
    </row>
    <row r="39" spans="1:12" x14ac:dyDescent="0.35">
      <c r="A39" s="95" t="s">
        <v>368</v>
      </c>
      <c r="B39" s="96" t="s">
        <v>369</v>
      </c>
      <c r="C39" s="97">
        <v>15283.08</v>
      </c>
      <c r="D39" s="97">
        <v>0</v>
      </c>
      <c r="E39" s="97">
        <v>15283.08</v>
      </c>
      <c r="F39" s="97">
        <v>0</v>
      </c>
      <c r="G39" s="97">
        <v>0</v>
      </c>
      <c r="H39" s="97">
        <v>0</v>
      </c>
      <c r="I39" s="97">
        <v>0</v>
      </c>
      <c r="J39" s="97">
        <v>0</v>
      </c>
      <c r="K39" s="97">
        <v>15283.08</v>
      </c>
      <c r="L39" s="97">
        <v>0</v>
      </c>
    </row>
    <row r="40" spans="1:12" x14ac:dyDescent="0.35">
      <c r="A40" s="95" t="s">
        <v>370</v>
      </c>
      <c r="B40" s="96" t="s">
        <v>371</v>
      </c>
      <c r="C40" s="97">
        <v>0</v>
      </c>
      <c r="D40" s="97">
        <v>0</v>
      </c>
      <c r="E40" s="97">
        <v>0</v>
      </c>
      <c r="F40" s="97">
        <v>0</v>
      </c>
      <c r="G40" s="97">
        <v>0</v>
      </c>
      <c r="H40" s="97">
        <v>0</v>
      </c>
      <c r="I40" s="97">
        <v>0</v>
      </c>
      <c r="J40" s="97">
        <v>0</v>
      </c>
      <c r="K40" s="97">
        <v>0</v>
      </c>
      <c r="L40" s="97">
        <v>0</v>
      </c>
    </row>
    <row r="41" spans="1:12" x14ac:dyDescent="0.35">
      <c r="A41" s="95" t="s">
        <v>372</v>
      </c>
      <c r="B41" s="96" t="s">
        <v>373</v>
      </c>
      <c r="C41" s="97">
        <v>0</v>
      </c>
      <c r="D41" s="97">
        <v>0</v>
      </c>
      <c r="E41" s="97">
        <v>0</v>
      </c>
      <c r="F41" s="97">
        <v>0</v>
      </c>
      <c r="G41" s="97">
        <v>10422.41</v>
      </c>
      <c r="H41" s="97">
        <v>10422.41</v>
      </c>
      <c r="I41" s="97">
        <v>10422.41</v>
      </c>
      <c r="J41" s="97">
        <v>10422.41</v>
      </c>
      <c r="K41" s="97">
        <v>0</v>
      </c>
      <c r="L41" s="97">
        <v>0</v>
      </c>
    </row>
    <row r="42" spans="1:12" x14ac:dyDescent="0.35">
      <c r="A42" s="95" t="s">
        <v>374</v>
      </c>
      <c r="B42" s="96" t="s">
        <v>375</v>
      </c>
      <c r="C42" s="97">
        <v>10.18</v>
      </c>
      <c r="D42" s="97">
        <v>0</v>
      </c>
      <c r="E42" s="97">
        <v>10.18</v>
      </c>
      <c r="F42" s="97">
        <v>0</v>
      </c>
      <c r="G42" s="97">
        <v>0</v>
      </c>
      <c r="H42" s="97">
        <v>10.18</v>
      </c>
      <c r="I42" s="97">
        <v>0</v>
      </c>
      <c r="J42" s="97">
        <v>10.18</v>
      </c>
      <c r="K42" s="97">
        <v>0</v>
      </c>
      <c r="L42" s="97">
        <v>0</v>
      </c>
    </row>
    <row r="43" spans="1:12" x14ac:dyDescent="0.35">
      <c r="A43" s="95" t="s">
        <v>376</v>
      </c>
      <c r="B43" s="96" t="s">
        <v>377</v>
      </c>
      <c r="C43" s="97">
        <v>3472.67</v>
      </c>
      <c r="D43" s="97">
        <v>0</v>
      </c>
      <c r="E43" s="97">
        <v>2681.82</v>
      </c>
      <c r="F43" s="97">
        <v>0</v>
      </c>
      <c r="G43" s="97">
        <v>0</v>
      </c>
      <c r="H43" s="97">
        <v>-613.76</v>
      </c>
      <c r="I43" s="97">
        <v>0.01</v>
      </c>
      <c r="J43" s="97">
        <v>177.1</v>
      </c>
      <c r="K43" s="97">
        <v>3295.58</v>
      </c>
      <c r="L43" s="97">
        <v>0</v>
      </c>
    </row>
    <row r="44" spans="1:12" x14ac:dyDescent="0.35">
      <c r="A44" s="95" t="s">
        <v>378</v>
      </c>
      <c r="B44" s="96" t="s">
        <v>379</v>
      </c>
      <c r="C44" s="97">
        <v>2306.52</v>
      </c>
      <c r="D44" s="97">
        <v>0</v>
      </c>
      <c r="E44" s="97">
        <v>1556.73</v>
      </c>
      <c r="F44" s="97">
        <v>0</v>
      </c>
      <c r="G44" s="97">
        <v>0</v>
      </c>
      <c r="H44" s="97">
        <v>-447.67</v>
      </c>
      <c r="I44" s="97">
        <v>0</v>
      </c>
      <c r="J44" s="97">
        <v>302.12</v>
      </c>
      <c r="K44" s="97">
        <v>2004.4</v>
      </c>
      <c r="L44" s="97">
        <v>0</v>
      </c>
    </row>
    <row r="45" spans="1:12" x14ac:dyDescent="0.35">
      <c r="A45" s="95" t="s">
        <v>380</v>
      </c>
      <c r="B45" s="96" t="s">
        <v>381</v>
      </c>
      <c r="C45" s="97">
        <v>0</v>
      </c>
      <c r="D45" s="97">
        <v>0</v>
      </c>
      <c r="E45" s="97">
        <v>0</v>
      </c>
      <c r="F45" s="97">
        <v>0</v>
      </c>
      <c r="G45" s="97">
        <v>0</v>
      </c>
      <c r="H45" s="97">
        <v>0</v>
      </c>
      <c r="I45" s="97">
        <v>0</v>
      </c>
      <c r="J45" s="97">
        <v>0</v>
      </c>
      <c r="K45" s="97">
        <v>0</v>
      </c>
      <c r="L45" s="97">
        <v>0</v>
      </c>
    </row>
    <row r="46" spans="1:12" x14ac:dyDescent="0.35">
      <c r="A46" s="95" t="s">
        <v>382</v>
      </c>
      <c r="B46" s="96" t="s">
        <v>383</v>
      </c>
      <c r="C46" s="97">
        <v>188.32</v>
      </c>
      <c r="D46" s="97">
        <v>0</v>
      </c>
      <c r="E46" s="97">
        <v>463.51</v>
      </c>
      <c r="F46" s="97">
        <v>0</v>
      </c>
      <c r="G46" s="97">
        <v>0</v>
      </c>
      <c r="H46" s="97">
        <v>356.1</v>
      </c>
      <c r="I46" s="97">
        <v>0</v>
      </c>
      <c r="J46" s="97">
        <v>80.91</v>
      </c>
      <c r="K46" s="97">
        <v>107.41</v>
      </c>
      <c r="L46" s="97">
        <v>0</v>
      </c>
    </row>
    <row r="47" spans="1:12" x14ac:dyDescent="0.35">
      <c r="A47" s="95" t="s">
        <v>384</v>
      </c>
      <c r="B47" s="96" t="s">
        <v>385</v>
      </c>
      <c r="C47" s="97">
        <v>-419.87</v>
      </c>
      <c r="D47" s="97">
        <v>0</v>
      </c>
      <c r="E47" s="97">
        <v>-465.67</v>
      </c>
      <c r="F47" s="97">
        <v>0</v>
      </c>
      <c r="G47" s="97">
        <v>465.67</v>
      </c>
      <c r="H47" s="97">
        <v>0</v>
      </c>
      <c r="I47" s="97">
        <v>465.67</v>
      </c>
      <c r="J47" s="97">
        <v>45.8</v>
      </c>
      <c r="K47" s="97">
        <v>0</v>
      </c>
      <c r="L47" s="97">
        <v>0</v>
      </c>
    </row>
    <row r="48" spans="1:12" x14ac:dyDescent="0.35">
      <c r="A48" s="95" t="s">
        <v>386</v>
      </c>
      <c r="B48" s="96" t="s">
        <v>387</v>
      </c>
      <c r="C48" s="97">
        <v>37105.519999999997</v>
      </c>
      <c r="D48" s="97">
        <v>0</v>
      </c>
      <c r="E48" s="97">
        <v>-411.22</v>
      </c>
      <c r="F48" s="97">
        <v>0</v>
      </c>
      <c r="G48" s="97">
        <v>411.22</v>
      </c>
      <c r="H48" s="97">
        <v>0</v>
      </c>
      <c r="I48" s="97">
        <v>12827.87</v>
      </c>
      <c r="J48" s="97">
        <v>49933.39</v>
      </c>
      <c r="K48" s="97">
        <v>0</v>
      </c>
      <c r="L48" s="97">
        <v>0</v>
      </c>
    </row>
    <row r="49" spans="1:12" x14ac:dyDescent="0.35">
      <c r="A49" s="95" t="s">
        <v>388</v>
      </c>
      <c r="B49" s="96" t="s">
        <v>389</v>
      </c>
      <c r="C49" s="97">
        <v>0</v>
      </c>
      <c r="D49" s="97">
        <v>0</v>
      </c>
      <c r="E49" s="97">
        <v>51365.17</v>
      </c>
      <c r="F49" s="97">
        <v>0</v>
      </c>
      <c r="G49" s="97">
        <v>500.78</v>
      </c>
      <c r="H49" s="97">
        <v>21650.37</v>
      </c>
      <c r="I49" s="97">
        <v>149185.03</v>
      </c>
      <c r="J49" s="97">
        <v>118969.45</v>
      </c>
      <c r="K49" s="97">
        <v>30215.58</v>
      </c>
      <c r="L49" s="97">
        <v>0</v>
      </c>
    </row>
    <row r="50" spans="1:12" x14ac:dyDescent="0.35">
      <c r="A50" s="95" t="s">
        <v>390</v>
      </c>
      <c r="B50" s="96" t="s">
        <v>391</v>
      </c>
      <c r="C50" s="97">
        <v>12729.08</v>
      </c>
      <c r="D50" s="97">
        <v>0</v>
      </c>
      <c r="E50" s="97">
        <v>6922.85</v>
      </c>
      <c r="F50" s="97">
        <v>0</v>
      </c>
      <c r="G50" s="97">
        <v>92705.18</v>
      </c>
      <c r="H50" s="97">
        <v>91868.39</v>
      </c>
      <c r="I50" s="97">
        <v>805464.56</v>
      </c>
      <c r="J50" s="97">
        <v>810434</v>
      </c>
      <c r="K50" s="97">
        <v>7759.64</v>
      </c>
      <c r="L50" s="97">
        <v>0</v>
      </c>
    </row>
    <row r="51" spans="1:12" x14ac:dyDescent="0.35">
      <c r="A51" s="95" t="s">
        <v>392</v>
      </c>
      <c r="B51" s="96" t="s">
        <v>393</v>
      </c>
      <c r="C51" s="97">
        <v>1754.48</v>
      </c>
      <c r="D51" s="97">
        <v>0</v>
      </c>
      <c r="E51" s="97">
        <v>604.02</v>
      </c>
      <c r="F51" s="97">
        <v>0</v>
      </c>
      <c r="G51" s="97">
        <v>702.09</v>
      </c>
      <c r="H51" s="97">
        <v>583.02</v>
      </c>
      <c r="I51" s="97">
        <v>5938.37</v>
      </c>
      <c r="J51" s="97">
        <v>6969.76</v>
      </c>
      <c r="K51" s="97">
        <v>723.09</v>
      </c>
      <c r="L51" s="97">
        <v>0</v>
      </c>
    </row>
    <row r="52" spans="1:12" x14ac:dyDescent="0.35">
      <c r="A52" s="95" t="s">
        <v>394</v>
      </c>
      <c r="B52" s="96" t="s">
        <v>395</v>
      </c>
      <c r="C52" s="97">
        <v>0</v>
      </c>
      <c r="D52" s="97">
        <v>0</v>
      </c>
      <c r="E52" s="97">
        <v>0</v>
      </c>
      <c r="F52" s="97">
        <v>0</v>
      </c>
      <c r="G52" s="97">
        <v>729.66</v>
      </c>
      <c r="H52" s="97">
        <v>729.66</v>
      </c>
      <c r="I52" s="97">
        <v>3016.06</v>
      </c>
      <c r="J52" s="97">
        <v>3016.06</v>
      </c>
      <c r="K52" s="97">
        <v>0</v>
      </c>
      <c r="L52" s="97">
        <v>0</v>
      </c>
    </row>
    <row r="53" spans="1:12" x14ac:dyDescent="0.35">
      <c r="A53" s="95" t="s">
        <v>396</v>
      </c>
      <c r="B53" s="96" t="s">
        <v>397</v>
      </c>
      <c r="C53" s="97">
        <v>381.82</v>
      </c>
      <c r="D53" s="97">
        <v>0</v>
      </c>
      <c r="E53" s="97">
        <v>5441.94</v>
      </c>
      <c r="F53" s="97">
        <v>0</v>
      </c>
      <c r="G53" s="97">
        <v>-8000.57</v>
      </c>
      <c r="H53" s="97">
        <v>5441.94</v>
      </c>
      <c r="I53" s="97">
        <v>15605.8</v>
      </c>
      <c r="J53" s="97">
        <v>23988.19</v>
      </c>
      <c r="K53" s="97">
        <v>-8000.57</v>
      </c>
      <c r="L53" s="97">
        <v>0</v>
      </c>
    </row>
    <row r="54" spans="1:12" x14ac:dyDescent="0.35">
      <c r="A54" s="95" t="s">
        <v>398</v>
      </c>
      <c r="B54" s="96" t="s">
        <v>399</v>
      </c>
      <c r="C54" s="97">
        <v>0</v>
      </c>
      <c r="D54" s="97">
        <v>11778.55</v>
      </c>
      <c r="E54" s="97">
        <v>0</v>
      </c>
      <c r="F54" s="97">
        <v>75864.23</v>
      </c>
      <c r="G54" s="97">
        <v>68519.240000000005</v>
      </c>
      <c r="H54" s="97">
        <v>11844.97</v>
      </c>
      <c r="I54" s="97">
        <v>276799.33</v>
      </c>
      <c r="J54" s="97">
        <v>284210.74</v>
      </c>
      <c r="K54" s="97">
        <v>0</v>
      </c>
      <c r="L54" s="97">
        <v>19189.96</v>
      </c>
    </row>
    <row r="55" spans="1:12" x14ac:dyDescent="0.35">
      <c r="A55" s="95" t="s">
        <v>400</v>
      </c>
      <c r="B55" s="96" t="s">
        <v>401</v>
      </c>
      <c r="C55" s="97">
        <v>0</v>
      </c>
      <c r="D55" s="97">
        <v>344604.36</v>
      </c>
      <c r="E55" s="97">
        <v>0</v>
      </c>
      <c r="F55" s="97">
        <v>301935.73</v>
      </c>
      <c r="G55" s="97">
        <v>78935.87</v>
      </c>
      <c r="H55" s="97">
        <v>99192.82</v>
      </c>
      <c r="I55" s="97">
        <v>1215939.17</v>
      </c>
      <c r="J55" s="97">
        <v>1193527.49</v>
      </c>
      <c r="K55" s="97">
        <v>0</v>
      </c>
      <c r="L55" s="97">
        <v>322192.68</v>
      </c>
    </row>
    <row r="56" spans="1:12" x14ac:dyDescent="0.35">
      <c r="A56" s="95" t="s">
        <v>402</v>
      </c>
      <c r="B56" s="96" t="s">
        <v>403</v>
      </c>
      <c r="C56" s="97">
        <v>0</v>
      </c>
      <c r="D56" s="97">
        <v>0</v>
      </c>
      <c r="E56" s="97">
        <v>0</v>
      </c>
      <c r="F56" s="97">
        <v>0</v>
      </c>
      <c r="G56" s="97">
        <v>11.27</v>
      </c>
      <c r="H56" s="97">
        <v>11.27</v>
      </c>
      <c r="I56" s="97">
        <v>115.81</v>
      </c>
      <c r="J56" s="97">
        <v>115.81</v>
      </c>
      <c r="K56" s="97">
        <v>0</v>
      </c>
      <c r="L56" s="97">
        <v>0</v>
      </c>
    </row>
    <row r="57" spans="1:12" x14ac:dyDescent="0.35">
      <c r="A57" s="95" t="s">
        <v>404</v>
      </c>
      <c r="B57" s="96" t="s">
        <v>405</v>
      </c>
      <c r="C57" s="97">
        <v>0</v>
      </c>
      <c r="D57" s="97">
        <v>475.4</v>
      </c>
      <c r="E57" s="97">
        <v>0</v>
      </c>
      <c r="F57" s="97">
        <v>1162.77</v>
      </c>
      <c r="G57" s="97">
        <v>1162.77</v>
      </c>
      <c r="H57" s="97">
        <v>0</v>
      </c>
      <c r="I57" s="97">
        <v>11443.49</v>
      </c>
      <c r="J57" s="97">
        <v>10968.09</v>
      </c>
      <c r="K57" s="97">
        <v>0</v>
      </c>
      <c r="L57" s="97">
        <v>0</v>
      </c>
    </row>
    <row r="58" spans="1:12" x14ac:dyDescent="0.35">
      <c r="A58" s="95" t="s">
        <v>406</v>
      </c>
      <c r="B58" s="96" t="s">
        <v>407</v>
      </c>
      <c r="C58" s="97">
        <v>0</v>
      </c>
      <c r="D58" s="97">
        <v>2436.7600000000002</v>
      </c>
      <c r="E58" s="97">
        <v>0</v>
      </c>
      <c r="F58" s="97">
        <v>8294.7800000000007</v>
      </c>
      <c r="G58" s="97">
        <v>224725.56</v>
      </c>
      <c r="H58" s="97">
        <v>221022.1</v>
      </c>
      <c r="I58" s="97">
        <v>240791.35</v>
      </c>
      <c r="J58" s="97">
        <v>242945.91</v>
      </c>
      <c r="K58" s="97">
        <v>0</v>
      </c>
      <c r="L58" s="97">
        <v>4591.32</v>
      </c>
    </row>
    <row r="59" spans="1:12" x14ac:dyDescent="0.35">
      <c r="A59" s="95" t="s">
        <v>408</v>
      </c>
      <c r="B59" s="96" t="s">
        <v>409</v>
      </c>
      <c r="C59" s="97">
        <v>0</v>
      </c>
      <c r="D59" s="97">
        <v>77736.56</v>
      </c>
      <c r="E59" s="97">
        <v>0</v>
      </c>
      <c r="F59" s="97">
        <v>127931.18</v>
      </c>
      <c r="G59" s="97">
        <v>44186.42</v>
      </c>
      <c r="H59" s="97">
        <v>59796.34</v>
      </c>
      <c r="I59" s="97">
        <v>473628.08</v>
      </c>
      <c r="J59" s="97">
        <v>539432.62</v>
      </c>
      <c r="K59" s="97">
        <v>0</v>
      </c>
      <c r="L59" s="97">
        <v>143541.1</v>
      </c>
    </row>
    <row r="60" spans="1:12" x14ac:dyDescent="0.35">
      <c r="A60" s="95" t="s">
        <v>410</v>
      </c>
      <c r="B60" s="96" t="s">
        <v>411</v>
      </c>
      <c r="C60" s="97">
        <v>0</v>
      </c>
      <c r="D60" s="97">
        <v>1181</v>
      </c>
      <c r="E60" s="97">
        <v>0</v>
      </c>
      <c r="F60" s="97">
        <v>1181</v>
      </c>
      <c r="G60" s="97">
        <v>0</v>
      </c>
      <c r="H60" s="97">
        <v>-1181</v>
      </c>
      <c r="I60" s="97">
        <v>0</v>
      </c>
      <c r="J60" s="97">
        <v>-1181</v>
      </c>
      <c r="K60" s="97">
        <v>0</v>
      </c>
      <c r="L60" s="97">
        <v>0</v>
      </c>
    </row>
    <row r="61" spans="1:12" x14ac:dyDescent="0.35">
      <c r="A61" s="95" t="s">
        <v>412</v>
      </c>
      <c r="B61" s="96" t="s">
        <v>413</v>
      </c>
      <c r="C61" s="97">
        <v>0</v>
      </c>
      <c r="D61" s="97">
        <v>115.79</v>
      </c>
      <c r="E61" s="97">
        <v>0</v>
      </c>
      <c r="F61" s="97">
        <v>0</v>
      </c>
      <c r="G61" s="97">
        <v>0</v>
      </c>
      <c r="H61" s="97">
        <v>0</v>
      </c>
      <c r="I61" s="97">
        <v>0</v>
      </c>
      <c r="J61" s="97">
        <v>-115.79</v>
      </c>
      <c r="K61" s="97">
        <v>0</v>
      </c>
      <c r="L61" s="97">
        <v>0</v>
      </c>
    </row>
    <row r="62" spans="1:12" x14ac:dyDescent="0.35">
      <c r="A62" s="95" t="s">
        <v>414</v>
      </c>
      <c r="B62" s="96" t="s">
        <v>415</v>
      </c>
      <c r="C62" s="97">
        <v>0</v>
      </c>
      <c r="D62" s="97">
        <v>2039.17</v>
      </c>
      <c r="E62" s="97">
        <v>0</v>
      </c>
      <c r="F62" s="97">
        <v>2039.17</v>
      </c>
      <c r="G62" s="97">
        <v>0</v>
      </c>
      <c r="H62" s="97">
        <v>-963.53</v>
      </c>
      <c r="I62" s="97">
        <v>0</v>
      </c>
      <c r="J62" s="97">
        <v>-963.53</v>
      </c>
      <c r="K62" s="97">
        <v>0</v>
      </c>
      <c r="L62" s="97">
        <v>1075.6400000000001</v>
      </c>
    </row>
    <row r="63" spans="1:12" x14ac:dyDescent="0.35">
      <c r="A63" s="95" t="s">
        <v>416</v>
      </c>
      <c r="B63" s="96" t="s">
        <v>417</v>
      </c>
      <c r="C63" s="97">
        <v>0</v>
      </c>
      <c r="D63" s="97">
        <v>410</v>
      </c>
      <c r="E63" s="97">
        <v>0</v>
      </c>
      <c r="F63" s="97">
        <v>0</v>
      </c>
      <c r="G63" s="97">
        <v>0</v>
      </c>
      <c r="H63" s="97">
        <v>200</v>
      </c>
      <c r="I63" s="97">
        <v>410</v>
      </c>
      <c r="J63" s="97">
        <v>200</v>
      </c>
      <c r="K63" s="97">
        <v>0</v>
      </c>
      <c r="L63" s="97">
        <v>200</v>
      </c>
    </row>
    <row r="64" spans="1:12" x14ac:dyDescent="0.35">
      <c r="A64" s="95" t="s">
        <v>418</v>
      </c>
      <c r="B64" s="96" t="s">
        <v>419</v>
      </c>
      <c r="C64" s="97">
        <v>0</v>
      </c>
      <c r="D64" s="97">
        <v>9194</v>
      </c>
      <c r="E64" s="97">
        <v>0</v>
      </c>
      <c r="F64" s="97">
        <v>4984.21</v>
      </c>
      <c r="G64" s="97">
        <v>4984.21</v>
      </c>
      <c r="H64" s="97">
        <v>3244.8</v>
      </c>
      <c r="I64" s="97">
        <v>9194</v>
      </c>
      <c r="J64" s="97">
        <v>3244.8</v>
      </c>
      <c r="K64" s="97">
        <v>0</v>
      </c>
      <c r="L64" s="97">
        <v>3244.8</v>
      </c>
    </row>
    <row r="65" spans="1:12" x14ac:dyDescent="0.35">
      <c r="A65" s="95" t="s">
        <v>420</v>
      </c>
      <c r="B65" s="96" t="s">
        <v>421</v>
      </c>
      <c r="C65" s="97">
        <v>0</v>
      </c>
      <c r="D65" s="97">
        <v>0</v>
      </c>
      <c r="E65" s="97">
        <v>0</v>
      </c>
      <c r="F65" s="97">
        <v>0</v>
      </c>
      <c r="G65" s="97">
        <v>0</v>
      </c>
      <c r="H65" s="97">
        <v>474.01</v>
      </c>
      <c r="I65" s="97">
        <v>0</v>
      </c>
      <c r="J65" s="97">
        <v>474.01</v>
      </c>
      <c r="K65" s="97">
        <v>0</v>
      </c>
      <c r="L65" s="97">
        <v>474.01</v>
      </c>
    </row>
    <row r="66" spans="1:12" x14ac:dyDescent="0.35">
      <c r="A66" s="95" t="s">
        <v>422</v>
      </c>
      <c r="B66" s="96" t="s">
        <v>423</v>
      </c>
      <c r="C66" s="97">
        <v>0</v>
      </c>
      <c r="D66" s="97">
        <v>3694.36</v>
      </c>
      <c r="E66" s="97">
        <v>0</v>
      </c>
      <c r="F66" s="97">
        <v>3222.54</v>
      </c>
      <c r="G66" s="97">
        <v>0</v>
      </c>
      <c r="H66" s="97">
        <v>-1058.32</v>
      </c>
      <c r="I66" s="97">
        <v>0</v>
      </c>
      <c r="J66" s="97">
        <v>-1530.14</v>
      </c>
      <c r="K66" s="97">
        <v>0</v>
      </c>
      <c r="L66" s="97">
        <v>2164.2199999999998</v>
      </c>
    </row>
    <row r="67" spans="1:12" x14ac:dyDescent="0.35">
      <c r="A67" s="95" t="s">
        <v>424</v>
      </c>
      <c r="B67" s="96" t="s">
        <v>425</v>
      </c>
      <c r="C67" s="97">
        <v>0</v>
      </c>
      <c r="D67" s="97">
        <v>0</v>
      </c>
      <c r="E67" s="97">
        <v>0</v>
      </c>
      <c r="F67" s="97">
        <v>0</v>
      </c>
      <c r="G67" s="97">
        <v>216395.34</v>
      </c>
      <c r="H67" s="97">
        <v>216395.34</v>
      </c>
      <c r="I67" s="97">
        <v>216395.34</v>
      </c>
      <c r="J67" s="97">
        <v>216395.34</v>
      </c>
      <c r="K67" s="97">
        <v>0</v>
      </c>
      <c r="L67" s="97">
        <v>0</v>
      </c>
    </row>
    <row r="68" spans="1:12" x14ac:dyDescent="0.35">
      <c r="A68" s="95" t="s">
        <v>426</v>
      </c>
      <c r="B68" s="96" t="s">
        <v>427</v>
      </c>
      <c r="C68" s="97">
        <v>0</v>
      </c>
      <c r="D68" s="97">
        <v>0</v>
      </c>
      <c r="E68" s="97">
        <v>0</v>
      </c>
      <c r="F68" s="97">
        <v>16657.39</v>
      </c>
      <c r="G68" s="97">
        <v>0</v>
      </c>
      <c r="H68" s="97">
        <v>-16657.39</v>
      </c>
      <c r="I68" s="97">
        <v>0</v>
      </c>
      <c r="J68" s="97">
        <v>0</v>
      </c>
      <c r="K68" s="97">
        <v>0</v>
      </c>
      <c r="L68" s="97">
        <v>0</v>
      </c>
    </row>
    <row r="69" spans="1:12" x14ac:dyDescent="0.35">
      <c r="A69" s="95" t="s">
        <v>428</v>
      </c>
      <c r="B69" s="96" t="s">
        <v>429</v>
      </c>
      <c r="C69" s="97">
        <v>0</v>
      </c>
      <c r="D69" s="97">
        <v>0</v>
      </c>
      <c r="E69" s="97">
        <v>0</v>
      </c>
      <c r="F69" s="97">
        <v>611.20000000000005</v>
      </c>
      <c r="G69" s="97">
        <v>0</v>
      </c>
      <c r="H69" s="97">
        <v>-611.20000000000005</v>
      </c>
      <c r="I69" s="97">
        <v>0</v>
      </c>
      <c r="J69" s="97">
        <v>0</v>
      </c>
      <c r="K69" s="97">
        <v>0</v>
      </c>
      <c r="L69" s="97">
        <v>0</v>
      </c>
    </row>
    <row r="70" spans="1:12" x14ac:dyDescent="0.35">
      <c r="A70" s="95" t="s">
        <v>430</v>
      </c>
      <c r="B70" s="96" t="s">
        <v>431</v>
      </c>
      <c r="C70" s="97">
        <v>0</v>
      </c>
      <c r="D70" s="97">
        <v>0</v>
      </c>
      <c r="E70" s="97">
        <v>0</v>
      </c>
      <c r="F70" s="97">
        <v>4189.3100000000004</v>
      </c>
      <c r="G70" s="97">
        <v>0</v>
      </c>
      <c r="H70" s="97">
        <v>-4189.3100000000004</v>
      </c>
      <c r="I70" s="97">
        <v>0</v>
      </c>
      <c r="J70" s="97">
        <v>0</v>
      </c>
      <c r="K70" s="97">
        <v>0</v>
      </c>
      <c r="L70" s="97">
        <v>0</v>
      </c>
    </row>
    <row r="71" spans="1:12" x14ac:dyDescent="0.35">
      <c r="A71" s="95" t="s">
        <v>432</v>
      </c>
      <c r="B71" s="96" t="s">
        <v>433</v>
      </c>
      <c r="C71" s="97">
        <v>0</v>
      </c>
      <c r="D71" s="97">
        <v>0</v>
      </c>
      <c r="E71" s="97">
        <v>0</v>
      </c>
      <c r="F71" s="97">
        <v>1825.65</v>
      </c>
      <c r="G71" s="97">
        <v>0</v>
      </c>
      <c r="H71" s="97">
        <v>-1825.65</v>
      </c>
      <c r="I71" s="97">
        <v>0</v>
      </c>
      <c r="J71" s="97">
        <v>0</v>
      </c>
      <c r="K71" s="97">
        <v>0</v>
      </c>
      <c r="L71" s="97">
        <v>0</v>
      </c>
    </row>
    <row r="72" spans="1:12" x14ac:dyDescent="0.35">
      <c r="A72" s="95" t="s">
        <v>434</v>
      </c>
      <c r="B72" s="96" t="s">
        <v>435</v>
      </c>
      <c r="C72" s="97">
        <v>0</v>
      </c>
      <c r="D72" s="97">
        <v>0</v>
      </c>
      <c r="E72" s="97">
        <v>0</v>
      </c>
      <c r="F72" s="97">
        <v>99.96</v>
      </c>
      <c r="G72" s="97">
        <v>0</v>
      </c>
      <c r="H72" s="97">
        <v>-99.96</v>
      </c>
      <c r="I72" s="97">
        <v>0</v>
      </c>
      <c r="J72" s="97">
        <v>0</v>
      </c>
      <c r="K72" s="97">
        <v>0</v>
      </c>
      <c r="L72" s="97">
        <v>0</v>
      </c>
    </row>
    <row r="73" spans="1:12" x14ac:dyDescent="0.35">
      <c r="A73" s="95" t="s">
        <v>436</v>
      </c>
      <c r="B73" s="96" t="s">
        <v>437</v>
      </c>
      <c r="C73" s="97">
        <v>0</v>
      </c>
      <c r="D73" s="97">
        <v>241.14</v>
      </c>
      <c r="E73" s="97">
        <v>0</v>
      </c>
      <c r="F73" s="97">
        <v>298.29000000000002</v>
      </c>
      <c r="G73" s="97">
        <v>2485.33</v>
      </c>
      <c r="H73" s="97">
        <v>2480.31</v>
      </c>
      <c r="I73" s="97">
        <v>31450.95</v>
      </c>
      <c r="J73" s="97">
        <v>31503.08</v>
      </c>
      <c r="K73" s="97">
        <v>0</v>
      </c>
      <c r="L73" s="97">
        <v>293.27</v>
      </c>
    </row>
    <row r="74" spans="1:12" x14ac:dyDescent="0.35">
      <c r="A74" s="95" t="s">
        <v>438</v>
      </c>
      <c r="B74" s="96" t="s">
        <v>439</v>
      </c>
      <c r="C74" s="97">
        <v>0</v>
      </c>
      <c r="D74" s="97">
        <v>510</v>
      </c>
      <c r="E74" s="97">
        <v>0</v>
      </c>
      <c r="F74" s="97">
        <v>100</v>
      </c>
      <c r="G74" s="97">
        <v>100</v>
      </c>
      <c r="H74" s="97">
        <v>710</v>
      </c>
      <c r="I74" s="97">
        <v>2190</v>
      </c>
      <c r="J74" s="97">
        <v>2390</v>
      </c>
      <c r="K74" s="97">
        <v>0</v>
      </c>
      <c r="L74" s="97">
        <v>710</v>
      </c>
    </row>
    <row r="75" spans="1:12" x14ac:dyDescent="0.35">
      <c r="A75" s="95" t="s">
        <v>440</v>
      </c>
      <c r="B75" s="96" t="s">
        <v>441</v>
      </c>
      <c r="C75" s="97">
        <v>0</v>
      </c>
      <c r="D75" s="97">
        <v>140</v>
      </c>
      <c r="E75" s="97">
        <v>0</v>
      </c>
      <c r="F75" s="97">
        <v>0</v>
      </c>
      <c r="G75" s="97">
        <v>117.5</v>
      </c>
      <c r="H75" s="97">
        <v>277.5</v>
      </c>
      <c r="I75" s="97">
        <v>1564.66</v>
      </c>
      <c r="J75" s="97">
        <v>1584.66</v>
      </c>
      <c r="K75" s="97">
        <v>0</v>
      </c>
      <c r="L75" s="97">
        <v>160</v>
      </c>
    </row>
    <row r="76" spans="1:12" x14ac:dyDescent="0.35">
      <c r="A76" s="95" t="s">
        <v>442</v>
      </c>
      <c r="B76" s="96" t="s">
        <v>443</v>
      </c>
      <c r="C76" s="97">
        <v>0</v>
      </c>
      <c r="D76" s="97">
        <v>10486.43</v>
      </c>
      <c r="E76" s="97">
        <v>0</v>
      </c>
      <c r="F76" s="97">
        <v>0</v>
      </c>
      <c r="G76" s="97">
        <v>20413.53</v>
      </c>
      <c r="H76" s="97">
        <v>31910.639999999999</v>
      </c>
      <c r="I76" s="97">
        <v>191102.34</v>
      </c>
      <c r="J76" s="97">
        <v>192113.02</v>
      </c>
      <c r="K76" s="97">
        <v>0</v>
      </c>
      <c r="L76" s="97">
        <v>11497.11</v>
      </c>
    </row>
    <row r="77" spans="1:12" x14ac:dyDescent="0.35">
      <c r="A77" s="95" t="s">
        <v>444</v>
      </c>
      <c r="B77" s="96" t="s">
        <v>445</v>
      </c>
      <c r="C77" s="97">
        <v>0</v>
      </c>
      <c r="D77" s="97">
        <v>0</v>
      </c>
      <c r="E77" s="97">
        <v>0</v>
      </c>
      <c r="F77" s="97">
        <v>0</v>
      </c>
      <c r="G77" s="97">
        <v>35.85</v>
      </c>
      <c r="H77" s="97">
        <v>35.85</v>
      </c>
      <c r="I77" s="97">
        <v>161.72</v>
      </c>
      <c r="J77" s="97">
        <v>161.72</v>
      </c>
      <c r="K77" s="97">
        <v>0</v>
      </c>
      <c r="L77" s="97">
        <v>0</v>
      </c>
    </row>
    <row r="78" spans="1:12" x14ac:dyDescent="0.35">
      <c r="A78" s="95" t="s">
        <v>446</v>
      </c>
      <c r="B78" s="96" t="s">
        <v>447</v>
      </c>
      <c r="C78" s="97">
        <v>0</v>
      </c>
      <c r="D78" s="97">
        <v>0</v>
      </c>
      <c r="E78" s="97">
        <v>0</v>
      </c>
      <c r="F78" s="97">
        <v>0</v>
      </c>
      <c r="G78" s="97">
        <v>0</v>
      </c>
      <c r="H78" s="97">
        <v>0</v>
      </c>
      <c r="I78" s="97">
        <v>135.19999999999999</v>
      </c>
      <c r="J78" s="97">
        <v>135.19999999999999</v>
      </c>
      <c r="K78" s="97">
        <v>0</v>
      </c>
      <c r="L78" s="97">
        <v>0</v>
      </c>
    </row>
    <row r="79" spans="1:12" x14ac:dyDescent="0.35">
      <c r="A79" s="95" t="s">
        <v>448</v>
      </c>
      <c r="B79" s="96" t="s">
        <v>449</v>
      </c>
      <c r="C79" s="97">
        <v>0</v>
      </c>
      <c r="D79" s="97">
        <v>0</v>
      </c>
      <c r="E79" s="97">
        <v>640</v>
      </c>
      <c r="F79" s="97">
        <v>0</v>
      </c>
      <c r="G79" s="97">
        <v>655</v>
      </c>
      <c r="H79" s="97">
        <v>1295</v>
      </c>
      <c r="I79" s="97">
        <v>7989.8</v>
      </c>
      <c r="J79" s="97">
        <v>7989.8</v>
      </c>
      <c r="K79" s="97">
        <v>0</v>
      </c>
      <c r="L79" s="97">
        <v>0</v>
      </c>
    </row>
    <row r="80" spans="1:12" x14ac:dyDescent="0.35">
      <c r="A80" s="95" t="s">
        <v>450</v>
      </c>
      <c r="B80" s="96" t="s">
        <v>451</v>
      </c>
      <c r="C80" s="97">
        <v>0</v>
      </c>
      <c r="D80" s="97">
        <v>1029.78</v>
      </c>
      <c r="E80" s="97">
        <v>0</v>
      </c>
      <c r="F80" s="97">
        <v>0</v>
      </c>
      <c r="G80" s="97">
        <v>1285.8499999999999</v>
      </c>
      <c r="H80" s="97">
        <v>2440.5</v>
      </c>
      <c r="I80" s="97">
        <v>14592.24</v>
      </c>
      <c r="J80" s="97">
        <v>14717.11</v>
      </c>
      <c r="K80" s="97">
        <v>0</v>
      </c>
      <c r="L80" s="97">
        <v>1154.6500000000001</v>
      </c>
    </row>
    <row r="81" spans="1:12" x14ac:dyDescent="0.35">
      <c r="A81" s="95" t="s">
        <v>452</v>
      </c>
      <c r="B81" s="96" t="s">
        <v>453</v>
      </c>
      <c r="C81" s="97">
        <v>0</v>
      </c>
      <c r="D81" s="97">
        <v>880.02</v>
      </c>
      <c r="E81" s="97">
        <v>0</v>
      </c>
      <c r="F81" s="97">
        <v>0</v>
      </c>
      <c r="G81" s="97">
        <v>1173.29</v>
      </c>
      <c r="H81" s="97">
        <v>2256.58</v>
      </c>
      <c r="I81" s="97">
        <v>13170.29</v>
      </c>
      <c r="J81" s="97">
        <v>13373.56</v>
      </c>
      <c r="K81" s="97">
        <v>0</v>
      </c>
      <c r="L81" s="97">
        <v>1083.29</v>
      </c>
    </row>
    <row r="82" spans="1:12" x14ac:dyDescent="0.35">
      <c r="A82" s="95" t="s">
        <v>454</v>
      </c>
      <c r="B82" s="96" t="s">
        <v>455</v>
      </c>
      <c r="C82" s="97">
        <v>0</v>
      </c>
      <c r="D82" s="97">
        <v>4719.71</v>
      </c>
      <c r="E82" s="97">
        <v>0</v>
      </c>
      <c r="F82" s="97">
        <v>0</v>
      </c>
      <c r="G82" s="97">
        <v>5672.1</v>
      </c>
      <c r="H82" s="97">
        <v>10834.02</v>
      </c>
      <c r="I82" s="97">
        <v>64625.33</v>
      </c>
      <c r="J82" s="97">
        <v>65067.54</v>
      </c>
      <c r="K82" s="97">
        <v>0</v>
      </c>
      <c r="L82" s="97">
        <v>5161.92</v>
      </c>
    </row>
    <row r="83" spans="1:12" x14ac:dyDescent="0.35">
      <c r="A83" s="95" t="s">
        <v>456</v>
      </c>
      <c r="B83" s="96" t="s">
        <v>457</v>
      </c>
      <c r="C83" s="97">
        <v>-8041.95</v>
      </c>
      <c r="D83" s="97">
        <v>0</v>
      </c>
      <c r="E83" s="97">
        <v>0</v>
      </c>
      <c r="F83" s="97">
        <v>0</v>
      </c>
      <c r="G83" s="97">
        <v>0</v>
      </c>
      <c r="H83" s="97">
        <v>10697.14</v>
      </c>
      <c r="I83" s="97">
        <v>11817.24</v>
      </c>
      <c r="J83" s="97">
        <v>14472.43</v>
      </c>
      <c r="K83" s="97">
        <v>-10697.14</v>
      </c>
      <c r="L83" s="97">
        <v>0</v>
      </c>
    </row>
    <row r="84" spans="1:12" x14ac:dyDescent="0.35">
      <c r="A84" s="95" t="s">
        <v>458</v>
      </c>
      <c r="B84" s="96" t="s">
        <v>459</v>
      </c>
      <c r="C84" s="97">
        <v>11817.24</v>
      </c>
      <c r="D84" s="97">
        <v>0</v>
      </c>
      <c r="E84" s="97">
        <v>7502.59</v>
      </c>
      <c r="F84" s="97">
        <v>0</v>
      </c>
      <c r="G84" s="97">
        <v>0</v>
      </c>
      <c r="H84" s="97">
        <v>0</v>
      </c>
      <c r="I84" s="97">
        <v>7502.59</v>
      </c>
      <c r="J84" s="97">
        <v>11817.24</v>
      </c>
      <c r="K84" s="97">
        <v>7502.59</v>
      </c>
      <c r="L84" s="97">
        <v>0</v>
      </c>
    </row>
    <row r="85" spans="1:12" x14ac:dyDescent="0.35">
      <c r="A85" s="95" t="s">
        <v>460</v>
      </c>
      <c r="B85" s="96" t="s">
        <v>461</v>
      </c>
      <c r="C85" s="97">
        <v>0</v>
      </c>
      <c r="D85" s="97">
        <v>1341.12</v>
      </c>
      <c r="E85" s="97">
        <v>0</v>
      </c>
      <c r="F85" s="97">
        <v>0</v>
      </c>
      <c r="G85" s="97">
        <v>2262.38</v>
      </c>
      <c r="H85" s="97">
        <v>3722.15</v>
      </c>
      <c r="I85" s="97">
        <v>22667.45</v>
      </c>
      <c r="J85" s="97">
        <v>22786.1</v>
      </c>
      <c r="K85" s="97">
        <v>0</v>
      </c>
      <c r="L85" s="97">
        <v>1459.77</v>
      </c>
    </row>
    <row r="86" spans="1:12" x14ac:dyDescent="0.35">
      <c r="A86" s="95" t="s">
        <v>462</v>
      </c>
      <c r="B86" s="96" t="s">
        <v>463</v>
      </c>
      <c r="C86" s="97">
        <v>0</v>
      </c>
      <c r="D86" s="97">
        <v>0</v>
      </c>
      <c r="E86" s="97">
        <v>0</v>
      </c>
      <c r="F86" s="97">
        <v>0</v>
      </c>
      <c r="G86" s="97">
        <v>16837.71</v>
      </c>
      <c r="H86" s="97">
        <v>16837.71</v>
      </c>
      <c r="I86" s="97">
        <v>165255.46</v>
      </c>
      <c r="J86" s="97">
        <v>165255.46</v>
      </c>
      <c r="K86" s="97">
        <v>0</v>
      </c>
      <c r="L86" s="97">
        <v>0</v>
      </c>
    </row>
    <row r="87" spans="1:12" x14ac:dyDescent="0.35">
      <c r="A87" s="95" t="s">
        <v>464</v>
      </c>
      <c r="B87" s="96" t="s">
        <v>465</v>
      </c>
      <c r="C87" s="97">
        <v>0</v>
      </c>
      <c r="D87" s="97">
        <v>0</v>
      </c>
      <c r="E87" s="97">
        <v>0</v>
      </c>
      <c r="F87" s="97">
        <v>0</v>
      </c>
      <c r="G87" s="97">
        <v>10188.370000000001</v>
      </c>
      <c r="H87" s="97">
        <v>10188.370000000001</v>
      </c>
      <c r="I87" s="97">
        <v>94118.35</v>
      </c>
      <c r="J87" s="97">
        <v>94118.35</v>
      </c>
      <c r="K87" s="97">
        <v>0</v>
      </c>
      <c r="L87" s="97">
        <v>0</v>
      </c>
    </row>
    <row r="88" spans="1:12" x14ac:dyDescent="0.35">
      <c r="A88" s="95" t="s">
        <v>466</v>
      </c>
      <c r="B88" s="96" t="s">
        <v>467</v>
      </c>
      <c r="C88" s="97">
        <v>0</v>
      </c>
      <c r="D88" s="97">
        <v>0</v>
      </c>
      <c r="E88" s="97">
        <v>0</v>
      </c>
      <c r="F88" s="97">
        <v>0</v>
      </c>
      <c r="G88" s="97">
        <v>9005.93</v>
      </c>
      <c r="H88" s="97">
        <v>9005.93</v>
      </c>
      <c r="I88" s="97">
        <v>111497.04</v>
      </c>
      <c r="J88" s="97">
        <v>111497.04</v>
      </c>
      <c r="K88" s="97">
        <v>0</v>
      </c>
      <c r="L88" s="97">
        <v>0</v>
      </c>
    </row>
    <row r="89" spans="1:12" x14ac:dyDescent="0.35">
      <c r="A89" s="95" t="s">
        <v>468</v>
      </c>
      <c r="B89" s="96" t="s">
        <v>469</v>
      </c>
      <c r="C89" s="97">
        <v>0</v>
      </c>
      <c r="D89" s="97">
        <v>0</v>
      </c>
      <c r="E89" s="97">
        <v>0</v>
      </c>
      <c r="F89" s="97">
        <v>0</v>
      </c>
      <c r="G89" s="97">
        <v>3151.37</v>
      </c>
      <c r="H89" s="97">
        <v>3151.37</v>
      </c>
      <c r="I89" s="97">
        <v>53285.01</v>
      </c>
      <c r="J89" s="97">
        <v>53285.01</v>
      </c>
      <c r="K89" s="97">
        <v>0</v>
      </c>
      <c r="L89" s="97">
        <v>0</v>
      </c>
    </row>
    <row r="90" spans="1:12" x14ac:dyDescent="0.35">
      <c r="A90" s="95" t="s">
        <v>470</v>
      </c>
      <c r="B90" s="96" t="s">
        <v>471</v>
      </c>
      <c r="C90" s="97">
        <v>0</v>
      </c>
      <c r="D90" s="97">
        <v>0</v>
      </c>
      <c r="E90" s="97">
        <v>0</v>
      </c>
      <c r="F90" s="97">
        <v>0</v>
      </c>
      <c r="G90" s="97">
        <v>311.49</v>
      </c>
      <c r="H90" s="97">
        <v>311.49</v>
      </c>
      <c r="I90" s="97">
        <v>21437</v>
      </c>
      <c r="J90" s="97">
        <v>21437</v>
      </c>
      <c r="K90" s="97">
        <v>0</v>
      </c>
      <c r="L90" s="97">
        <v>0</v>
      </c>
    </row>
    <row r="91" spans="1:12" x14ac:dyDescent="0.35">
      <c r="A91" s="95" t="s">
        <v>472</v>
      </c>
      <c r="B91" s="96" t="s">
        <v>473</v>
      </c>
      <c r="C91" s="97">
        <v>0</v>
      </c>
      <c r="D91" s="97">
        <v>51.53</v>
      </c>
      <c r="E91" s="97">
        <v>0</v>
      </c>
      <c r="F91" s="97">
        <v>0</v>
      </c>
      <c r="G91" s="97">
        <v>0</v>
      </c>
      <c r="H91" s="97">
        <v>44.4</v>
      </c>
      <c r="I91" s="97">
        <v>51.53</v>
      </c>
      <c r="J91" s="97">
        <v>44.4</v>
      </c>
      <c r="K91" s="97">
        <v>0</v>
      </c>
      <c r="L91" s="97">
        <v>44.4</v>
      </c>
    </row>
    <row r="92" spans="1:12" x14ac:dyDescent="0.35">
      <c r="A92" s="95" t="s">
        <v>474</v>
      </c>
      <c r="B92" s="96" t="s">
        <v>475</v>
      </c>
      <c r="C92" s="97">
        <v>266343.94</v>
      </c>
      <c r="D92" s="97">
        <v>0</v>
      </c>
      <c r="E92" s="97">
        <v>536558.27</v>
      </c>
      <c r="F92" s="97">
        <v>0</v>
      </c>
      <c r="G92" s="97">
        <v>0</v>
      </c>
      <c r="H92" s="97">
        <v>174072.45</v>
      </c>
      <c r="I92" s="97">
        <v>303897.01</v>
      </c>
      <c r="J92" s="97">
        <v>207755.13</v>
      </c>
      <c r="K92" s="97">
        <v>362485.82</v>
      </c>
      <c r="L92" s="97">
        <v>0</v>
      </c>
    </row>
    <row r="93" spans="1:12" x14ac:dyDescent="0.35">
      <c r="A93" s="95" t="s">
        <v>476</v>
      </c>
      <c r="B93" s="96" t="s">
        <v>477</v>
      </c>
      <c r="C93" s="97">
        <v>0</v>
      </c>
      <c r="D93" s="97">
        <v>0</v>
      </c>
      <c r="E93" s="97">
        <v>0</v>
      </c>
      <c r="F93" s="97">
        <v>0</v>
      </c>
      <c r="G93" s="97">
        <v>74750</v>
      </c>
      <c r="H93" s="97">
        <v>74750</v>
      </c>
      <c r="I93" s="97">
        <v>680660</v>
      </c>
      <c r="J93" s="97">
        <v>680660</v>
      </c>
      <c r="K93" s="97">
        <v>0</v>
      </c>
      <c r="L93" s="97">
        <v>0</v>
      </c>
    </row>
    <row r="94" spans="1:12" x14ac:dyDescent="0.35">
      <c r="A94" s="95" t="s">
        <v>478</v>
      </c>
      <c r="B94" s="96" t="s">
        <v>479</v>
      </c>
      <c r="C94" s="97">
        <v>565.52</v>
      </c>
      <c r="D94" s="97">
        <v>0</v>
      </c>
      <c r="E94" s="97">
        <v>7232.42</v>
      </c>
      <c r="F94" s="97">
        <v>0</v>
      </c>
      <c r="G94" s="97">
        <v>769.66</v>
      </c>
      <c r="H94" s="97">
        <v>7232.42</v>
      </c>
      <c r="I94" s="97">
        <v>10047.1</v>
      </c>
      <c r="J94" s="97">
        <v>9842.9599999999991</v>
      </c>
      <c r="K94" s="97">
        <v>769.66</v>
      </c>
      <c r="L94" s="97">
        <v>0</v>
      </c>
    </row>
    <row r="95" spans="1:12" x14ac:dyDescent="0.35">
      <c r="A95" s="95" t="s">
        <v>480</v>
      </c>
      <c r="B95" s="96" t="s">
        <v>481</v>
      </c>
      <c r="C95" s="97">
        <v>0</v>
      </c>
      <c r="D95" s="97">
        <v>0</v>
      </c>
      <c r="E95" s="97">
        <v>0</v>
      </c>
      <c r="F95" s="97">
        <v>0</v>
      </c>
      <c r="G95" s="97">
        <v>0</v>
      </c>
      <c r="H95" s="97">
        <v>0</v>
      </c>
      <c r="I95" s="97">
        <v>0</v>
      </c>
      <c r="J95" s="97">
        <v>0</v>
      </c>
      <c r="K95" s="97">
        <v>0</v>
      </c>
      <c r="L95" s="97">
        <v>0</v>
      </c>
    </row>
    <row r="96" spans="1:12" x14ac:dyDescent="0.35">
      <c r="A96" s="95" t="s">
        <v>482</v>
      </c>
      <c r="B96" s="96" t="s">
        <v>483</v>
      </c>
      <c r="C96" s="97">
        <v>0</v>
      </c>
      <c r="D96" s="97">
        <v>0</v>
      </c>
      <c r="E96" s="97">
        <v>0</v>
      </c>
      <c r="F96" s="97">
        <v>0</v>
      </c>
      <c r="G96" s="97">
        <v>0</v>
      </c>
      <c r="H96" s="97">
        <v>0</v>
      </c>
      <c r="I96" s="97">
        <v>0</v>
      </c>
      <c r="J96" s="97">
        <v>0</v>
      </c>
      <c r="K96" s="97">
        <v>0</v>
      </c>
      <c r="L96" s="97">
        <v>0</v>
      </c>
    </row>
    <row r="97" spans="1:12" x14ac:dyDescent="0.35">
      <c r="A97" s="95" t="s">
        <v>484</v>
      </c>
      <c r="B97" s="96" t="s">
        <v>485</v>
      </c>
      <c r="C97" s="97">
        <v>0</v>
      </c>
      <c r="D97" s="97">
        <v>0</v>
      </c>
      <c r="E97" s="97">
        <v>0</v>
      </c>
      <c r="F97" s="97">
        <v>0</v>
      </c>
      <c r="G97" s="97">
        <v>410164.21</v>
      </c>
      <c r="H97" s="97">
        <v>410164.21</v>
      </c>
      <c r="I97" s="97">
        <v>2270334.52</v>
      </c>
      <c r="J97" s="97">
        <v>2270334.52</v>
      </c>
      <c r="K97" s="97">
        <v>0</v>
      </c>
      <c r="L97" s="97">
        <v>0</v>
      </c>
    </row>
    <row r="98" spans="1:12" x14ac:dyDescent="0.35">
      <c r="A98" s="95" t="s">
        <v>486</v>
      </c>
      <c r="B98" s="96" t="s">
        <v>487</v>
      </c>
      <c r="C98" s="97">
        <v>0</v>
      </c>
      <c r="D98" s="97">
        <v>0</v>
      </c>
      <c r="E98" s="97">
        <v>0</v>
      </c>
      <c r="F98" s="97">
        <v>0</v>
      </c>
      <c r="G98" s="97">
        <v>7726.27</v>
      </c>
      <c r="H98" s="97">
        <v>0</v>
      </c>
      <c r="I98" s="97">
        <v>7726.27</v>
      </c>
      <c r="J98" s="97">
        <v>0</v>
      </c>
      <c r="K98" s="97">
        <v>7726.27</v>
      </c>
      <c r="L98" s="97">
        <v>0</v>
      </c>
    </row>
    <row r="99" spans="1:12" x14ac:dyDescent="0.35">
      <c r="A99" s="95" t="s">
        <v>488</v>
      </c>
      <c r="B99" s="96" t="s">
        <v>489</v>
      </c>
      <c r="C99" s="97">
        <v>0</v>
      </c>
      <c r="D99" s="97">
        <v>0</v>
      </c>
      <c r="E99" s="97">
        <v>799.94</v>
      </c>
      <c r="F99" s="97">
        <v>0</v>
      </c>
      <c r="G99" s="97">
        <v>13757.35</v>
      </c>
      <c r="H99" s="97">
        <v>14557.29</v>
      </c>
      <c r="I99" s="97">
        <v>73954.7</v>
      </c>
      <c r="J99" s="97">
        <v>73954.7</v>
      </c>
      <c r="K99" s="97">
        <v>0</v>
      </c>
      <c r="L99" s="97">
        <v>0</v>
      </c>
    </row>
    <row r="100" spans="1:12" x14ac:dyDescent="0.35">
      <c r="A100" s="95" t="s">
        <v>490</v>
      </c>
      <c r="B100" s="96" t="s">
        <v>491</v>
      </c>
      <c r="C100" s="97">
        <v>0</v>
      </c>
      <c r="D100" s="97">
        <v>0</v>
      </c>
      <c r="E100" s="97">
        <v>0</v>
      </c>
      <c r="F100" s="97">
        <v>0</v>
      </c>
      <c r="G100" s="97">
        <v>0</v>
      </c>
      <c r="H100" s="97">
        <v>0</v>
      </c>
      <c r="I100" s="97">
        <v>1055.9000000000001</v>
      </c>
      <c r="J100" s="97">
        <v>1055.9000000000001</v>
      </c>
      <c r="K100" s="97">
        <v>0</v>
      </c>
      <c r="L100" s="97">
        <v>0</v>
      </c>
    </row>
    <row r="101" spans="1:12" x14ac:dyDescent="0.35">
      <c r="A101" s="95" t="s">
        <v>492</v>
      </c>
      <c r="B101" s="96" t="s">
        <v>493</v>
      </c>
      <c r="C101" s="97">
        <v>0</v>
      </c>
      <c r="D101" s="97">
        <v>0</v>
      </c>
      <c r="E101" s="97">
        <v>0</v>
      </c>
      <c r="F101" s="97">
        <v>0</v>
      </c>
      <c r="G101" s="97">
        <v>0</v>
      </c>
      <c r="H101" s="97">
        <v>0</v>
      </c>
      <c r="I101" s="97">
        <v>113</v>
      </c>
      <c r="J101" s="97">
        <v>113</v>
      </c>
      <c r="K101" s="97">
        <v>0</v>
      </c>
      <c r="L101" s="97">
        <v>0</v>
      </c>
    </row>
    <row r="102" spans="1:12" x14ac:dyDescent="0.35">
      <c r="A102" s="95" t="s">
        <v>494</v>
      </c>
      <c r="B102" s="96" t="s">
        <v>495</v>
      </c>
      <c r="C102" s="97">
        <v>0</v>
      </c>
      <c r="D102" s="97">
        <v>353</v>
      </c>
      <c r="E102" s="97">
        <v>0</v>
      </c>
      <c r="F102" s="97">
        <v>469.24</v>
      </c>
      <c r="G102" s="97">
        <v>469.23</v>
      </c>
      <c r="H102" s="97">
        <v>0</v>
      </c>
      <c r="I102" s="97">
        <v>5583.15</v>
      </c>
      <c r="J102" s="97">
        <v>5230.16</v>
      </c>
      <c r="K102" s="97">
        <v>0</v>
      </c>
      <c r="L102" s="97">
        <v>0.01</v>
      </c>
    </row>
    <row r="103" spans="1:12" x14ac:dyDescent="0.35">
      <c r="A103" s="95" t="s">
        <v>496</v>
      </c>
      <c r="B103" s="96" t="s">
        <v>489</v>
      </c>
      <c r="C103" s="97">
        <v>0</v>
      </c>
      <c r="D103" s="97">
        <v>8473.9500000000007</v>
      </c>
      <c r="E103" s="97">
        <v>0</v>
      </c>
      <c r="F103" s="97">
        <v>0</v>
      </c>
      <c r="G103" s="97">
        <v>0</v>
      </c>
      <c r="H103" s="97">
        <v>14557.29</v>
      </c>
      <c r="I103" s="97">
        <v>0</v>
      </c>
      <c r="J103" s="97">
        <v>6083.34</v>
      </c>
      <c r="K103" s="97">
        <v>0</v>
      </c>
      <c r="L103" s="97">
        <v>14557.29</v>
      </c>
    </row>
    <row r="104" spans="1:12" x14ac:dyDescent="0.35">
      <c r="A104" s="95" t="s">
        <v>497</v>
      </c>
      <c r="B104" s="96" t="s">
        <v>498</v>
      </c>
      <c r="C104" s="97">
        <v>0</v>
      </c>
      <c r="D104" s="97">
        <v>684.1</v>
      </c>
      <c r="E104" s="97">
        <v>0</v>
      </c>
      <c r="F104" s="97">
        <v>0</v>
      </c>
      <c r="G104" s="97">
        <v>0</v>
      </c>
      <c r="H104" s="97">
        <v>0</v>
      </c>
      <c r="I104" s="97">
        <v>684.1</v>
      </c>
      <c r="J104" s="97">
        <v>0</v>
      </c>
      <c r="K104" s="97">
        <v>0</v>
      </c>
      <c r="L104" s="97">
        <v>0</v>
      </c>
    </row>
    <row r="105" spans="1:12" x14ac:dyDescent="0.35">
      <c r="A105" s="95" t="s">
        <v>499</v>
      </c>
      <c r="B105" s="96" t="s">
        <v>500</v>
      </c>
      <c r="C105" s="97">
        <v>206.65</v>
      </c>
      <c r="D105" s="97">
        <v>0</v>
      </c>
      <c r="E105" s="97">
        <v>63.41</v>
      </c>
      <c r="F105" s="97">
        <v>0</v>
      </c>
      <c r="G105" s="97">
        <v>0</v>
      </c>
      <c r="H105" s="97">
        <v>0</v>
      </c>
      <c r="I105" s="97">
        <v>0</v>
      </c>
      <c r="J105" s="97">
        <v>143.24</v>
      </c>
      <c r="K105" s="97">
        <v>63.41</v>
      </c>
      <c r="L105" s="97">
        <v>0</v>
      </c>
    </row>
    <row r="106" spans="1:12" x14ac:dyDescent="0.35">
      <c r="A106" s="95" t="s">
        <v>501</v>
      </c>
      <c r="B106" s="96" t="s">
        <v>502</v>
      </c>
      <c r="C106" s="97">
        <v>3000</v>
      </c>
      <c r="D106" s="97">
        <v>0</v>
      </c>
      <c r="E106" s="97">
        <v>250</v>
      </c>
      <c r="F106" s="97">
        <v>0</v>
      </c>
      <c r="G106" s="97">
        <v>3000</v>
      </c>
      <c r="H106" s="97">
        <v>250</v>
      </c>
      <c r="I106" s="97">
        <v>3000</v>
      </c>
      <c r="J106" s="97">
        <v>3000</v>
      </c>
      <c r="K106" s="97">
        <v>3000</v>
      </c>
      <c r="L106" s="97">
        <v>0</v>
      </c>
    </row>
    <row r="107" spans="1:12" x14ac:dyDescent="0.35">
      <c r="A107" s="95" t="s">
        <v>503</v>
      </c>
      <c r="B107" s="96" t="s">
        <v>504</v>
      </c>
      <c r="C107" s="97">
        <v>9000</v>
      </c>
      <c r="D107" s="97">
        <v>0</v>
      </c>
      <c r="E107" s="97">
        <v>9000</v>
      </c>
      <c r="F107" s="97">
        <v>0</v>
      </c>
      <c r="G107" s="97">
        <v>0</v>
      </c>
      <c r="H107" s="97">
        <v>3000</v>
      </c>
      <c r="I107" s="97">
        <v>0</v>
      </c>
      <c r="J107" s="97">
        <v>3000</v>
      </c>
      <c r="K107" s="97">
        <v>6000</v>
      </c>
      <c r="L107" s="97">
        <v>0</v>
      </c>
    </row>
    <row r="108" spans="1:12" x14ac:dyDescent="0.35">
      <c r="A108" s="95" t="s">
        <v>505</v>
      </c>
      <c r="B108" s="96" t="s">
        <v>506</v>
      </c>
      <c r="C108" s="97">
        <v>0</v>
      </c>
      <c r="D108" s="97">
        <v>0</v>
      </c>
      <c r="E108" s="97">
        <v>3493.86</v>
      </c>
      <c r="F108" s="97">
        <v>0</v>
      </c>
      <c r="G108" s="97">
        <v>0</v>
      </c>
      <c r="H108" s="97">
        <v>3493.86</v>
      </c>
      <c r="I108" s="97">
        <v>40993.550000000003</v>
      </c>
      <c r="J108" s="97">
        <v>40993.550000000003</v>
      </c>
      <c r="K108" s="97">
        <v>0</v>
      </c>
      <c r="L108" s="97">
        <v>0</v>
      </c>
    </row>
    <row r="109" spans="1:12" x14ac:dyDescent="0.35">
      <c r="A109" s="95" t="s">
        <v>507</v>
      </c>
      <c r="B109" s="96" t="s">
        <v>508</v>
      </c>
      <c r="C109" s="97">
        <v>0</v>
      </c>
      <c r="D109" s="97">
        <v>0</v>
      </c>
      <c r="E109" s="97">
        <v>0</v>
      </c>
      <c r="F109" s="97">
        <v>0</v>
      </c>
      <c r="G109" s="97">
        <v>0</v>
      </c>
      <c r="H109" s="97">
        <v>7726.27</v>
      </c>
      <c r="I109" s="97">
        <v>0</v>
      </c>
      <c r="J109" s="97">
        <v>7726.27</v>
      </c>
      <c r="K109" s="97">
        <v>0</v>
      </c>
      <c r="L109" s="97">
        <v>7726.27</v>
      </c>
    </row>
    <row r="110" spans="1:12" x14ac:dyDescent="0.35">
      <c r="A110" s="95" t="s">
        <v>509</v>
      </c>
      <c r="B110" s="96" t="s">
        <v>510</v>
      </c>
      <c r="C110" s="97">
        <v>0</v>
      </c>
      <c r="D110" s="97">
        <v>0</v>
      </c>
      <c r="E110" s="97">
        <v>0</v>
      </c>
      <c r="F110" s="97">
        <v>0</v>
      </c>
      <c r="G110" s="97">
        <v>250657.42</v>
      </c>
      <c r="H110" s="97">
        <v>250657.42</v>
      </c>
      <c r="I110" s="97">
        <v>2388145.39</v>
      </c>
      <c r="J110" s="97">
        <v>2388145.39</v>
      </c>
      <c r="K110" s="97">
        <v>0</v>
      </c>
      <c r="L110" s="97">
        <v>0</v>
      </c>
    </row>
    <row r="111" spans="1:12" x14ac:dyDescent="0.35">
      <c r="A111" s="95" t="s">
        <v>511</v>
      </c>
      <c r="B111" s="96" t="s">
        <v>512</v>
      </c>
      <c r="C111" s="97">
        <v>0</v>
      </c>
      <c r="D111" s="97">
        <v>0</v>
      </c>
      <c r="E111" s="97">
        <v>0</v>
      </c>
      <c r="F111" s="97">
        <v>0</v>
      </c>
      <c r="G111" s="97">
        <v>146129.63</v>
      </c>
      <c r="H111" s="97">
        <v>146129.63</v>
      </c>
      <c r="I111" s="97">
        <v>1552288.59</v>
      </c>
      <c r="J111" s="97">
        <v>1552288.59</v>
      </c>
      <c r="K111" s="97">
        <v>0</v>
      </c>
      <c r="L111" s="97">
        <v>0</v>
      </c>
    </row>
    <row r="112" spans="1:12" x14ac:dyDescent="0.35">
      <c r="A112" s="95" t="s">
        <v>513</v>
      </c>
      <c r="B112" s="96" t="s">
        <v>151</v>
      </c>
      <c r="C112" s="97">
        <v>0</v>
      </c>
      <c r="D112" s="97">
        <v>5000</v>
      </c>
      <c r="E112" s="97">
        <v>0</v>
      </c>
      <c r="F112" s="97">
        <v>5000</v>
      </c>
      <c r="G112" s="97">
        <v>0</v>
      </c>
      <c r="H112" s="97">
        <v>0</v>
      </c>
      <c r="I112" s="97">
        <v>0</v>
      </c>
      <c r="J112" s="97">
        <v>0</v>
      </c>
      <c r="K112" s="97">
        <v>0</v>
      </c>
      <c r="L112" s="97">
        <v>5000</v>
      </c>
    </row>
    <row r="113" spans="1:12" x14ac:dyDescent="0.35">
      <c r="A113" s="95" t="s">
        <v>514</v>
      </c>
      <c r="B113" s="96" t="s">
        <v>515</v>
      </c>
      <c r="C113" s="97">
        <v>0</v>
      </c>
      <c r="D113" s="97">
        <v>22000</v>
      </c>
      <c r="E113" s="97">
        <v>0</v>
      </c>
      <c r="F113" s="97">
        <v>22000</v>
      </c>
      <c r="G113" s="97">
        <v>0</v>
      </c>
      <c r="H113" s="97">
        <v>0</v>
      </c>
      <c r="I113" s="97">
        <v>0</v>
      </c>
      <c r="J113" s="97">
        <v>0</v>
      </c>
      <c r="K113" s="97">
        <v>0</v>
      </c>
      <c r="L113" s="97">
        <v>22000</v>
      </c>
    </row>
    <row r="114" spans="1:12" x14ac:dyDescent="0.35">
      <c r="A114" s="95" t="s">
        <v>516</v>
      </c>
      <c r="B114" s="96" t="s">
        <v>157</v>
      </c>
      <c r="C114" s="97">
        <v>0</v>
      </c>
      <c r="D114" s="97">
        <v>500</v>
      </c>
      <c r="E114" s="97">
        <v>0</v>
      </c>
      <c r="F114" s="97">
        <v>500</v>
      </c>
      <c r="G114" s="97">
        <v>0</v>
      </c>
      <c r="H114" s="97">
        <v>0</v>
      </c>
      <c r="I114" s="97">
        <v>0</v>
      </c>
      <c r="J114" s="97">
        <v>0</v>
      </c>
      <c r="K114" s="97">
        <v>0</v>
      </c>
      <c r="L114" s="97">
        <v>500</v>
      </c>
    </row>
    <row r="115" spans="1:12" x14ac:dyDescent="0.35">
      <c r="A115" s="95" t="s">
        <v>517</v>
      </c>
      <c r="B115" s="96" t="s">
        <v>518</v>
      </c>
      <c r="C115" s="97">
        <v>0</v>
      </c>
      <c r="D115" s="97">
        <v>5477.89</v>
      </c>
      <c r="E115" s="97">
        <v>0</v>
      </c>
      <c r="F115" s="97">
        <v>5477.89</v>
      </c>
      <c r="G115" s="97">
        <v>0</v>
      </c>
      <c r="H115" s="97">
        <v>0</v>
      </c>
      <c r="I115" s="97">
        <v>0</v>
      </c>
      <c r="J115" s="97">
        <v>0</v>
      </c>
      <c r="K115" s="97">
        <v>0</v>
      </c>
      <c r="L115" s="97">
        <v>5477.89</v>
      </c>
    </row>
    <row r="116" spans="1:12" x14ac:dyDescent="0.35">
      <c r="A116" s="95" t="s">
        <v>519</v>
      </c>
      <c r="B116" s="96" t="s">
        <v>520</v>
      </c>
      <c r="C116" s="97">
        <v>0</v>
      </c>
      <c r="D116" s="97">
        <v>7940.48</v>
      </c>
      <c r="E116" s="97">
        <v>0</v>
      </c>
      <c r="F116" s="97">
        <v>7940.48</v>
      </c>
      <c r="G116" s="97">
        <v>0</v>
      </c>
      <c r="H116" s="97">
        <v>0</v>
      </c>
      <c r="I116" s="97">
        <v>0</v>
      </c>
      <c r="J116" s="97">
        <v>0</v>
      </c>
      <c r="K116" s="97">
        <v>0</v>
      </c>
      <c r="L116" s="97">
        <v>7940.48</v>
      </c>
    </row>
    <row r="117" spans="1:12" x14ac:dyDescent="0.35">
      <c r="A117" s="95" t="s">
        <v>521</v>
      </c>
      <c r="B117" s="96" t="s">
        <v>522</v>
      </c>
      <c r="C117" s="97">
        <v>0</v>
      </c>
      <c r="D117" s="97">
        <v>9896.73</v>
      </c>
      <c r="E117" s="97">
        <v>0</v>
      </c>
      <c r="F117" s="97">
        <v>9896.73</v>
      </c>
      <c r="G117" s="97">
        <v>0</v>
      </c>
      <c r="H117" s="97">
        <v>0</v>
      </c>
      <c r="I117" s="97">
        <v>0</v>
      </c>
      <c r="J117" s="97">
        <v>0</v>
      </c>
      <c r="K117" s="97">
        <v>0</v>
      </c>
      <c r="L117" s="97">
        <v>9896.73</v>
      </c>
    </row>
    <row r="118" spans="1:12" x14ac:dyDescent="0.35">
      <c r="A118" s="95" t="s">
        <v>523</v>
      </c>
      <c r="B118" s="96" t="s">
        <v>524</v>
      </c>
      <c r="C118" s="97">
        <v>0</v>
      </c>
      <c r="D118" s="97">
        <v>15808.58</v>
      </c>
      <c r="E118" s="97">
        <v>0</v>
      </c>
      <c r="F118" s="97">
        <v>15808.58</v>
      </c>
      <c r="G118" s="97">
        <v>0</v>
      </c>
      <c r="H118" s="97">
        <v>0</v>
      </c>
      <c r="I118" s="97">
        <v>0</v>
      </c>
      <c r="J118" s="97">
        <v>0</v>
      </c>
      <c r="K118" s="97">
        <v>0</v>
      </c>
      <c r="L118" s="97">
        <v>15808.58</v>
      </c>
    </row>
    <row r="119" spans="1:12" x14ac:dyDescent="0.35">
      <c r="A119" s="95" t="s">
        <v>525</v>
      </c>
      <c r="B119" s="96" t="s">
        <v>526</v>
      </c>
      <c r="C119" s="97">
        <v>0</v>
      </c>
      <c r="D119" s="97">
        <v>46542.559999999998</v>
      </c>
      <c r="E119" s="97">
        <v>0</v>
      </c>
      <c r="F119" s="97">
        <v>46542.559999999998</v>
      </c>
      <c r="G119" s="97">
        <v>0</v>
      </c>
      <c r="H119" s="97">
        <v>0</v>
      </c>
      <c r="I119" s="97">
        <v>0</v>
      </c>
      <c r="J119" s="97">
        <v>0</v>
      </c>
      <c r="K119" s="97">
        <v>0</v>
      </c>
      <c r="L119" s="97">
        <v>46542.559999999998</v>
      </c>
    </row>
    <row r="120" spans="1:12" x14ac:dyDescent="0.35">
      <c r="A120" s="95" t="s">
        <v>527</v>
      </c>
      <c r="B120" s="96" t="s">
        <v>528</v>
      </c>
      <c r="C120" s="97">
        <v>0</v>
      </c>
      <c r="D120" s="97">
        <v>0</v>
      </c>
      <c r="E120" s="97">
        <v>0</v>
      </c>
      <c r="F120" s="97">
        <v>28557.38</v>
      </c>
      <c r="G120" s="97">
        <v>0</v>
      </c>
      <c r="H120" s="97">
        <v>0</v>
      </c>
      <c r="I120" s="97">
        <v>0</v>
      </c>
      <c r="J120" s="97">
        <v>28557.38</v>
      </c>
      <c r="K120" s="97">
        <v>0</v>
      </c>
      <c r="L120" s="97">
        <v>28557.38</v>
      </c>
    </row>
    <row r="121" spans="1:12" x14ac:dyDescent="0.35">
      <c r="A121" s="95" t="s">
        <v>529</v>
      </c>
      <c r="B121" s="96" t="s">
        <v>530</v>
      </c>
      <c r="C121" s="97">
        <v>0</v>
      </c>
      <c r="D121" s="97">
        <v>28557.38</v>
      </c>
      <c r="E121" s="97">
        <v>0</v>
      </c>
      <c r="F121" s="97">
        <v>0</v>
      </c>
      <c r="G121" s="97">
        <v>0</v>
      </c>
      <c r="H121" s="97">
        <v>0</v>
      </c>
      <c r="I121" s="97">
        <v>28557.38</v>
      </c>
      <c r="J121" s="97">
        <v>0</v>
      </c>
      <c r="K121" s="97">
        <v>0</v>
      </c>
      <c r="L121" s="97">
        <v>0</v>
      </c>
    </row>
    <row r="122" spans="1:12" x14ac:dyDescent="0.35">
      <c r="A122" s="95" t="s">
        <v>531</v>
      </c>
      <c r="B122" s="96" t="s">
        <v>532</v>
      </c>
      <c r="C122" s="97">
        <v>0</v>
      </c>
      <c r="D122" s="97">
        <v>7552.52</v>
      </c>
      <c r="E122" s="97">
        <v>0</v>
      </c>
      <c r="F122" s="97">
        <v>8369.67</v>
      </c>
      <c r="G122" s="97">
        <v>0</v>
      </c>
      <c r="H122" s="97">
        <v>178.86</v>
      </c>
      <c r="I122" s="97">
        <v>0</v>
      </c>
      <c r="J122" s="97">
        <v>996.01</v>
      </c>
      <c r="K122" s="97">
        <v>0</v>
      </c>
      <c r="L122" s="97">
        <v>8548.5300000000007</v>
      </c>
    </row>
    <row r="123" spans="1:12" x14ac:dyDescent="0.35">
      <c r="A123" s="95" t="s">
        <v>533</v>
      </c>
      <c r="B123" s="96" t="s">
        <v>534</v>
      </c>
      <c r="C123" s="97">
        <v>0</v>
      </c>
      <c r="D123" s="97">
        <v>-3872.98</v>
      </c>
      <c r="E123" s="97">
        <v>0</v>
      </c>
      <c r="F123" s="97">
        <v>-3994.66</v>
      </c>
      <c r="G123" s="97">
        <v>1930.54</v>
      </c>
      <c r="H123" s="97">
        <v>0</v>
      </c>
      <c r="I123" s="97">
        <v>2052.2199999999998</v>
      </c>
      <c r="J123" s="97">
        <v>0</v>
      </c>
      <c r="K123" s="97">
        <v>0</v>
      </c>
      <c r="L123" s="97">
        <v>-5925.2</v>
      </c>
    </row>
    <row r="124" spans="1:12" x14ac:dyDescent="0.35">
      <c r="A124" s="95" t="s">
        <v>535</v>
      </c>
      <c r="B124" s="96" t="s">
        <v>536</v>
      </c>
      <c r="C124" s="97">
        <v>0</v>
      </c>
      <c r="D124" s="97">
        <v>-1990.84</v>
      </c>
      <c r="E124" s="97">
        <v>0</v>
      </c>
      <c r="F124" s="97">
        <v>-1990.84</v>
      </c>
      <c r="G124" s="97">
        <v>0</v>
      </c>
      <c r="H124" s="97">
        <v>0</v>
      </c>
      <c r="I124" s="97">
        <v>0</v>
      </c>
      <c r="J124" s="97">
        <v>0</v>
      </c>
      <c r="K124" s="97">
        <v>0</v>
      </c>
      <c r="L124" s="97">
        <v>-1990.84</v>
      </c>
    </row>
    <row r="125" spans="1:12" x14ac:dyDescent="0.35">
      <c r="A125" s="98" t="s">
        <v>537</v>
      </c>
      <c r="B125" s="99" t="s">
        <v>538</v>
      </c>
      <c r="C125" s="100">
        <v>0</v>
      </c>
      <c r="D125" s="100">
        <v>-3244.2</v>
      </c>
      <c r="E125" s="100">
        <v>0</v>
      </c>
      <c r="F125" s="100">
        <v>-3244.2</v>
      </c>
      <c r="G125" s="100">
        <v>-117.06</v>
      </c>
      <c r="H125" s="100">
        <v>0</v>
      </c>
      <c r="I125" s="100">
        <v>-117.06</v>
      </c>
      <c r="J125" s="100">
        <v>0</v>
      </c>
      <c r="K125" s="100">
        <v>0</v>
      </c>
      <c r="L125" s="100">
        <v>-3127.14</v>
      </c>
    </row>
    <row r="126" spans="1:12" x14ac:dyDescent="0.35">
      <c r="A126" s="98" t="s">
        <v>539</v>
      </c>
      <c r="B126" s="99" t="s">
        <v>540</v>
      </c>
      <c r="C126" s="100">
        <v>0</v>
      </c>
      <c r="D126" s="100">
        <v>0</v>
      </c>
      <c r="E126" s="100">
        <v>719</v>
      </c>
      <c r="F126" s="100">
        <v>0</v>
      </c>
      <c r="G126" s="100">
        <v>18.309999999999999</v>
      </c>
      <c r="H126" s="100">
        <v>0</v>
      </c>
      <c r="I126" s="100">
        <v>737.31</v>
      </c>
      <c r="J126" s="100">
        <v>0</v>
      </c>
      <c r="K126" s="100">
        <v>737.31</v>
      </c>
      <c r="L126" s="100">
        <v>0</v>
      </c>
    </row>
    <row r="127" spans="1:12" x14ac:dyDescent="0.35">
      <c r="A127" s="98" t="s">
        <v>541</v>
      </c>
      <c r="B127" s="99" t="s">
        <v>542</v>
      </c>
      <c r="C127" s="100">
        <v>0</v>
      </c>
      <c r="D127" s="100">
        <v>0</v>
      </c>
      <c r="E127" s="100">
        <v>293</v>
      </c>
      <c r="F127" s="100">
        <v>0</v>
      </c>
      <c r="G127" s="100">
        <v>15.5</v>
      </c>
      <c r="H127" s="100">
        <v>0</v>
      </c>
      <c r="I127" s="100">
        <v>308.5</v>
      </c>
      <c r="J127" s="100">
        <v>0</v>
      </c>
      <c r="K127" s="100">
        <v>308.5</v>
      </c>
      <c r="L127" s="100">
        <v>0</v>
      </c>
    </row>
    <row r="128" spans="1:12" x14ac:dyDescent="0.35">
      <c r="A128" s="98" t="s">
        <v>543</v>
      </c>
      <c r="B128" s="99" t="s">
        <v>544</v>
      </c>
      <c r="C128" s="100">
        <v>0</v>
      </c>
      <c r="D128" s="100">
        <v>0</v>
      </c>
      <c r="E128" s="100">
        <v>435.95</v>
      </c>
      <c r="F128" s="100">
        <v>0</v>
      </c>
      <c r="G128" s="100">
        <v>195</v>
      </c>
      <c r="H128" s="100">
        <v>0</v>
      </c>
      <c r="I128" s="100">
        <v>630.95000000000005</v>
      </c>
      <c r="J128" s="100">
        <v>0</v>
      </c>
      <c r="K128" s="100">
        <v>630.95000000000005</v>
      </c>
      <c r="L128" s="100">
        <v>0</v>
      </c>
    </row>
    <row r="129" spans="1:12" x14ac:dyDescent="0.35">
      <c r="A129" s="98" t="s">
        <v>545</v>
      </c>
      <c r="B129" s="99" t="s">
        <v>546</v>
      </c>
      <c r="C129" s="100">
        <v>0</v>
      </c>
      <c r="D129" s="100">
        <v>0</v>
      </c>
      <c r="E129" s="100">
        <v>0</v>
      </c>
      <c r="F129" s="100">
        <v>0</v>
      </c>
      <c r="G129" s="100">
        <v>78.75</v>
      </c>
      <c r="H129" s="100">
        <v>0</v>
      </c>
      <c r="I129" s="100">
        <v>78.75</v>
      </c>
      <c r="J129" s="100">
        <v>0</v>
      </c>
      <c r="K129" s="100">
        <v>78.75</v>
      </c>
      <c r="L129" s="100">
        <v>0</v>
      </c>
    </row>
    <row r="130" spans="1:12" x14ac:dyDescent="0.35">
      <c r="A130" s="98" t="s">
        <v>547</v>
      </c>
      <c r="B130" s="99" t="s">
        <v>548</v>
      </c>
      <c r="C130" s="100">
        <v>0</v>
      </c>
      <c r="D130" s="100">
        <v>0</v>
      </c>
      <c r="E130" s="100">
        <v>552.55999999999995</v>
      </c>
      <c r="F130" s="100">
        <v>0</v>
      </c>
      <c r="G130" s="100">
        <v>68.930000000000007</v>
      </c>
      <c r="H130" s="100">
        <v>0</v>
      </c>
      <c r="I130" s="100">
        <v>621.49</v>
      </c>
      <c r="J130" s="100">
        <v>0</v>
      </c>
      <c r="K130" s="100">
        <v>621.49</v>
      </c>
      <c r="L130" s="100">
        <v>0</v>
      </c>
    </row>
    <row r="131" spans="1:12" x14ac:dyDescent="0.35">
      <c r="A131" s="98" t="s">
        <v>549</v>
      </c>
      <c r="B131" s="99" t="s">
        <v>550</v>
      </c>
      <c r="C131" s="100">
        <v>0</v>
      </c>
      <c r="D131" s="100">
        <v>0</v>
      </c>
      <c r="E131" s="100">
        <v>0</v>
      </c>
      <c r="F131" s="100">
        <v>0</v>
      </c>
      <c r="G131" s="100">
        <v>0</v>
      </c>
      <c r="H131" s="100">
        <v>0</v>
      </c>
      <c r="I131" s="100">
        <v>0</v>
      </c>
      <c r="J131" s="100">
        <v>0</v>
      </c>
      <c r="K131" s="100">
        <v>0</v>
      </c>
      <c r="L131" s="100">
        <v>0</v>
      </c>
    </row>
    <row r="132" spans="1:12" x14ac:dyDescent="0.35">
      <c r="A132" s="98" t="s">
        <v>551</v>
      </c>
      <c r="B132" s="99" t="s">
        <v>552</v>
      </c>
      <c r="C132" s="100">
        <v>0</v>
      </c>
      <c r="D132" s="100">
        <v>0</v>
      </c>
      <c r="E132" s="100">
        <v>259.27999999999997</v>
      </c>
      <c r="F132" s="100">
        <v>0</v>
      </c>
      <c r="G132" s="100">
        <v>0</v>
      </c>
      <c r="H132" s="100">
        <v>0</v>
      </c>
      <c r="I132" s="100">
        <v>259.27999999999997</v>
      </c>
      <c r="J132" s="100">
        <v>0</v>
      </c>
      <c r="K132" s="100">
        <v>259.27999999999997</v>
      </c>
      <c r="L132" s="100">
        <v>0</v>
      </c>
    </row>
    <row r="133" spans="1:12" x14ac:dyDescent="0.35">
      <c r="A133" s="98" t="s">
        <v>553</v>
      </c>
      <c r="B133" s="99" t="s">
        <v>554</v>
      </c>
      <c r="C133" s="100">
        <v>0</v>
      </c>
      <c r="D133" s="100">
        <v>0</v>
      </c>
      <c r="E133" s="100">
        <v>7.12</v>
      </c>
      <c r="F133" s="100">
        <v>0</v>
      </c>
      <c r="G133" s="100">
        <v>0</v>
      </c>
      <c r="H133" s="100">
        <v>0</v>
      </c>
      <c r="I133" s="100">
        <v>7.12</v>
      </c>
      <c r="J133" s="100">
        <v>0</v>
      </c>
      <c r="K133" s="100">
        <v>7.12</v>
      </c>
      <c r="L133" s="100">
        <v>0</v>
      </c>
    </row>
    <row r="134" spans="1:12" x14ac:dyDescent="0.35">
      <c r="A134" s="98" t="s">
        <v>555</v>
      </c>
      <c r="B134" s="99" t="s">
        <v>556</v>
      </c>
      <c r="C134" s="100">
        <v>0</v>
      </c>
      <c r="D134" s="100">
        <v>0</v>
      </c>
      <c r="E134" s="100">
        <v>489.66</v>
      </c>
      <c r="F134" s="100">
        <v>0</v>
      </c>
      <c r="G134" s="100">
        <v>-1.6</v>
      </c>
      <c r="H134" s="100">
        <v>0</v>
      </c>
      <c r="I134" s="100">
        <v>488.06</v>
      </c>
      <c r="J134" s="100">
        <v>0</v>
      </c>
      <c r="K134" s="100">
        <v>488.06</v>
      </c>
      <c r="L134" s="100">
        <v>0</v>
      </c>
    </row>
    <row r="135" spans="1:12" x14ac:dyDescent="0.35">
      <c r="A135" s="98" t="s">
        <v>557</v>
      </c>
      <c r="B135" s="99" t="s">
        <v>558</v>
      </c>
      <c r="C135" s="100">
        <v>0</v>
      </c>
      <c r="D135" s="100">
        <v>0</v>
      </c>
      <c r="E135" s="100">
        <v>356.41</v>
      </c>
      <c r="F135" s="100">
        <v>0</v>
      </c>
      <c r="G135" s="100">
        <v>69.77</v>
      </c>
      <c r="H135" s="100">
        <v>0</v>
      </c>
      <c r="I135" s="100">
        <v>426.18</v>
      </c>
      <c r="J135" s="100">
        <v>0</v>
      </c>
      <c r="K135" s="100">
        <v>426.18</v>
      </c>
      <c r="L135" s="100">
        <v>0</v>
      </c>
    </row>
    <row r="136" spans="1:12" x14ac:dyDescent="0.35">
      <c r="A136" s="98" t="s">
        <v>559</v>
      </c>
      <c r="B136" s="99" t="s">
        <v>560</v>
      </c>
      <c r="C136" s="100">
        <v>0</v>
      </c>
      <c r="D136" s="100">
        <v>0</v>
      </c>
      <c r="E136" s="100">
        <v>3848.19</v>
      </c>
      <c r="F136" s="100">
        <v>0</v>
      </c>
      <c r="G136" s="100">
        <v>-395.73</v>
      </c>
      <c r="H136" s="100">
        <v>0</v>
      </c>
      <c r="I136" s="100">
        <v>3452.46</v>
      </c>
      <c r="J136" s="100">
        <v>0</v>
      </c>
      <c r="K136" s="100">
        <v>3452.46</v>
      </c>
      <c r="L136" s="100">
        <v>0</v>
      </c>
    </row>
    <row r="137" spans="1:12" x14ac:dyDescent="0.35">
      <c r="A137" s="98" t="s">
        <v>561</v>
      </c>
      <c r="B137" s="99" t="s">
        <v>562</v>
      </c>
      <c r="C137" s="100">
        <v>0</v>
      </c>
      <c r="D137" s="100">
        <v>0</v>
      </c>
      <c r="E137" s="100">
        <v>168.17</v>
      </c>
      <c r="F137" s="100">
        <v>0</v>
      </c>
      <c r="G137" s="100">
        <v>16.82</v>
      </c>
      <c r="H137" s="100">
        <v>0</v>
      </c>
      <c r="I137" s="100">
        <v>184.99</v>
      </c>
      <c r="J137" s="100">
        <v>0</v>
      </c>
      <c r="K137" s="100">
        <v>184.99</v>
      </c>
      <c r="L137" s="100">
        <v>0</v>
      </c>
    </row>
    <row r="138" spans="1:12" x14ac:dyDescent="0.35">
      <c r="A138" s="98" t="s">
        <v>563</v>
      </c>
      <c r="B138" s="99" t="s">
        <v>564</v>
      </c>
      <c r="C138" s="100">
        <v>0</v>
      </c>
      <c r="D138" s="100">
        <v>0</v>
      </c>
      <c r="E138" s="100">
        <v>826371.31</v>
      </c>
      <c r="F138" s="100">
        <v>0</v>
      </c>
      <c r="G138" s="100">
        <v>81583.89</v>
      </c>
      <c r="H138" s="100">
        <v>25.64</v>
      </c>
      <c r="I138" s="100">
        <v>909401.51</v>
      </c>
      <c r="J138" s="100">
        <v>1471.95</v>
      </c>
      <c r="K138" s="100">
        <v>907929.56</v>
      </c>
      <c r="L138" s="100">
        <v>0</v>
      </c>
    </row>
    <row r="139" spans="1:12" x14ac:dyDescent="0.35">
      <c r="A139" s="98" t="s">
        <v>565</v>
      </c>
      <c r="B139" s="99" t="s">
        <v>566</v>
      </c>
      <c r="C139" s="100">
        <v>0</v>
      </c>
      <c r="D139" s="100">
        <v>0</v>
      </c>
      <c r="E139" s="100">
        <v>579878.56000000006</v>
      </c>
      <c r="F139" s="100">
        <v>0</v>
      </c>
      <c r="G139" s="100">
        <v>76353.83</v>
      </c>
      <c r="H139" s="100">
        <v>0</v>
      </c>
      <c r="I139" s="100">
        <v>656232.39</v>
      </c>
      <c r="J139" s="100">
        <v>0</v>
      </c>
      <c r="K139" s="100">
        <v>656232.39</v>
      </c>
      <c r="L139" s="100">
        <v>0</v>
      </c>
    </row>
    <row r="140" spans="1:12" x14ac:dyDescent="0.35">
      <c r="A140" s="98" t="s">
        <v>567</v>
      </c>
      <c r="B140" s="99" t="s">
        <v>568</v>
      </c>
      <c r="C140" s="100">
        <v>0</v>
      </c>
      <c r="D140" s="100">
        <v>0</v>
      </c>
      <c r="E140" s="100">
        <v>127939.49</v>
      </c>
      <c r="F140" s="100">
        <v>0</v>
      </c>
      <c r="G140" s="100">
        <v>17978</v>
      </c>
      <c r="H140" s="100">
        <v>0</v>
      </c>
      <c r="I140" s="100">
        <v>145917.49</v>
      </c>
      <c r="J140" s="100">
        <v>0</v>
      </c>
      <c r="K140" s="100">
        <v>145917.49</v>
      </c>
      <c r="L140" s="100">
        <v>0</v>
      </c>
    </row>
    <row r="141" spans="1:12" x14ac:dyDescent="0.35">
      <c r="A141" s="98" t="s">
        <v>569</v>
      </c>
      <c r="B141" s="99" t="s">
        <v>570</v>
      </c>
      <c r="C141" s="100">
        <v>0</v>
      </c>
      <c r="D141" s="100">
        <v>0</v>
      </c>
      <c r="E141" s="100">
        <v>14820.83</v>
      </c>
      <c r="F141" s="100">
        <v>0</v>
      </c>
      <c r="G141" s="100">
        <v>2732.23</v>
      </c>
      <c r="H141" s="100">
        <v>0</v>
      </c>
      <c r="I141" s="100">
        <v>17553.060000000001</v>
      </c>
      <c r="J141" s="100">
        <v>0</v>
      </c>
      <c r="K141" s="100">
        <v>17553.060000000001</v>
      </c>
      <c r="L141" s="100">
        <v>0</v>
      </c>
    </row>
    <row r="142" spans="1:12" x14ac:dyDescent="0.35">
      <c r="A142" s="98" t="s">
        <v>571</v>
      </c>
      <c r="B142" s="99" t="s">
        <v>572</v>
      </c>
      <c r="C142" s="100">
        <v>0</v>
      </c>
      <c r="D142" s="100">
        <v>0</v>
      </c>
      <c r="E142" s="100">
        <v>1142.18</v>
      </c>
      <c r="F142" s="100">
        <v>0</v>
      </c>
      <c r="G142" s="100">
        <v>340.91</v>
      </c>
      <c r="H142" s="100">
        <v>0</v>
      </c>
      <c r="I142" s="100">
        <v>1483.09</v>
      </c>
      <c r="J142" s="100">
        <v>0</v>
      </c>
      <c r="K142" s="100">
        <v>1483.09</v>
      </c>
      <c r="L142" s="100">
        <v>0</v>
      </c>
    </row>
    <row r="143" spans="1:12" x14ac:dyDescent="0.35">
      <c r="A143" s="98" t="s">
        <v>573</v>
      </c>
      <c r="B143" s="99" t="s">
        <v>574</v>
      </c>
      <c r="C143" s="100">
        <v>0</v>
      </c>
      <c r="D143" s="100">
        <v>0</v>
      </c>
      <c r="E143" s="100">
        <v>5665.53</v>
      </c>
      <c r="F143" s="100">
        <v>0</v>
      </c>
      <c r="G143" s="100">
        <v>202.66</v>
      </c>
      <c r="H143" s="100">
        <v>0</v>
      </c>
      <c r="I143" s="100">
        <v>5868.19</v>
      </c>
      <c r="J143" s="100">
        <v>0</v>
      </c>
      <c r="K143" s="100">
        <v>5868.19</v>
      </c>
      <c r="L143" s="100">
        <v>0</v>
      </c>
    </row>
    <row r="144" spans="1:12" x14ac:dyDescent="0.35">
      <c r="A144" s="98" t="s">
        <v>575</v>
      </c>
      <c r="B144" s="99" t="s">
        <v>576</v>
      </c>
      <c r="C144" s="100">
        <v>0</v>
      </c>
      <c r="D144" s="100">
        <v>0</v>
      </c>
      <c r="E144" s="100">
        <v>4963.6000000000004</v>
      </c>
      <c r="F144" s="100">
        <v>0</v>
      </c>
      <c r="G144" s="100">
        <v>384.03</v>
      </c>
      <c r="H144" s="100">
        <v>0</v>
      </c>
      <c r="I144" s="100">
        <v>5347.63</v>
      </c>
      <c r="J144" s="100">
        <v>0</v>
      </c>
      <c r="K144" s="100">
        <v>5347.63</v>
      </c>
      <c r="L144" s="100">
        <v>0</v>
      </c>
    </row>
    <row r="145" spans="1:12" x14ac:dyDescent="0.35">
      <c r="A145" s="98" t="s">
        <v>577</v>
      </c>
      <c r="B145" s="99" t="s">
        <v>578</v>
      </c>
      <c r="C145" s="100">
        <v>0</v>
      </c>
      <c r="D145" s="100">
        <v>0</v>
      </c>
      <c r="E145" s="100">
        <v>33.15</v>
      </c>
      <c r="F145" s="100">
        <v>0</v>
      </c>
      <c r="G145" s="100">
        <v>4.6500000000000004</v>
      </c>
      <c r="H145" s="100">
        <v>0</v>
      </c>
      <c r="I145" s="100">
        <v>37.799999999999997</v>
      </c>
      <c r="J145" s="100">
        <v>0</v>
      </c>
      <c r="K145" s="100">
        <v>37.799999999999997</v>
      </c>
      <c r="L145" s="100">
        <v>0</v>
      </c>
    </row>
    <row r="146" spans="1:12" x14ac:dyDescent="0.35">
      <c r="A146" s="98" t="s">
        <v>579</v>
      </c>
      <c r="B146" s="99" t="s">
        <v>580</v>
      </c>
      <c r="C146" s="100">
        <v>0</v>
      </c>
      <c r="D146" s="100">
        <v>0</v>
      </c>
      <c r="E146" s="100">
        <v>-4.04</v>
      </c>
      <c r="F146" s="100">
        <v>0</v>
      </c>
      <c r="G146" s="100">
        <v>0</v>
      </c>
      <c r="H146" s="100">
        <v>0</v>
      </c>
      <c r="I146" s="100">
        <v>-4.04</v>
      </c>
      <c r="J146" s="100">
        <v>0</v>
      </c>
      <c r="K146" s="100">
        <v>-4.04</v>
      </c>
      <c r="L146" s="100">
        <v>0</v>
      </c>
    </row>
    <row r="147" spans="1:12" x14ac:dyDescent="0.35">
      <c r="A147" s="98" t="s">
        <v>581</v>
      </c>
      <c r="B147" s="99" t="s">
        <v>582</v>
      </c>
      <c r="C147" s="100">
        <v>0</v>
      </c>
      <c r="D147" s="100">
        <v>0</v>
      </c>
      <c r="E147" s="100">
        <v>-19814.52</v>
      </c>
      <c r="F147" s="100">
        <v>0</v>
      </c>
      <c r="G147" s="100">
        <v>-1682.1</v>
      </c>
      <c r="H147" s="100">
        <v>0</v>
      </c>
      <c r="I147" s="100">
        <v>-21496.62</v>
      </c>
      <c r="J147" s="100">
        <v>0</v>
      </c>
      <c r="K147" s="100">
        <v>-21496.62</v>
      </c>
      <c r="L147" s="100">
        <v>0</v>
      </c>
    </row>
    <row r="148" spans="1:12" x14ac:dyDescent="0.35">
      <c r="A148" s="98" t="s">
        <v>583</v>
      </c>
      <c r="B148" s="99" t="s">
        <v>584</v>
      </c>
      <c r="C148" s="100">
        <v>0</v>
      </c>
      <c r="D148" s="100">
        <v>0</v>
      </c>
      <c r="E148" s="100">
        <v>-12515.9</v>
      </c>
      <c r="F148" s="100">
        <v>0</v>
      </c>
      <c r="G148" s="100">
        <v>-1350.87</v>
      </c>
      <c r="H148" s="100">
        <v>0</v>
      </c>
      <c r="I148" s="100">
        <v>-13866.77</v>
      </c>
      <c r="J148" s="100">
        <v>0</v>
      </c>
      <c r="K148" s="100">
        <v>-13866.77</v>
      </c>
      <c r="L148" s="100">
        <v>0</v>
      </c>
    </row>
    <row r="149" spans="1:12" x14ac:dyDescent="0.35">
      <c r="A149" s="98" t="s">
        <v>585</v>
      </c>
      <c r="B149" s="99" t="s">
        <v>586</v>
      </c>
      <c r="C149" s="100">
        <v>0</v>
      </c>
      <c r="D149" s="100">
        <v>0</v>
      </c>
      <c r="E149" s="100">
        <v>-11716.23</v>
      </c>
      <c r="F149" s="100">
        <v>0</v>
      </c>
      <c r="G149" s="100">
        <v>-1155.3499999999999</v>
      </c>
      <c r="H149" s="100">
        <v>0</v>
      </c>
      <c r="I149" s="100">
        <v>-12871.58</v>
      </c>
      <c r="J149" s="100">
        <v>0</v>
      </c>
      <c r="K149" s="100">
        <v>-12871.58</v>
      </c>
      <c r="L149" s="100">
        <v>0</v>
      </c>
    </row>
    <row r="150" spans="1:12" x14ac:dyDescent="0.35">
      <c r="A150" s="98" t="s">
        <v>587</v>
      </c>
      <c r="B150" s="99" t="s">
        <v>588</v>
      </c>
      <c r="C150" s="100">
        <v>0</v>
      </c>
      <c r="D150" s="100">
        <v>0</v>
      </c>
      <c r="E150" s="100">
        <v>-9186.41</v>
      </c>
      <c r="F150" s="100">
        <v>0</v>
      </c>
      <c r="G150" s="100">
        <v>-1517.52</v>
      </c>
      <c r="H150" s="100">
        <v>0</v>
      </c>
      <c r="I150" s="100">
        <v>-10703.93</v>
      </c>
      <c r="J150" s="100">
        <v>0</v>
      </c>
      <c r="K150" s="100">
        <v>-10703.93</v>
      </c>
      <c r="L150" s="100">
        <v>0</v>
      </c>
    </row>
    <row r="151" spans="1:12" x14ac:dyDescent="0.35">
      <c r="A151" s="98" t="s">
        <v>589</v>
      </c>
      <c r="B151" s="99" t="s">
        <v>590</v>
      </c>
      <c r="C151" s="100">
        <v>0</v>
      </c>
      <c r="D151" s="100">
        <v>0</v>
      </c>
      <c r="E151" s="100">
        <v>0</v>
      </c>
      <c r="F151" s="100">
        <v>0</v>
      </c>
      <c r="G151" s="100">
        <v>10.18</v>
      </c>
      <c r="H151" s="100">
        <v>0</v>
      </c>
      <c r="I151" s="100">
        <v>10.18</v>
      </c>
      <c r="J151" s="100">
        <v>0</v>
      </c>
      <c r="K151" s="100">
        <v>10.18</v>
      </c>
      <c r="L151" s="100">
        <v>0</v>
      </c>
    </row>
    <row r="152" spans="1:12" x14ac:dyDescent="0.35">
      <c r="A152" s="98" t="s">
        <v>591</v>
      </c>
      <c r="B152" s="99" t="s">
        <v>592</v>
      </c>
      <c r="C152" s="100">
        <v>0</v>
      </c>
      <c r="D152" s="100">
        <v>0</v>
      </c>
      <c r="E152" s="100">
        <v>0</v>
      </c>
      <c r="F152" s="100">
        <v>0</v>
      </c>
      <c r="G152" s="100">
        <v>0</v>
      </c>
      <c r="H152" s="100">
        <v>0</v>
      </c>
      <c r="I152" s="100">
        <v>0</v>
      </c>
      <c r="J152" s="100">
        <v>0</v>
      </c>
      <c r="K152" s="100">
        <v>0</v>
      </c>
      <c r="L152" s="100">
        <v>0</v>
      </c>
    </row>
    <row r="153" spans="1:12" x14ac:dyDescent="0.35">
      <c r="A153" s="98" t="s">
        <v>593</v>
      </c>
      <c r="B153" s="99" t="s">
        <v>594</v>
      </c>
      <c r="C153" s="100">
        <v>0</v>
      </c>
      <c r="D153" s="100">
        <v>0</v>
      </c>
      <c r="E153" s="100">
        <v>-2636.92</v>
      </c>
      <c r="F153" s="100">
        <v>0</v>
      </c>
      <c r="G153" s="100">
        <v>-537.15</v>
      </c>
      <c r="H153" s="100">
        <v>0</v>
      </c>
      <c r="I153" s="100">
        <v>-3174.07</v>
      </c>
      <c r="J153" s="100">
        <v>0</v>
      </c>
      <c r="K153" s="100">
        <v>-3174.07</v>
      </c>
      <c r="L153" s="100">
        <v>0</v>
      </c>
    </row>
    <row r="154" spans="1:12" x14ac:dyDescent="0.35">
      <c r="A154" s="98" t="s">
        <v>595</v>
      </c>
      <c r="B154" s="99" t="s">
        <v>596</v>
      </c>
      <c r="C154" s="100">
        <v>0</v>
      </c>
      <c r="D154" s="100">
        <v>0</v>
      </c>
      <c r="E154" s="100">
        <v>-1372.89</v>
      </c>
      <c r="F154" s="100">
        <v>0</v>
      </c>
      <c r="G154" s="100">
        <v>-234.2</v>
      </c>
      <c r="H154" s="100">
        <v>0</v>
      </c>
      <c r="I154" s="100">
        <v>-1607.09</v>
      </c>
      <c r="J154" s="100">
        <v>0</v>
      </c>
      <c r="K154" s="100">
        <v>-1607.09</v>
      </c>
      <c r="L154" s="100">
        <v>0</v>
      </c>
    </row>
    <row r="155" spans="1:12" x14ac:dyDescent="0.35">
      <c r="A155" s="98" t="s">
        <v>597</v>
      </c>
      <c r="B155" s="99" t="s">
        <v>598</v>
      </c>
      <c r="C155" s="100">
        <v>0</v>
      </c>
      <c r="D155" s="100">
        <v>0</v>
      </c>
      <c r="E155" s="100">
        <v>-2649.92</v>
      </c>
      <c r="F155" s="100">
        <v>0</v>
      </c>
      <c r="G155" s="100">
        <v>252.24</v>
      </c>
      <c r="H155" s="100">
        <v>0</v>
      </c>
      <c r="I155" s="100">
        <v>-2397.6799999999998</v>
      </c>
      <c r="J155" s="100">
        <v>0</v>
      </c>
      <c r="K155" s="100">
        <v>-2397.6799999999998</v>
      </c>
      <c r="L155" s="100">
        <v>0</v>
      </c>
    </row>
    <row r="156" spans="1:12" x14ac:dyDescent="0.35">
      <c r="A156" s="98" t="s">
        <v>599</v>
      </c>
      <c r="B156" s="99" t="s">
        <v>600</v>
      </c>
      <c r="C156" s="100">
        <v>0</v>
      </c>
      <c r="D156" s="100">
        <v>0</v>
      </c>
      <c r="E156" s="100">
        <v>-1477.01</v>
      </c>
      <c r="F156" s="100">
        <v>0</v>
      </c>
      <c r="G156" s="100">
        <v>103.86</v>
      </c>
      <c r="H156" s="100">
        <v>0</v>
      </c>
      <c r="I156" s="100">
        <v>-1373.15</v>
      </c>
      <c r="J156" s="100">
        <v>0</v>
      </c>
      <c r="K156" s="100">
        <v>-1373.15</v>
      </c>
      <c r="L156" s="100">
        <v>0</v>
      </c>
    </row>
    <row r="157" spans="1:12" x14ac:dyDescent="0.35">
      <c r="A157" s="98" t="s">
        <v>601</v>
      </c>
      <c r="B157" s="99" t="s">
        <v>602</v>
      </c>
      <c r="C157" s="100">
        <v>0</v>
      </c>
      <c r="D157" s="100">
        <v>0</v>
      </c>
      <c r="E157" s="100">
        <v>0</v>
      </c>
      <c r="F157" s="100">
        <v>0</v>
      </c>
      <c r="G157" s="100">
        <v>0</v>
      </c>
      <c r="H157" s="100">
        <v>0</v>
      </c>
      <c r="I157" s="100">
        <v>0</v>
      </c>
      <c r="J157" s="100">
        <v>0</v>
      </c>
      <c r="K157" s="100">
        <v>0</v>
      </c>
      <c r="L157" s="100">
        <v>0</v>
      </c>
    </row>
    <row r="158" spans="1:12" x14ac:dyDescent="0.35">
      <c r="A158" s="98" t="s">
        <v>603</v>
      </c>
      <c r="B158" s="99" t="s">
        <v>604</v>
      </c>
      <c r="C158" s="100">
        <v>0</v>
      </c>
      <c r="D158" s="100">
        <v>0</v>
      </c>
      <c r="E158" s="100">
        <v>-915.77</v>
      </c>
      <c r="F158" s="100">
        <v>0</v>
      </c>
      <c r="G158" s="100">
        <v>-501.43</v>
      </c>
      <c r="H158" s="100">
        <v>0</v>
      </c>
      <c r="I158" s="100">
        <v>-1417.2</v>
      </c>
      <c r="J158" s="100">
        <v>0</v>
      </c>
      <c r="K158" s="100">
        <v>-1417.2</v>
      </c>
      <c r="L158" s="100">
        <v>0</v>
      </c>
    </row>
    <row r="159" spans="1:12" x14ac:dyDescent="0.35">
      <c r="A159" s="98" t="s">
        <v>605</v>
      </c>
      <c r="B159" s="99" t="s">
        <v>606</v>
      </c>
      <c r="C159" s="100">
        <v>0</v>
      </c>
      <c r="D159" s="100">
        <v>0</v>
      </c>
      <c r="E159" s="100">
        <v>-95242.66</v>
      </c>
      <c r="F159" s="100">
        <v>0</v>
      </c>
      <c r="G159" s="100">
        <v>-3183.1</v>
      </c>
      <c r="H159" s="100">
        <v>0</v>
      </c>
      <c r="I159" s="100">
        <v>-98424.02</v>
      </c>
      <c r="J159" s="100">
        <v>1.74</v>
      </c>
      <c r="K159" s="100">
        <v>-98425.76</v>
      </c>
      <c r="L159" s="100">
        <v>0</v>
      </c>
    </row>
    <row r="160" spans="1:12" x14ac:dyDescent="0.35">
      <c r="A160" s="98" t="s">
        <v>607</v>
      </c>
      <c r="B160" s="99" t="s">
        <v>608</v>
      </c>
      <c r="C160" s="100">
        <v>0</v>
      </c>
      <c r="D160" s="100">
        <v>0</v>
      </c>
      <c r="E160" s="100">
        <v>-24628.15</v>
      </c>
      <c r="F160" s="100">
        <v>0</v>
      </c>
      <c r="G160" s="100">
        <v>1098.96</v>
      </c>
      <c r="H160" s="100">
        <v>0</v>
      </c>
      <c r="I160" s="100">
        <v>-23529.19</v>
      </c>
      <c r="J160" s="100">
        <v>0</v>
      </c>
      <c r="K160" s="100">
        <v>-23529.19</v>
      </c>
      <c r="L160" s="100">
        <v>0</v>
      </c>
    </row>
    <row r="161" spans="1:12" x14ac:dyDescent="0.35">
      <c r="A161" s="98" t="s">
        <v>609</v>
      </c>
      <c r="B161" s="99" t="s">
        <v>610</v>
      </c>
      <c r="C161" s="100">
        <v>0</v>
      </c>
      <c r="D161" s="100">
        <v>0</v>
      </c>
      <c r="E161" s="100">
        <v>-1542.96</v>
      </c>
      <c r="F161" s="100">
        <v>0</v>
      </c>
      <c r="G161" s="100">
        <v>168.77</v>
      </c>
      <c r="H161" s="100">
        <v>0</v>
      </c>
      <c r="I161" s="100">
        <v>-1374.19</v>
      </c>
      <c r="J161" s="100">
        <v>0</v>
      </c>
      <c r="K161" s="100">
        <v>-1374.19</v>
      </c>
      <c r="L161" s="100">
        <v>0</v>
      </c>
    </row>
    <row r="162" spans="1:12" x14ac:dyDescent="0.35">
      <c r="A162" s="98" t="s">
        <v>611</v>
      </c>
      <c r="B162" s="99" t="s">
        <v>612</v>
      </c>
      <c r="C162" s="100">
        <v>0</v>
      </c>
      <c r="D162" s="100">
        <v>0</v>
      </c>
      <c r="E162" s="100">
        <v>-37833.879999999997</v>
      </c>
      <c r="F162" s="100">
        <v>0</v>
      </c>
      <c r="G162" s="100">
        <v>1044.5999999999999</v>
      </c>
      <c r="H162" s="100">
        <v>0</v>
      </c>
      <c r="I162" s="100">
        <v>-36789.279999999999</v>
      </c>
      <c r="J162" s="100">
        <v>0</v>
      </c>
      <c r="K162" s="100">
        <v>-36789.279999999999</v>
      </c>
      <c r="L162" s="100">
        <v>0</v>
      </c>
    </row>
    <row r="163" spans="1:12" x14ac:dyDescent="0.35">
      <c r="A163" s="98" t="s">
        <v>613</v>
      </c>
      <c r="B163" s="99" t="s">
        <v>614</v>
      </c>
      <c r="C163" s="100">
        <v>0</v>
      </c>
      <c r="D163" s="100">
        <v>0</v>
      </c>
      <c r="E163" s="100">
        <v>-412.11</v>
      </c>
      <c r="F163" s="100">
        <v>0</v>
      </c>
      <c r="G163" s="100">
        <v>-5.47</v>
      </c>
      <c r="H163" s="100">
        <v>0</v>
      </c>
      <c r="I163" s="100">
        <v>-417.58</v>
      </c>
      <c r="J163" s="100">
        <v>0</v>
      </c>
      <c r="K163" s="100">
        <v>-417.58</v>
      </c>
      <c r="L163" s="100">
        <v>0</v>
      </c>
    </row>
    <row r="164" spans="1:12" x14ac:dyDescent="0.35">
      <c r="A164" s="98" t="s">
        <v>615</v>
      </c>
      <c r="B164" s="99" t="s">
        <v>616</v>
      </c>
      <c r="C164" s="100">
        <v>0</v>
      </c>
      <c r="D164" s="100">
        <v>0</v>
      </c>
      <c r="E164" s="100">
        <v>-1202.1199999999999</v>
      </c>
      <c r="F164" s="100">
        <v>0</v>
      </c>
      <c r="G164" s="100">
        <v>0</v>
      </c>
      <c r="H164" s="100">
        <v>0</v>
      </c>
      <c r="I164" s="100">
        <v>-1202.1199999999999</v>
      </c>
      <c r="J164" s="100">
        <v>0</v>
      </c>
      <c r="K164" s="100">
        <v>-1202.1199999999999</v>
      </c>
      <c r="L164" s="100">
        <v>0</v>
      </c>
    </row>
    <row r="165" spans="1:12" x14ac:dyDescent="0.35">
      <c r="A165" s="98" t="s">
        <v>617</v>
      </c>
      <c r="B165" s="99" t="s">
        <v>618</v>
      </c>
      <c r="C165" s="100">
        <v>0</v>
      </c>
      <c r="D165" s="100">
        <v>0</v>
      </c>
      <c r="E165" s="100">
        <v>-30146.23</v>
      </c>
      <c r="F165" s="100">
        <v>0</v>
      </c>
      <c r="G165" s="100">
        <v>0</v>
      </c>
      <c r="H165" s="100">
        <v>6856.17</v>
      </c>
      <c r="I165" s="100">
        <v>0</v>
      </c>
      <c r="J165" s="100">
        <v>37002.400000000001</v>
      </c>
      <c r="K165" s="100">
        <v>-37002.400000000001</v>
      </c>
      <c r="L165" s="100">
        <v>0</v>
      </c>
    </row>
    <row r="166" spans="1:12" x14ac:dyDescent="0.35">
      <c r="A166" s="98" t="s">
        <v>619</v>
      </c>
      <c r="B166" s="99" t="s">
        <v>620</v>
      </c>
      <c r="C166" s="100">
        <v>0</v>
      </c>
      <c r="D166" s="100">
        <v>0</v>
      </c>
      <c r="E166" s="100">
        <v>45.99</v>
      </c>
      <c r="F166" s="100">
        <v>0</v>
      </c>
      <c r="G166" s="100">
        <v>0</v>
      </c>
      <c r="H166" s="100">
        <v>0</v>
      </c>
      <c r="I166" s="100">
        <v>45.99</v>
      </c>
      <c r="J166" s="100">
        <v>0</v>
      </c>
      <c r="K166" s="100">
        <v>45.99</v>
      </c>
      <c r="L166" s="100">
        <v>0</v>
      </c>
    </row>
    <row r="167" spans="1:12" x14ac:dyDescent="0.35">
      <c r="A167" s="98" t="s">
        <v>621</v>
      </c>
      <c r="B167" s="99" t="s">
        <v>622</v>
      </c>
      <c r="C167" s="100">
        <v>0</v>
      </c>
      <c r="D167" s="100">
        <v>0</v>
      </c>
      <c r="E167" s="100">
        <v>0</v>
      </c>
      <c r="F167" s="100">
        <v>0</v>
      </c>
      <c r="G167" s="100">
        <v>2373.36</v>
      </c>
      <c r="H167" s="100">
        <v>2373.36</v>
      </c>
      <c r="I167" s="100">
        <v>2373.36</v>
      </c>
      <c r="J167" s="100">
        <v>2373.36</v>
      </c>
      <c r="K167" s="100">
        <v>0</v>
      </c>
      <c r="L167" s="100">
        <v>0</v>
      </c>
    </row>
    <row r="168" spans="1:12" x14ac:dyDescent="0.35">
      <c r="A168" s="98" t="s">
        <v>623</v>
      </c>
      <c r="B168" s="99" t="s">
        <v>624</v>
      </c>
      <c r="C168" s="100">
        <v>0</v>
      </c>
      <c r="D168" s="100">
        <v>0</v>
      </c>
      <c r="E168" s="100">
        <v>4.3600000000000003</v>
      </c>
      <c r="F168" s="100">
        <v>0</v>
      </c>
      <c r="G168" s="100">
        <v>254.26</v>
      </c>
      <c r="H168" s="100">
        <v>266.35000000000002</v>
      </c>
      <c r="I168" s="100">
        <v>3527.59</v>
      </c>
      <c r="J168" s="100">
        <v>3535.32</v>
      </c>
      <c r="K168" s="100">
        <v>-7.73</v>
      </c>
      <c r="L168" s="100">
        <v>0</v>
      </c>
    </row>
    <row r="169" spans="1:12" x14ac:dyDescent="0.35">
      <c r="A169" s="98" t="s">
        <v>625</v>
      </c>
      <c r="B169" s="99" t="s">
        <v>626</v>
      </c>
      <c r="C169" s="100">
        <v>0</v>
      </c>
      <c r="D169" s="100">
        <v>0</v>
      </c>
      <c r="E169" s="100">
        <v>26.1</v>
      </c>
      <c r="F169" s="100">
        <v>0</v>
      </c>
      <c r="G169" s="100">
        <v>-3.38</v>
      </c>
      <c r="H169" s="100">
        <v>0</v>
      </c>
      <c r="I169" s="100">
        <v>221.07</v>
      </c>
      <c r="J169" s="100">
        <v>198.35</v>
      </c>
      <c r="K169" s="100">
        <v>22.72</v>
      </c>
      <c r="L169" s="100">
        <v>0</v>
      </c>
    </row>
    <row r="170" spans="1:12" x14ac:dyDescent="0.35">
      <c r="A170" s="98" t="s">
        <v>627</v>
      </c>
      <c r="B170" s="99" t="s">
        <v>628</v>
      </c>
      <c r="C170" s="100">
        <v>0</v>
      </c>
      <c r="D170" s="100">
        <v>0</v>
      </c>
      <c r="E170" s="100">
        <v>56.43</v>
      </c>
      <c r="F170" s="100">
        <v>0</v>
      </c>
      <c r="G170" s="100">
        <v>297.06</v>
      </c>
      <c r="H170" s="100">
        <v>0</v>
      </c>
      <c r="I170" s="100">
        <v>689.37</v>
      </c>
      <c r="J170" s="100">
        <v>335.88</v>
      </c>
      <c r="K170" s="100">
        <v>353.49</v>
      </c>
      <c r="L170" s="100">
        <v>0</v>
      </c>
    </row>
    <row r="171" spans="1:12" x14ac:dyDescent="0.35">
      <c r="A171" s="98" t="s">
        <v>629</v>
      </c>
      <c r="B171" s="99" t="s">
        <v>630</v>
      </c>
      <c r="C171" s="100">
        <v>0</v>
      </c>
      <c r="D171" s="100">
        <v>0</v>
      </c>
      <c r="E171" s="100">
        <v>9.15</v>
      </c>
      <c r="F171" s="100">
        <v>0</v>
      </c>
      <c r="G171" s="100">
        <v>3.39</v>
      </c>
      <c r="H171" s="100">
        <v>0</v>
      </c>
      <c r="I171" s="100">
        <v>12.54</v>
      </c>
      <c r="J171" s="100">
        <v>0</v>
      </c>
      <c r="K171" s="100">
        <v>12.54</v>
      </c>
      <c r="L171" s="100">
        <v>0</v>
      </c>
    </row>
    <row r="172" spans="1:12" x14ac:dyDescent="0.35">
      <c r="A172" s="98" t="s">
        <v>631</v>
      </c>
      <c r="B172" s="99" t="s">
        <v>632</v>
      </c>
      <c r="C172" s="100">
        <v>0</v>
      </c>
      <c r="D172" s="100">
        <v>0</v>
      </c>
      <c r="E172" s="100">
        <v>52.55</v>
      </c>
      <c r="F172" s="100">
        <v>0</v>
      </c>
      <c r="G172" s="100">
        <v>29.25</v>
      </c>
      <c r="H172" s="100">
        <v>0</v>
      </c>
      <c r="I172" s="100">
        <v>81.8</v>
      </c>
      <c r="J172" s="100">
        <v>0</v>
      </c>
      <c r="K172" s="100">
        <v>81.8</v>
      </c>
      <c r="L172" s="100">
        <v>0</v>
      </c>
    </row>
    <row r="173" spans="1:12" x14ac:dyDescent="0.35">
      <c r="A173" s="98" t="s">
        <v>633</v>
      </c>
      <c r="B173" s="99" t="s">
        <v>634</v>
      </c>
      <c r="C173" s="100">
        <v>0</v>
      </c>
      <c r="D173" s="100">
        <v>0</v>
      </c>
      <c r="E173" s="100">
        <v>114.67</v>
      </c>
      <c r="F173" s="100">
        <v>0</v>
      </c>
      <c r="G173" s="100">
        <v>72.28</v>
      </c>
      <c r="H173" s="100">
        <v>0</v>
      </c>
      <c r="I173" s="100">
        <v>186.95</v>
      </c>
      <c r="J173" s="100">
        <v>0</v>
      </c>
      <c r="K173" s="100">
        <v>186.95</v>
      </c>
      <c r="L173" s="100">
        <v>0</v>
      </c>
    </row>
    <row r="174" spans="1:12" x14ac:dyDescent="0.35">
      <c r="A174" s="98" t="s">
        <v>635</v>
      </c>
      <c r="B174" s="99" t="s">
        <v>636</v>
      </c>
      <c r="C174" s="100">
        <v>0</v>
      </c>
      <c r="D174" s="100">
        <v>0</v>
      </c>
      <c r="E174" s="100">
        <v>-355.13</v>
      </c>
      <c r="F174" s="100">
        <v>0</v>
      </c>
      <c r="G174" s="100">
        <v>-257.2</v>
      </c>
      <c r="H174" s="100">
        <v>0</v>
      </c>
      <c r="I174" s="100">
        <v>-612.33000000000004</v>
      </c>
      <c r="J174" s="100">
        <v>0</v>
      </c>
      <c r="K174" s="100">
        <v>-612.33000000000004</v>
      </c>
      <c r="L174" s="100">
        <v>0</v>
      </c>
    </row>
    <row r="175" spans="1:12" x14ac:dyDescent="0.35">
      <c r="A175" s="98" t="s">
        <v>637</v>
      </c>
      <c r="B175" s="99" t="s">
        <v>638</v>
      </c>
      <c r="C175" s="100">
        <v>0</v>
      </c>
      <c r="D175" s="100">
        <v>0</v>
      </c>
      <c r="E175" s="100">
        <v>-0.71</v>
      </c>
      <c r="F175" s="100">
        <v>0</v>
      </c>
      <c r="G175" s="100">
        <v>0</v>
      </c>
      <c r="H175" s="100">
        <v>0</v>
      </c>
      <c r="I175" s="100">
        <v>-0.71</v>
      </c>
      <c r="J175" s="100">
        <v>0</v>
      </c>
      <c r="K175" s="100">
        <v>-0.71</v>
      </c>
      <c r="L175" s="100">
        <v>0</v>
      </c>
    </row>
    <row r="176" spans="1:12" x14ac:dyDescent="0.35">
      <c r="A176" s="98" t="s">
        <v>639</v>
      </c>
      <c r="B176" s="99" t="s">
        <v>640</v>
      </c>
      <c r="C176" s="100">
        <v>0</v>
      </c>
      <c r="D176" s="100">
        <v>0</v>
      </c>
      <c r="E176" s="100">
        <v>-20.83</v>
      </c>
      <c r="F176" s="100">
        <v>0</v>
      </c>
      <c r="G176" s="100">
        <v>-6.99</v>
      </c>
      <c r="H176" s="100">
        <v>0</v>
      </c>
      <c r="I176" s="100">
        <v>-27.82</v>
      </c>
      <c r="J176" s="100">
        <v>0</v>
      </c>
      <c r="K176" s="100">
        <v>-27.82</v>
      </c>
      <c r="L176" s="100">
        <v>0</v>
      </c>
    </row>
    <row r="177" spans="1:12" x14ac:dyDescent="0.35">
      <c r="A177" s="98" t="s">
        <v>641</v>
      </c>
      <c r="B177" s="99" t="s">
        <v>642</v>
      </c>
      <c r="C177" s="100">
        <v>0</v>
      </c>
      <c r="D177" s="100">
        <v>0</v>
      </c>
      <c r="E177" s="100">
        <v>429.6</v>
      </c>
      <c r="F177" s="100">
        <v>0</v>
      </c>
      <c r="G177" s="100">
        <v>423</v>
      </c>
      <c r="H177" s="100">
        <v>0</v>
      </c>
      <c r="I177" s="100">
        <v>852.6</v>
      </c>
      <c r="J177" s="100">
        <v>0</v>
      </c>
      <c r="K177" s="100">
        <v>852.6</v>
      </c>
      <c r="L177" s="100">
        <v>0</v>
      </c>
    </row>
    <row r="178" spans="1:12" x14ac:dyDescent="0.35">
      <c r="A178" s="98" t="s">
        <v>643</v>
      </c>
      <c r="B178" s="99" t="s">
        <v>644</v>
      </c>
      <c r="C178" s="100">
        <v>0</v>
      </c>
      <c r="D178" s="100">
        <v>0</v>
      </c>
      <c r="E178" s="100">
        <v>700</v>
      </c>
      <c r="F178" s="100">
        <v>0</v>
      </c>
      <c r="G178" s="100">
        <v>0</v>
      </c>
      <c r="H178" s="100">
        <v>0</v>
      </c>
      <c r="I178" s="100">
        <v>700</v>
      </c>
      <c r="J178" s="100">
        <v>0</v>
      </c>
      <c r="K178" s="100">
        <v>700</v>
      </c>
      <c r="L178" s="100">
        <v>0</v>
      </c>
    </row>
    <row r="179" spans="1:12" x14ac:dyDescent="0.35">
      <c r="A179" s="98" t="s">
        <v>645</v>
      </c>
      <c r="B179" s="99" t="s">
        <v>646</v>
      </c>
      <c r="C179" s="100">
        <v>0</v>
      </c>
      <c r="D179" s="100">
        <v>0</v>
      </c>
      <c r="E179" s="100">
        <v>973.6</v>
      </c>
      <c r="F179" s="100">
        <v>0</v>
      </c>
      <c r="G179" s="100">
        <v>0</v>
      </c>
      <c r="H179" s="100">
        <v>0</v>
      </c>
      <c r="I179" s="100">
        <v>973.6</v>
      </c>
      <c r="J179" s="100">
        <v>0</v>
      </c>
      <c r="K179" s="100">
        <v>973.6</v>
      </c>
      <c r="L179" s="100">
        <v>0</v>
      </c>
    </row>
    <row r="180" spans="1:12" x14ac:dyDescent="0.35">
      <c r="A180" s="98" t="s">
        <v>647</v>
      </c>
      <c r="B180" s="99" t="s">
        <v>648</v>
      </c>
      <c r="C180" s="100">
        <v>0</v>
      </c>
      <c r="D180" s="100">
        <v>0</v>
      </c>
      <c r="E180" s="100">
        <v>104.62</v>
      </c>
      <c r="F180" s="100">
        <v>0</v>
      </c>
      <c r="G180" s="100">
        <v>0</v>
      </c>
      <c r="H180" s="100">
        <v>0</v>
      </c>
      <c r="I180" s="100">
        <v>104.62</v>
      </c>
      <c r="J180" s="100">
        <v>0</v>
      </c>
      <c r="K180" s="100">
        <v>104.62</v>
      </c>
      <c r="L180" s="100">
        <v>0</v>
      </c>
    </row>
    <row r="181" spans="1:12" x14ac:dyDescent="0.35">
      <c r="A181" s="98" t="s">
        <v>649</v>
      </c>
      <c r="B181" s="99" t="s">
        <v>650</v>
      </c>
      <c r="C181" s="100">
        <v>0</v>
      </c>
      <c r="D181" s="100">
        <v>0</v>
      </c>
      <c r="E181" s="100">
        <v>0</v>
      </c>
      <c r="F181" s="100">
        <v>0</v>
      </c>
      <c r="G181" s="100">
        <v>4.1399999999999997</v>
      </c>
      <c r="H181" s="100">
        <v>0</v>
      </c>
      <c r="I181" s="100">
        <v>4.1399999999999997</v>
      </c>
      <c r="J181" s="100">
        <v>0</v>
      </c>
      <c r="K181" s="100">
        <v>4.1399999999999997</v>
      </c>
      <c r="L181" s="100">
        <v>0</v>
      </c>
    </row>
    <row r="182" spans="1:12" x14ac:dyDescent="0.35">
      <c r="A182" s="98" t="s">
        <v>651</v>
      </c>
      <c r="B182" s="99" t="s">
        <v>652</v>
      </c>
      <c r="C182" s="100">
        <v>0</v>
      </c>
      <c r="D182" s="100">
        <v>0</v>
      </c>
      <c r="E182" s="100">
        <v>102.05</v>
      </c>
      <c r="F182" s="100">
        <v>0</v>
      </c>
      <c r="G182" s="100">
        <v>8.43</v>
      </c>
      <c r="H182" s="100">
        <v>0</v>
      </c>
      <c r="I182" s="100">
        <v>110.48</v>
      </c>
      <c r="J182" s="100">
        <v>0</v>
      </c>
      <c r="K182" s="100">
        <v>110.48</v>
      </c>
      <c r="L182" s="100">
        <v>0</v>
      </c>
    </row>
    <row r="183" spans="1:12" x14ac:dyDescent="0.35">
      <c r="A183" s="98" t="s">
        <v>653</v>
      </c>
      <c r="B183" s="99" t="s">
        <v>654</v>
      </c>
      <c r="C183" s="100">
        <v>0</v>
      </c>
      <c r="D183" s="100">
        <v>0</v>
      </c>
      <c r="E183" s="100">
        <v>671</v>
      </c>
      <c r="F183" s="100">
        <v>0</v>
      </c>
      <c r="G183" s="100">
        <v>61</v>
      </c>
      <c r="H183" s="100">
        <v>0</v>
      </c>
      <c r="I183" s="100">
        <v>732</v>
      </c>
      <c r="J183" s="100">
        <v>0</v>
      </c>
      <c r="K183" s="100">
        <v>732</v>
      </c>
      <c r="L183" s="100">
        <v>0</v>
      </c>
    </row>
    <row r="184" spans="1:12" x14ac:dyDescent="0.35">
      <c r="A184" s="98" t="s">
        <v>655</v>
      </c>
      <c r="B184" s="99" t="s">
        <v>656</v>
      </c>
      <c r="C184" s="100">
        <v>0</v>
      </c>
      <c r="D184" s="100">
        <v>0</v>
      </c>
      <c r="E184" s="100">
        <v>272.95</v>
      </c>
      <c r="F184" s="100">
        <v>0</v>
      </c>
      <c r="G184" s="100">
        <v>17.2</v>
      </c>
      <c r="H184" s="100">
        <v>0</v>
      </c>
      <c r="I184" s="100">
        <v>290.14999999999998</v>
      </c>
      <c r="J184" s="100">
        <v>0</v>
      </c>
      <c r="K184" s="100">
        <v>290.14999999999998</v>
      </c>
      <c r="L184" s="100">
        <v>0</v>
      </c>
    </row>
    <row r="185" spans="1:12" x14ac:dyDescent="0.35">
      <c r="A185" s="98" t="s">
        <v>657</v>
      </c>
      <c r="B185" s="99" t="s">
        <v>658</v>
      </c>
      <c r="C185" s="100">
        <v>0</v>
      </c>
      <c r="D185" s="100">
        <v>0</v>
      </c>
      <c r="E185" s="100">
        <v>85.38</v>
      </c>
      <c r="F185" s="100">
        <v>0</v>
      </c>
      <c r="G185" s="100">
        <v>6.9</v>
      </c>
      <c r="H185" s="100">
        <v>0</v>
      </c>
      <c r="I185" s="100">
        <v>92.28</v>
      </c>
      <c r="J185" s="100">
        <v>0</v>
      </c>
      <c r="K185" s="100">
        <v>92.28</v>
      </c>
      <c r="L185" s="100">
        <v>0</v>
      </c>
    </row>
    <row r="186" spans="1:12" x14ac:dyDescent="0.35">
      <c r="A186" s="98" t="s">
        <v>659</v>
      </c>
      <c r="B186" s="99" t="s">
        <v>660</v>
      </c>
      <c r="C186" s="100">
        <v>0</v>
      </c>
      <c r="D186" s="100">
        <v>0</v>
      </c>
      <c r="E186" s="100">
        <v>108</v>
      </c>
      <c r="F186" s="100">
        <v>0</v>
      </c>
      <c r="G186" s="100">
        <v>0</v>
      </c>
      <c r="H186" s="100">
        <v>0</v>
      </c>
      <c r="I186" s="100">
        <v>108</v>
      </c>
      <c r="J186" s="100">
        <v>0</v>
      </c>
      <c r="K186" s="100">
        <v>108</v>
      </c>
      <c r="L186" s="100">
        <v>0</v>
      </c>
    </row>
    <row r="187" spans="1:12" x14ac:dyDescent="0.35">
      <c r="A187" s="98" t="s">
        <v>661</v>
      </c>
      <c r="B187" s="99" t="s">
        <v>662</v>
      </c>
      <c r="C187" s="100">
        <v>0</v>
      </c>
      <c r="D187" s="100">
        <v>0</v>
      </c>
      <c r="E187" s="100">
        <v>143.24</v>
      </c>
      <c r="F187" s="100">
        <v>0</v>
      </c>
      <c r="G187" s="100">
        <v>0</v>
      </c>
      <c r="H187" s="100">
        <v>0</v>
      </c>
      <c r="I187" s="100">
        <v>143.24</v>
      </c>
      <c r="J187" s="100">
        <v>0</v>
      </c>
      <c r="K187" s="100">
        <v>143.24</v>
      </c>
      <c r="L187" s="100">
        <v>0</v>
      </c>
    </row>
    <row r="188" spans="1:12" x14ac:dyDescent="0.35">
      <c r="A188" s="98" t="s">
        <v>663</v>
      </c>
      <c r="B188" s="99" t="s">
        <v>664</v>
      </c>
      <c r="C188" s="100">
        <v>0</v>
      </c>
      <c r="D188" s="100">
        <v>0</v>
      </c>
      <c r="E188" s="100">
        <v>0</v>
      </c>
      <c r="F188" s="100">
        <v>0</v>
      </c>
      <c r="G188" s="100">
        <v>216395.34</v>
      </c>
      <c r="H188" s="100">
        <v>0</v>
      </c>
      <c r="I188" s="100">
        <v>216395.34</v>
      </c>
      <c r="J188" s="100">
        <v>0</v>
      </c>
      <c r="K188" s="100">
        <v>216395.34</v>
      </c>
      <c r="L188" s="100">
        <v>0</v>
      </c>
    </row>
    <row r="189" spans="1:12" x14ac:dyDescent="0.35">
      <c r="A189" s="98" t="s">
        <v>665</v>
      </c>
      <c r="B189" s="99" t="s">
        <v>666</v>
      </c>
      <c r="C189" s="100">
        <v>0</v>
      </c>
      <c r="D189" s="100">
        <v>0</v>
      </c>
      <c r="E189" s="100">
        <v>0</v>
      </c>
      <c r="F189" s="100">
        <v>0</v>
      </c>
      <c r="G189" s="100">
        <v>0</v>
      </c>
      <c r="H189" s="100">
        <v>0</v>
      </c>
      <c r="I189" s="100">
        <v>0</v>
      </c>
      <c r="J189" s="100">
        <v>0</v>
      </c>
      <c r="K189" s="100">
        <v>0</v>
      </c>
      <c r="L189" s="100">
        <v>0</v>
      </c>
    </row>
    <row r="190" spans="1:12" x14ac:dyDescent="0.35">
      <c r="A190" s="98" t="s">
        <v>667</v>
      </c>
      <c r="B190" s="99" t="s">
        <v>668</v>
      </c>
      <c r="C190" s="100">
        <v>0</v>
      </c>
      <c r="D190" s="100">
        <v>0</v>
      </c>
      <c r="E190" s="100">
        <v>1000.8</v>
      </c>
      <c r="F190" s="100">
        <v>0</v>
      </c>
      <c r="G190" s="100">
        <v>179.52</v>
      </c>
      <c r="H190" s="100">
        <v>0</v>
      </c>
      <c r="I190" s="100">
        <v>1180.32</v>
      </c>
      <c r="J190" s="100">
        <v>0</v>
      </c>
      <c r="K190" s="100">
        <v>1180.32</v>
      </c>
      <c r="L190" s="100">
        <v>0</v>
      </c>
    </row>
    <row r="191" spans="1:12" x14ac:dyDescent="0.35">
      <c r="A191" s="98" t="s">
        <v>669</v>
      </c>
      <c r="B191" s="99" t="s">
        <v>670</v>
      </c>
      <c r="C191" s="100">
        <v>0</v>
      </c>
      <c r="D191" s="100">
        <v>0</v>
      </c>
      <c r="E191" s="100">
        <v>90.56</v>
      </c>
      <c r="F191" s="100">
        <v>0</v>
      </c>
      <c r="G191" s="100">
        <v>0</v>
      </c>
      <c r="H191" s="100">
        <v>0</v>
      </c>
      <c r="I191" s="100">
        <v>90.56</v>
      </c>
      <c r="J191" s="100">
        <v>0</v>
      </c>
      <c r="K191" s="100">
        <v>90.56</v>
      </c>
      <c r="L191" s="100">
        <v>0</v>
      </c>
    </row>
    <row r="192" spans="1:12" x14ac:dyDescent="0.35">
      <c r="A192" s="98" t="s">
        <v>671</v>
      </c>
      <c r="B192" s="99" t="s">
        <v>672</v>
      </c>
      <c r="C192" s="100">
        <v>0</v>
      </c>
      <c r="D192" s="100">
        <v>0</v>
      </c>
      <c r="E192" s="100">
        <v>-7.52</v>
      </c>
      <c r="F192" s="100">
        <v>0</v>
      </c>
      <c r="G192" s="100">
        <v>0</v>
      </c>
      <c r="H192" s="100">
        <v>0</v>
      </c>
      <c r="I192" s="100">
        <v>-7.52</v>
      </c>
      <c r="J192" s="100">
        <v>0</v>
      </c>
      <c r="K192" s="100">
        <v>-7.52</v>
      </c>
      <c r="L192" s="100">
        <v>0</v>
      </c>
    </row>
    <row r="193" spans="1:12" x14ac:dyDescent="0.35">
      <c r="A193" s="98" t="s">
        <v>673</v>
      </c>
      <c r="B193" s="99" t="s">
        <v>674</v>
      </c>
      <c r="C193" s="100">
        <v>0</v>
      </c>
      <c r="D193" s="100">
        <v>0</v>
      </c>
      <c r="E193" s="100">
        <v>234.01</v>
      </c>
      <c r="F193" s="100">
        <v>0</v>
      </c>
      <c r="G193" s="100">
        <v>22.52</v>
      </c>
      <c r="H193" s="100">
        <v>0</v>
      </c>
      <c r="I193" s="100">
        <v>256.52999999999997</v>
      </c>
      <c r="J193" s="100">
        <v>0</v>
      </c>
      <c r="K193" s="100">
        <v>256.52999999999997</v>
      </c>
      <c r="L193" s="100">
        <v>0</v>
      </c>
    </row>
    <row r="194" spans="1:12" x14ac:dyDescent="0.35">
      <c r="A194" s="98" t="s">
        <v>675</v>
      </c>
      <c r="B194" s="99" t="s">
        <v>676</v>
      </c>
      <c r="C194" s="100">
        <v>0</v>
      </c>
      <c r="D194" s="100">
        <v>0</v>
      </c>
      <c r="E194" s="100">
        <v>2750</v>
      </c>
      <c r="F194" s="100">
        <v>0</v>
      </c>
      <c r="G194" s="100">
        <v>250</v>
      </c>
      <c r="H194" s="100">
        <v>0</v>
      </c>
      <c r="I194" s="100">
        <v>3000</v>
      </c>
      <c r="J194" s="100">
        <v>0</v>
      </c>
      <c r="K194" s="100">
        <v>3000</v>
      </c>
      <c r="L194" s="100">
        <v>0</v>
      </c>
    </row>
    <row r="195" spans="1:12" x14ac:dyDescent="0.35">
      <c r="A195" s="98" t="s">
        <v>677</v>
      </c>
      <c r="B195" s="99" t="s">
        <v>678</v>
      </c>
      <c r="C195" s="100">
        <v>0</v>
      </c>
      <c r="D195" s="100">
        <v>0</v>
      </c>
      <c r="E195" s="100">
        <v>31851.09</v>
      </c>
      <c r="F195" s="100">
        <v>0</v>
      </c>
      <c r="G195" s="100">
        <v>2940.51</v>
      </c>
      <c r="H195" s="100">
        <v>0</v>
      </c>
      <c r="I195" s="100">
        <v>34791.599999999999</v>
      </c>
      <c r="J195" s="100">
        <v>0</v>
      </c>
      <c r="K195" s="100">
        <v>34791.599999999999</v>
      </c>
      <c r="L195" s="100">
        <v>0</v>
      </c>
    </row>
    <row r="196" spans="1:12" x14ac:dyDescent="0.35">
      <c r="A196" s="98" t="s">
        <v>679</v>
      </c>
      <c r="B196" s="99" t="s">
        <v>680</v>
      </c>
      <c r="C196" s="100">
        <v>0</v>
      </c>
      <c r="D196" s="100">
        <v>0</v>
      </c>
      <c r="E196" s="100">
        <v>6086.85</v>
      </c>
      <c r="F196" s="100">
        <v>0</v>
      </c>
      <c r="G196" s="100">
        <v>553.35</v>
      </c>
      <c r="H196" s="100">
        <v>0</v>
      </c>
      <c r="I196" s="100">
        <v>6640.2</v>
      </c>
      <c r="J196" s="100">
        <v>0</v>
      </c>
      <c r="K196" s="100">
        <v>6640.2</v>
      </c>
      <c r="L196" s="100">
        <v>0</v>
      </c>
    </row>
    <row r="197" spans="1:12" x14ac:dyDescent="0.35">
      <c r="A197" s="98" t="s">
        <v>681</v>
      </c>
      <c r="B197" s="99" t="s">
        <v>682</v>
      </c>
      <c r="C197" s="100">
        <v>0</v>
      </c>
      <c r="D197" s="100">
        <v>0</v>
      </c>
      <c r="E197" s="100">
        <v>50000</v>
      </c>
      <c r="F197" s="100">
        <v>0</v>
      </c>
      <c r="G197" s="100">
        <v>0</v>
      </c>
      <c r="H197" s="100">
        <v>0</v>
      </c>
      <c r="I197" s="100">
        <v>50000</v>
      </c>
      <c r="J197" s="100">
        <v>0</v>
      </c>
      <c r="K197" s="100">
        <v>50000</v>
      </c>
      <c r="L197" s="100">
        <v>0</v>
      </c>
    </row>
    <row r="198" spans="1:12" x14ac:dyDescent="0.35">
      <c r="A198" s="98" t="s">
        <v>683</v>
      </c>
      <c r="B198" s="99" t="s">
        <v>684</v>
      </c>
      <c r="C198" s="100">
        <v>0</v>
      </c>
      <c r="D198" s="100">
        <v>0</v>
      </c>
      <c r="E198" s="100">
        <v>134.61000000000001</v>
      </c>
      <c r="F198" s="100">
        <v>0</v>
      </c>
      <c r="G198" s="100">
        <v>0</v>
      </c>
      <c r="H198" s="100">
        <v>0</v>
      </c>
      <c r="I198" s="100">
        <v>134.61000000000001</v>
      </c>
      <c r="J198" s="100">
        <v>0</v>
      </c>
      <c r="K198" s="100">
        <v>134.61000000000001</v>
      </c>
      <c r="L198" s="100">
        <v>0</v>
      </c>
    </row>
    <row r="199" spans="1:12" x14ac:dyDescent="0.35">
      <c r="A199" s="98" t="s">
        <v>685</v>
      </c>
      <c r="B199" s="99" t="s">
        <v>686</v>
      </c>
      <c r="C199" s="100">
        <v>0</v>
      </c>
      <c r="D199" s="100">
        <v>0</v>
      </c>
      <c r="E199" s="100">
        <v>657.5</v>
      </c>
      <c r="F199" s="100">
        <v>0</v>
      </c>
      <c r="G199" s="100">
        <v>0</v>
      </c>
      <c r="H199" s="100">
        <v>0</v>
      </c>
      <c r="I199" s="100">
        <v>657.5</v>
      </c>
      <c r="J199" s="100">
        <v>0</v>
      </c>
      <c r="K199" s="100">
        <v>657.5</v>
      </c>
      <c r="L199" s="100">
        <v>0</v>
      </c>
    </row>
    <row r="200" spans="1:12" x14ac:dyDescent="0.35">
      <c r="A200" s="98" t="s">
        <v>687</v>
      </c>
      <c r="B200" s="99" t="s">
        <v>688</v>
      </c>
      <c r="C200" s="100">
        <v>0</v>
      </c>
      <c r="D200" s="100">
        <v>0</v>
      </c>
      <c r="E200" s="100">
        <v>1144.82</v>
      </c>
      <c r="F200" s="100">
        <v>0</v>
      </c>
      <c r="G200" s="100">
        <v>0</v>
      </c>
      <c r="H200" s="100">
        <v>0</v>
      </c>
      <c r="I200" s="100">
        <v>1144.82</v>
      </c>
      <c r="J200" s="100">
        <v>0</v>
      </c>
      <c r="K200" s="100">
        <v>1144.82</v>
      </c>
      <c r="L200" s="100">
        <v>0</v>
      </c>
    </row>
    <row r="201" spans="1:12" x14ac:dyDescent="0.35">
      <c r="A201" s="98" t="s">
        <v>689</v>
      </c>
      <c r="B201" s="99" t="s">
        <v>690</v>
      </c>
      <c r="C201" s="100">
        <v>0</v>
      </c>
      <c r="D201" s="100">
        <v>0</v>
      </c>
      <c r="E201" s="100">
        <v>-471.82</v>
      </c>
      <c r="F201" s="100">
        <v>0</v>
      </c>
      <c r="G201" s="100">
        <v>-1058.32</v>
      </c>
      <c r="H201" s="100">
        <v>0</v>
      </c>
      <c r="I201" s="100">
        <v>-1530.14</v>
      </c>
      <c r="J201" s="100">
        <v>0</v>
      </c>
      <c r="K201" s="100">
        <v>-1530.14</v>
      </c>
      <c r="L201" s="100">
        <v>0</v>
      </c>
    </row>
    <row r="202" spans="1:12" x14ac:dyDescent="0.35">
      <c r="A202" s="98" t="s">
        <v>691</v>
      </c>
      <c r="B202" s="99" t="s">
        <v>692</v>
      </c>
      <c r="C202" s="100">
        <v>0</v>
      </c>
      <c r="D202" s="100">
        <v>0</v>
      </c>
      <c r="E202" s="100">
        <v>228.5</v>
      </c>
      <c r="F202" s="100">
        <v>0</v>
      </c>
      <c r="G202" s="100">
        <v>0</v>
      </c>
      <c r="H202" s="100">
        <v>0</v>
      </c>
      <c r="I202" s="100">
        <v>228.5</v>
      </c>
      <c r="J202" s="100">
        <v>0</v>
      </c>
      <c r="K202" s="100">
        <v>228.5</v>
      </c>
      <c r="L202" s="100">
        <v>0</v>
      </c>
    </row>
    <row r="203" spans="1:12" x14ac:dyDescent="0.35">
      <c r="A203" s="98" t="s">
        <v>693</v>
      </c>
      <c r="B203" s="99" t="s">
        <v>694</v>
      </c>
      <c r="C203" s="100">
        <v>0</v>
      </c>
      <c r="D203" s="100">
        <v>0</v>
      </c>
      <c r="E203" s="100">
        <v>1042</v>
      </c>
      <c r="F203" s="100">
        <v>0</v>
      </c>
      <c r="G203" s="100">
        <v>54.8</v>
      </c>
      <c r="H203" s="100">
        <v>0</v>
      </c>
      <c r="I203" s="100">
        <v>1096.8</v>
      </c>
      <c r="J203" s="100">
        <v>0</v>
      </c>
      <c r="K203" s="100">
        <v>1096.8</v>
      </c>
      <c r="L203" s="100">
        <v>0</v>
      </c>
    </row>
    <row r="204" spans="1:12" x14ac:dyDescent="0.35">
      <c r="A204" s="98" t="s">
        <v>695</v>
      </c>
      <c r="B204" s="99" t="s">
        <v>696</v>
      </c>
      <c r="C204" s="100">
        <v>0</v>
      </c>
      <c r="D204" s="100">
        <v>0</v>
      </c>
      <c r="E204" s="100">
        <v>213.59</v>
      </c>
      <c r="F204" s="100">
        <v>0</v>
      </c>
      <c r="G204" s="100">
        <v>35.85</v>
      </c>
      <c r="H204" s="100">
        <v>35.85</v>
      </c>
      <c r="I204" s="100">
        <v>270.69</v>
      </c>
      <c r="J204" s="100">
        <v>57.1</v>
      </c>
      <c r="K204" s="100">
        <v>213.59</v>
      </c>
      <c r="L204" s="100">
        <v>0</v>
      </c>
    </row>
    <row r="205" spans="1:12" x14ac:dyDescent="0.35">
      <c r="A205" s="98" t="s">
        <v>697</v>
      </c>
      <c r="B205" s="99" t="s">
        <v>698</v>
      </c>
      <c r="C205" s="100">
        <v>0</v>
      </c>
      <c r="D205" s="100">
        <v>0</v>
      </c>
      <c r="E205" s="100">
        <v>176</v>
      </c>
      <c r="F205" s="100">
        <v>0</v>
      </c>
      <c r="G205" s="100">
        <v>140</v>
      </c>
      <c r="H205" s="100">
        <v>0</v>
      </c>
      <c r="I205" s="100">
        <v>316</v>
      </c>
      <c r="J205" s="100">
        <v>0</v>
      </c>
      <c r="K205" s="100">
        <v>316</v>
      </c>
      <c r="L205" s="100">
        <v>0</v>
      </c>
    </row>
    <row r="206" spans="1:12" x14ac:dyDescent="0.35">
      <c r="A206" s="98" t="s">
        <v>699</v>
      </c>
      <c r="B206" s="99" t="s">
        <v>700</v>
      </c>
      <c r="C206" s="100">
        <v>0</v>
      </c>
      <c r="D206" s="100">
        <v>0</v>
      </c>
      <c r="E206" s="100">
        <v>127777.60000000001</v>
      </c>
      <c r="F206" s="100">
        <v>0</v>
      </c>
      <c r="G206" s="100">
        <v>11280.28</v>
      </c>
      <c r="H206" s="100">
        <v>0</v>
      </c>
      <c r="I206" s="100">
        <v>139753.88</v>
      </c>
      <c r="J206" s="100">
        <v>696</v>
      </c>
      <c r="K206" s="100">
        <v>139057.88</v>
      </c>
      <c r="L206" s="100">
        <v>0</v>
      </c>
    </row>
    <row r="207" spans="1:12" x14ac:dyDescent="0.35">
      <c r="A207" s="98" t="s">
        <v>701</v>
      </c>
      <c r="B207" s="99" t="s">
        <v>702</v>
      </c>
      <c r="C207" s="100">
        <v>0</v>
      </c>
      <c r="D207" s="100">
        <v>0</v>
      </c>
      <c r="E207" s="100">
        <v>3238.2</v>
      </c>
      <c r="F207" s="100">
        <v>0</v>
      </c>
      <c r="G207" s="100">
        <v>556.5</v>
      </c>
      <c r="H207" s="100">
        <v>0</v>
      </c>
      <c r="I207" s="100">
        <v>3794.7</v>
      </c>
      <c r="J207" s="100">
        <v>0</v>
      </c>
      <c r="K207" s="100">
        <v>3794.7</v>
      </c>
      <c r="L207" s="100">
        <v>0</v>
      </c>
    </row>
    <row r="208" spans="1:12" x14ac:dyDescent="0.35">
      <c r="A208" s="98" t="s">
        <v>703</v>
      </c>
      <c r="B208" s="99" t="s">
        <v>704</v>
      </c>
      <c r="C208" s="100">
        <v>0</v>
      </c>
      <c r="D208" s="100">
        <v>0</v>
      </c>
      <c r="E208" s="100">
        <v>2272.1999999999998</v>
      </c>
      <c r="F208" s="100">
        <v>0</v>
      </c>
      <c r="G208" s="100">
        <v>443.1</v>
      </c>
      <c r="H208" s="100">
        <v>0</v>
      </c>
      <c r="I208" s="100">
        <v>2715.3</v>
      </c>
      <c r="J208" s="100">
        <v>0</v>
      </c>
      <c r="K208" s="100">
        <v>2715.3</v>
      </c>
      <c r="L208" s="100">
        <v>0</v>
      </c>
    </row>
    <row r="209" spans="1:12" x14ac:dyDescent="0.35">
      <c r="A209" s="98" t="s">
        <v>705</v>
      </c>
      <c r="B209" s="99" t="s">
        <v>706</v>
      </c>
      <c r="C209" s="100">
        <v>0</v>
      </c>
      <c r="D209" s="100">
        <v>0</v>
      </c>
      <c r="E209" s="100">
        <v>0</v>
      </c>
      <c r="F209" s="100">
        <v>0</v>
      </c>
      <c r="G209" s="100">
        <v>0</v>
      </c>
      <c r="H209" s="100">
        <v>0</v>
      </c>
      <c r="I209" s="100">
        <v>0</v>
      </c>
      <c r="J209" s="100">
        <v>0</v>
      </c>
      <c r="K209" s="100">
        <v>0</v>
      </c>
      <c r="L209" s="100">
        <v>0</v>
      </c>
    </row>
    <row r="210" spans="1:12" x14ac:dyDescent="0.35">
      <c r="A210" s="98" t="s">
        <v>707</v>
      </c>
      <c r="B210" s="99" t="s">
        <v>708</v>
      </c>
      <c r="C210" s="100">
        <v>0</v>
      </c>
      <c r="D210" s="100">
        <v>0</v>
      </c>
      <c r="E210" s="100">
        <v>4897.5</v>
      </c>
      <c r="F210" s="100">
        <v>0</v>
      </c>
      <c r="G210" s="100">
        <v>-285.5</v>
      </c>
      <c r="H210" s="100">
        <v>0</v>
      </c>
      <c r="I210" s="100">
        <v>4612</v>
      </c>
      <c r="J210" s="100">
        <v>0</v>
      </c>
      <c r="K210" s="100">
        <v>4612</v>
      </c>
      <c r="L210" s="100">
        <v>0</v>
      </c>
    </row>
    <row r="211" spans="1:12" x14ac:dyDescent="0.35">
      <c r="A211" s="98" t="s">
        <v>709</v>
      </c>
      <c r="B211" s="99" t="s">
        <v>710</v>
      </c>
      <c r="C211" s="100">
        <v>0</v>
      </c>
      <c r="D211" s="100">
        <v>0</v>
      </c>
      <c r="E211" s="100">
        <v>1478.58</v>
      </c>
      <c r="F211" s="100">
        <v>0</v>
      </c>
      <c r="G211" s="100">
        <v>-805.72</v>
      </c>
      <c r="H211" s="100">
        <v>0</v>
      </c>
      <c r="I211" s="100">
        <v>672.86</v>
      </c>
      <c r="J211" s="100">
        <v>0</v>
      </c>
      <c r="K211" s="100">
        <v>672.86</v>
      </c>
      <c r="L211" s="100">
        <v>0</v>
      </c>
    </row>
    <row r="212" spans="1:12" x14ac:dyDescent="0.35">
      <c r="A212" s="98" t="s">
        <v>711</v>
      </c>
      <c r="B212" s="99" t="s">
        <v>712</v>
      </c>
      <c r="C212" s="100">
        <v>0</v>
      </c>
      <c r="D212" s="100">
        <v>0</v>
      </c>
      <c r="E212" s="100">
        <v>2669.08</v>
      </c>
      <c r="F212" s="100">
        <v>0</v>
      </c>
      <c r="G212" s="100">
        <v>586.19000000000005</v>
      </c>
      <c r="H212" s="100">
        <v>0</v>
      </c>
      <c r="I212" s="100">
        <v>3255.27</v>
      </c>
      <c r="J212" s="100">
        <v>0</v>
      </c>
      <c r="K212" s="100">
        <v>3255.27</v>
      </c>
      <c r="L212" s="100">
        <v>0</v>
      </c>
    </row>
    <row r="213" spans="1:12" x14ac:dyDescent="0.35">
      <c r="A213" s="98" t="s">
        <v>713</v>
      </c>
      <c r="B213" s="99" t="s">
        <v>714</v>
      </c>
      <c r="C213" s="100">
        <v>0</v>
      </c>
      <c r="D213" s="100">
        <v>0</v>
      </c>
      <c r="E213" s="100">
        <v>5288.54</v>
      </c>
      <c r="F213" s="100">
        <v>0</v>
      </c>
      <c r="G213" s="100">
        <v>1150.8</v>
      </c>
      <c r="H213" s="100">
        <v>0</v>
      </c>
      <c r="I213" s="100">
        <v>6439.34</v>
      </c>
      <c r="J213" s="100">
        <v>0</v>
      </c>
      <c r="K213" s="100">
        <v>6439.34</v>
      </c>
      <c r="L213" s="100">
        <v>0</v>
      </c>
    </row>
    <row r="214" spans="1:12" x14ac:dyDescent="0.35">
      <c r="A214" s="98" t="s">
        <v>715</v>
      </c>
      <c r="B214" s="99" t="s">
        <v>716</v>
      </c>
      <c r="C214" s="100">
        <v>0</v>
      </c>
      <c r="D214" s="100">
        <v>0</v>
      </c>
      <c r="E214" s="100">
        <v>3914.5</v>
      </c>
      <c r="F214" s="100">
        <v>0</v>
      </c>
      <c r="G214" s="100">
        <v>615</v>
      </c>
      <c r="H214" s="100">
        <v>0</v>
      </c>
      <c r="I214" s="100">
        <v>4529.5</v>
      </c>
      <c r="J214" s="100">
        <v>0</v>
      </c>
      <c r="K214" s="100">
        <v>4529.5</v>
      </c>
      <c r="L214" s="100">
        <v>0</v>
      </c>
    </row>
    <row r="215" spans="1:12" x14ac:dyDescent="0.35">
      <c r="A215" s="98" t="s">
        <v>717</v>
      </c>
      <c r="B215" s="99" t="s">
        <v>718</v>
      </c>
      <c r="C215" s="100">
        <v>0</v>
      </c>
      <c r="D215" s="100">
        <v>0</v>
      </c>
      <c r="E215" s="100">
        <v>4166</v>
      </c>
      <c r="F215" s="100">
        <v>0</v>
      </c>
      <c r="G215" s="100">
        <v>817.1</v>
      </c>
      <c r="H215" s="100">
        <v>0</v>
      </c>
      <c r="I215" s="100">
        <v>4983.1000000000004</v>
      </c>
      <c r="J215" s="100">
        <v>0</v>
      </c>
      <c r="K215" s="100">
        <v>4983.1000000000004</v>
      </c>
      <c r="L215" s="100">
        <v>0</v>
      </c>
    </row>
    <row r="216" spans="1:12" x14ac:dyDescent="0.35">
      <c r="A216" s="98" t="s">
        <v>719</v>
      </c>
      <c r="B216" s="99" t="s">
        <v>720</v>
      </c>
      <c r="C216" s="100">
        <v>0</v>
      </c>
      <c r="D216" s="100">
        <v>0</v>
      </c>
      <c r="E216" s="100">
        <v>11660.19</v>
      </c>
      <c r="F216" s="100">
        <v>0</v>
      </c>
      <c r="G216" s="100">
        <v>319.02</v>
      </c>
      <c r="H216" s="100">
        <v>0</v>
      </c>
      <c r="I216" s="100">
        <v>11979.21</v>
      </c>
      <c r="J216" s="100">
        <v>0</v>
      </c>
      <c r="K216" s="100">
        <v>11979.21</v>
      </c>
      <c r="L216" s="100">
        <v>0</v>
      </c>
    </row>
    <row r="217" spans="1:12" x14ac:dyDescent="0.35">
      <c r="A217" s="98" t="s">
        <v>721</v>
      </c>
      <c r="B217" s="99" t="s">
        <v>722</v>
      </c>
      <c r="C217" s="100">
        <v>0</v>
      </c>
      <c r="D217" s="100">
        <v>0</v>
      </c>
      <c r="E217" s="100">
        <v>924</v>
      </c>
      <c r="F217" s="100">
        <v>0</v>
      </c>
      <c r="G217" s="100">
        <v>0</v>
      </c>
      <c r="H217" s="100">
        <v>0</v>
      </c>
      <c r="I217" s="100">
        <v>924</v>
      </c>
      <c r="J217" s="100">
        <v>0</v>
      </c>
      <c r="K217" s="100">
        <v>924</v>
      </c>
      <c r="L217" s="100">
        <v>0</v>
      </c>
    </row>
    <row r="218" spans="1:12" x14ac:dyDescent="0.35">
      <c r="A218" s="98" t="s">
        <v>723</v>
      </c>
      <c r="B218" s="99" t="s">
        <v>724</v>
      </c>
      <c r="C218" s="100">
        <v>0</v>
      </c>
      <c r="D218" s="100">
        <v>0</v>
      </c>
      <c r="E218" s="100">
        <v>1000</v>
      </c>
      <c r="F218" s="100">
        <v>0</v>
      </c>
      <c r="G218" s="100">
        <v>0</v>
      </c>
      <c r="H218" s="100">
        <v>0</v>
      </c>
      <c r="I218" s="100">
        <v>1000</v>
      </c>
      <c r="J218" s="100">
        <v>0</v>
      </c>
      <c r="K218" s="100">
        <v>1000</v>
      </c>
      <c r="L218" s="100">
        <v>0</v>
      </c>
    </row>
    <row r="219" spans="1:12" x14ac:dyDescent="0.35">
      <c r="A219" s="98" t="s">
        <v>725</v>
      </c>
      <c r="B219" s="99" t="s">
        <v>726</v>
      </c>
      <c r="C219" s="100">
        <v>0</v>
      </c>
      <c r="D219" s="100">
        <v>0</v>
      </c>
      <c r="E219" s="100">
        <v>0</v>
      </c>
      <c r="F219" s="100">
        <v>0</v>
      </c>
      <c r="G219" s="100">
        <v>-875</v>
      </c>
      <c r="H219" s="100">
        <v>0</v>
      </c>
      <c r="I219" s="100">
        <v>-875</v>
      </c>
      <c r="J219" s="100">
        <v>0</v>
      </c>
      <c r="K219" s="100">
        <v>-875</v>
      </c>
      <c r="L219" s="100">
        <v>0</v>
      </c>
    </row>
    <row r="220" spans="1:12" x14ac:dyDescent="0.35">
      <c r="A220" s="98" t="s">
        <v>727</v>
      </c>
      <c r="B220" s="99" t="s">
        <v>728</v>
      </c>
      <c r="C220" s="100">
        <v>0</v>
      </c>
      <c r="D220" s="100">
        <v>0</v>
      </c>
      <c r="E220" s="100">
        <v>-2400</v>
      </c>
      <c r="F220" s="100">
        <v>0</v>
      </c>
      <c r="G220" s="100">
        <v>2400</v>
      </c>
      <c r="H220" s="100">
        <v>3704.4</v>
      </c>
      <c r="I220" s="100">
        <v>2400</v>
      </c>
      <c r="J220" s="100">
        <v>6104.4</v>
      </c>
      <c r="K220" s="100">
        <v>-3704.4</v>
      </c>
      <c r="L220" s="100">
        <v>0</v>
      </c>
    </row>
    <row r="221" spans="1:12" x14ac:dyDescent="0.35">
      <c r="A221" s="98" t="s">
        <v>729</v>
      </c>
      <c r="B221" s="99" t="s">
        <v>730</v>
      </c>
      <c r="C221" s="100">
        <v>0</v>
      </c>
      <c r="D221" s="100">
        <v>0</v>
      </c>
      <c r="E221" s="100">
        <v>723.82</v>
      </c>
      <c r="F221" s="100">
        <v>0</v>
      </c>
      <c r="G221" s="100">
        <v>1217.6199999999999</v>
      </c>
      <c r="H221" s="100">
        <v>165.16</v>
      </c>
      <c r="I221" s="100">
        <v>2731.26</v>
      </c>
      <c r="J221" s="100">
        <v>954.98</v>
      </c>
      <c r="K221" s="100">
        <v>1776.28</v>
      </c>
      <c r="L221" s="100">
        <v>0</v>
      </c>
    </row>
    <row r="222" spans="1:12" x14ac:dyDescent="0.35">
      <c r="A222" s="98" t="s">
        <v>731</v>
      </c>
      <c r="B222" s="99" t="s">
        <v>732</v>
      </c>
      <c r="C222" s="100">
        <v>0</v>
      </c>
      <c r="D222" s="100">
        <v>0</v>
      </c>
      <c r="E222" s="100">
        <v>40026.15</v>
      </c>
      <c r="F222" s="100">
        <v>0</v>
      </c>
      <c r="G222" s="100">
        <v>3214.36</v>
      </c>
      <c r="H222" s="100">
        <v>0</v>
      </c>
      <c r="I222" s="100">
        <v>43415.9</v>
      </c>
      <c r="J222" s="100">
        <v>175.39</v>
      </c>
      <c r="K222" s="100">
        <v>43240.51</v>
      </c>
      <c r="L222" s="100">
        <v>0</v>
      </c>
    </row>
    <row r="223" spans="1:12" x14ac:dyDescent="0.35">
      <c r="A223" s="98" t="s">
        <v>733</v>
      </c>
      <c r="B223" s="99" t="s">
        <v>734</v>
      </c>
      <c r="C223" s="100">
        <v>0</v>
      </c>
      <c r="D223" s="100">
        <v>0</v>
      </c>
      <c r="E223" s="100">
        <v>17391.54</v>
      </c>
      <c r="F223" s="100">
        <v>0</v>
      </c>
      <c r="G223" s="100">
        <v>1429.1</v>
      </c>
      <c r="H223" s="100">
        <v>346.4</v>
      </c>
      <c r="I223" s="100">
        <v>19022.240000000002</v>
      </c>
      <c r="J223" s="100">
        <v>548</v>
      </c>
      <c r="K223" s="100">
        <v>18474.240000000002</v>
      </c>
      <c r="L223" s="100">
        <v>0</v>
      </c>
    </row>
    <row r="224" spans="1:12" x14ac:dyDescent="0.35">
      <c r="A224" s="98" t="s">
        <v>735</v>
      </c>
      <c r="B224" s="99" t="s">
        <v>736</v>
      </c>
      <c r="C224" s="100">
        <v>0</v>
      </c>
      <c r="D224" s="100">
        <v>0</v>
      </c>
      <c r="E224" s="100">
        <v>3497.74</v>
      </c>
      <c r="F224" s="100">
        <v>0</v>
      </c>
      <c r="G224" s="100">
        <v>574.76</v>
      </c>
      <c r="H224" s="100">
        <v>0</v>
      </c>
      <c r="I224" s="100">
        <v>4072.5</v>
      </c>
      <c r="J224" s="100">
        <v>0</v>
      </c>
      <c r="K224" s="100">
        <v>4072.5</v>
      </c>
      <c r="L224" s="100">
        <v>0</v>
      </c>
    </row>
    <row r="225" spans="1:12" x14ac:dyDescent="0.35">
      <c r="A225" s="98" t="s">
        <v>737</v>
      </c>
      <c r="B225" s="99" t="s">
        <v>738</v>
      </c>
      <c r="C225" s="100">
        <v>0</v>
      </c>
      <c r="D225" s="100">
        <v>0</v>
      </c>
      <c r="E225" s="100">
        <v>1387.98</v>
      </c>
      <c r="F225" s="100">
        <v>0</v>
      </c>
      <c r="G225" s="100">
        <v>228.08</v>
      </c>
      <c r="H225" s="100">
        <v>0</v>
      </c>
      <c r="I225" s="100">
        <v>1616.06</v>
      </c>
      <c r="J225" s="100">
        <v>0</v>
      </c>
      <c r="K225" s="100">
        <v>1616.06</v>
      </c>
      <c r="L225" s="100">
        <v>0</v>
      </c>
    </row>
    <row r="226" spans="1:12" x14ac:dyDescent="0.35">
      <c r="A226" s="98" t="s">
        <v>739</v>
      </c>
      <c r="B226" s="99" t="s">
        <v>740</v>
      </c>
      <c r="C226" s="100">
        <v>0</v>
      </c>
      <c r="D226" s="100">
        <v>0</v>
      </c>
      <c r="E226" s="100">
        <v>0</v>
      </c>
      <c r="F226" s="100">
        <v>0</v>
      </c>
      <c r="G226" s="100">
        <v>-219</v>
      </c>
      <c r="H226" s="100">
        <v>0</v>
      </c>
      <c r="I226" s="100">
        <v>-219</v>
      </c>
      <c r="J226" s="100">
        <v>0</v>
      </c>
      <c r="K226" s="100">
        <v>-219</v>
      </c>
      <c r="L226" s="100">
        <v>0</v>
      </c>
    </row>
    <row r="227" spans="1:12" x14ac:dyDescent="0.35">
      <c r="A227" s="98" t="s">
        <v>741</v>
      </c>
      <c r="B227" s="99" t="s">
        <v>742</v>
      </c>
      <c r="C227" s="100">
        <v>0</v>
      </c>
      <c r="D227" s="100">
        <v>0</v>
      </c>
      <c r="E227" s="100">
        <v>0</v>
      </c>
      <c r="F227" s="100">
        <v>0</v>
      </c>
      <c r="G227" s="100">
        <v>-87</v>
      </c>
      <c r="H227" s="100">
        <v>0</v>
      </c>
      <c r="I227" s="100">
        <v>-87</v>
      </c>
      <c r="J227" s="100">
        <v>0</v>
      </c>
      <c r="K227" s="100">
        <v>-87</v>
      </c>
      <c r="L227" s="100">
        <v>0</v>
      </c>
    </row>
    <row r="228" spans="1:12" x14ac:dyDescent="0.35">
      <c r="A228" s="98" t="s">
        <v>743</v>
      </c>
      <c r="B228" s="99" t="s">
        <v>744</v>
      </c>
      <c r="C228" s="100">
        <v>0</v>
      </c>
      <c r="D228" s="100">
        <v>0</v>
      </c>
      <c r="E228" s="100">
        <v>-604.79999999999995</v>
      </c>
      <c r="F228" s="100">
        <v>0</v>
      </c>
      <c r="G228" s="100">
        <v>604.79999999999995</v>
      </c>
      <c r="H228" s="100">
        <v>933.41</v>
      </c>
      <c r="I228" s="100">
        <v>604.79999999999995</v>
      </c>
      <c r="J228" s="100">
        <v>1538.21</v>
      </c>
      <c r="K228" s="100">
        <v>-933.41</v>
      </c>
      <c r="L228" s="100">
        <v>0</v>
      </c>
    </row>
    <row r="229" spans="1:12" x14ac:dyDescent="0.35">
      <c r="A229" s="98" t="s">
        <v>745</v>
      </c>
      <c r="B229" s="99" t="s">
        <v>746</v>
      </c>
      <c r="C229" s="100">
        <v>0</v>
      </c>
      <c r="D229" s="100">
        <v>0</v>
      </c>
      <c r="E229" s="100">
        <v>-132</v>
      </c>
      <c r="F229" s="100">
        <v>0</v>
      </c>
      <c r="G229" s="100">
        <v>240</v>
      </c>
      <c r="H229" s="100">
        <v>0</v>
      </c>
      <c r="I229" s="100">
        <v>240</v>
      </c>
      <c r="J229" s="100">
        <v>132</v>
      </c>
      <c r="K229" s="100">
        <v>108</v>
      </c>
      <c r="L229" s="100">
        <v>0</v>
      </c>
    </row>
    <row r="230" spans="1:12" x14ac:dyDescent="0.35">
      <c r="A230" s="98" t="s">
        <v>747</v>
      </c>
      <c r="B230" s="99" t="s">
        <v>748</v>
      </c>
      <c r="C230" s="100">
        <v>0</v>
      </c>
      <c r="D230" s="100">
        <v>0</v>
      </c>
      <c r="E230" s="100">
        <v>254.79</v>
      </c>
      <c r="F230" s="100">
        <v>0</v>
      </c>
      <c r="G230" s="100">
        <v>428.6</v>
      </c>
      <c r="H230" s="100">
        <v>58.14</v>
      </c>
      <c r="I230" s="100">
        <v>961.42</v>
      </c>
      <c r="J230" s="100">
        <v>336.17</v>
      </c>
      <c r="K230" s="100">
        <v>625.25</v>
      </c>
      <c r="L230" s="100">
        <v>0</v>
      </c>
    </row>
    <row r="231" spans="1:12" x14ac:dyDescent="0.35">
      <c r="A231" s="98" t="s">
        <v>749</v>
      </c>
      <c r="B231" s="99" t="s">
        <v>750</v>
      </c>
      <c r="C231" s="100">
        <v>0</v>
      </c>
      <c r="D231" s="100">
        <v>0</v>
      </c>
      <c r="E231" s="100">
        <v>817.15</v>
      </c>
      <c r="F231" s="100">
        <v>0</v>
      </c>
      <c r="G231" s="100">
        <v>178.86</v>
      </c>
      <c r="H231" s="100">
        <v>0</v>
      </c>
      <c r="I231" s="100">
        <v>996.01</v>
      </c>
      <c r="J231" s="100">
        <v>0</v>
      </c>
      <c r="K231" s="100">
        <v>996.01</v>
      </c>
      <c r="L231" s="100">
        <v>0</v>
      </c>
    </row>
    <row r="232" spans="1:12" x14ac:dyDescent="0.35">
      <c r="A232" s="98" t="s">
        <v>751</v>
      </c>
      <c r="B232" s="99" t="s">
        <v>752</v>
      </c>
      <c r="C232" s="100">
        <v>0</v>
      </c>
      <c r="D232" s="100">
        <v>0</v>
      </c>
      <c r="E232" s="100">
        <v>356.72</v>
      </c>
      <c r="F232" s="100">
        <v>0</v>
      </c>
      <c r="G232" s="100">
        <v>0</v>
      </c>
      <c r="H232" s="100">
        <v>0</v>
      </c>
      <c r="I232" s="100">
        <v>356.72</v>
      </c>
      <c r="J232" s="100">
        <v>0</v>
      </c>
      <c r="K232" s="100">
        <v>356.72</v>
      </c>
      <c r="L232" s="100">
        <v>0</v>
      </c>
    </row>
    <row r="233" spans="1:12" x14ac:dyDescent="0.35">
      <c r="A233" s="98" t="s">
        <v>753</v>
      </c>
      <c r="B233" s="99" t="s">
        <v>754</v>
      </c>
      <c r="C233" s="100">
        <v>0</v>
      </c>
      <c r="D233" s="100">
        <v>0</v>
      </c>
      <c r="E233" s="100">
        <v>7001.16</v>
      </c>
      <c r="F233" s="100">
        <v>0</v>
      </c>
      <c r="G233" s="100">
        <v>583.84</v>
      </c>
      <c r="H233" s="100">
        <v>1930.54</v>
      </c>
      <c r="I233" s="100">
        <v>7787.4</v>
      </c>
      <c r="J233" s="100">
        <v>2132.94</v>
      </c>
      <c r="K233" s="100">
        <v>5654.46</v>
      </c>
      <c r="L233" s="100">
        <v>0</v>
      </c>
    </row>
    <row r="234" spans="1:12" x14ac:dyDescent="0.35">
      <c r="A234" s="98" t="s">
        <v>755</v>
      </c>
      <c r="B234" s="99" t="s">
        <v>756</v>
      </c>
      <c r="C234" s="100">
        <v>0</v>
      </c>
      <c r="D234" s="100">
        <v>0</v>
      </c>
      <c r="E234" s="100">
        <v>389.61</v>
      </c>
      <c r="F234" s="100">
        <v>0</v>
      </c>
      <c r="G234" s="100">
        <v>0</v>
      </c>
      <c r="H234" s="100">
        <v>0</v>
      </c>
      <c r="I234" s="100">
        <v>389.61</v>
      </c>
      <c r="J234" s="100">
        <v>0</v>
      </c>
      <c r="K234" s="100">
        <v>389.61</v>
      </c>
      <c r="L234" s="100">
        <v>0</v>
      </c>
    </row>
    <row r="235" spans="1:12" x14ac:dyDescent="0.35">
      <c r="A235" s="98" t="s">
        <v>757</v>
      </c>
      <c r="B235" s="99" t="s">
        <v>758</v>
      </c>
      <c r="C235" s="100">
        <v>0</v>
      </c>
      <c r="D235" s="100">
        <v>0</v>
      </c>
      <c r="E235" s="100">
        <v>3561.33</v>
      </c>
      <c r="F235" s="100">
        <v>0</v>
      </c>
      <c r="G235" s="100">
        <v>328.66</v>
      </c>
      <c r="H235" s="100">
        <v>0</v>
      </c>
      <c r="I235" s="100">
        <v>3889.99</v>
      </c>
      <c r="J235" s="100">
        <v>0</v>
      </c>
      <c r="K235" s="100">
        <v>3889.99</v>
      </c>
      <c r="L235" s="100">
        <v>0</v>
      </c>
    </row>
    <row r="236" spans="1:12" x14ac:dyDescent="0.35">
      <c r="A236" s="98" t="s">
        <v>759</v>
      </c>
      <c r="B236" s="99" t="s">
        <v>760</v>
      </c>
      <c r="C236" s="100">
        <v>0</v>
      </c>
      <c r="D236" s="100">
        <v>0</v>
      </c>
      <c r="E236" s="100">
        <v>0</v>
      </c>
      <c r="F236" s="100">
        <v>0</v>
      </c>
      <c r="G236" s="100">
        <v>240</v>
      </c>
      <c r="H236" s="100">
        <v>0</v>
      </c>
      <c r="I236" s="100">
        <v>240</v>
      </c>
      <c r="J236" s="100">
        <v>0</v>
      </c>
      <c r="K236" s="100">
        <v>240</v>
      </c>
      <c r="L236" s="100">
        <v>0</v>
      </c>
    </row>
    <row r="237" spans="1:12" x14ac:dyDescent="0.35">
      <c r="A237" s="98" t="s">
        <v>761</v>
      </c>
      <c r="B237" s="99" t="s">
        <v>762</v>
      </c>
      <c r="C237" s="100">
        <v>0</v>
      </c>
      <c r="D237" s="100">
        <v>0</v>
      </c>
      <c r="E237" s="100">
        <v>373.41</v>
      </c>
      <c r="F237" s="100">
        <v>0</v>
      </c>
      <c r="G237" s="100">
        <v>33</v>
      </c>
      <c r="H237" s="100">
        <v>0</v>
      </c>
      <c r="I237" s="100">
        <v>406.41</v>
      </c>
      <c r="J237" s="100">
        <v>0</v>
      </c>
      <c r="K237" s="100">
        <v>406.41</v>
      </c>
      <c r="L237" s="100">
        <v>0</v>
      </c>
    </row>
    <row r="238" spans="1:12" x14ac:dyDescent="0.35">
      <c r="A238" s="98" t="s">
        <v>763</v>
      </c>
      <c r="B238" s="99" t="s">
        <v>764</v>
      </c>
      <c r="C238" s="100">
        <v>0</v>
      </c>
      <c r="D238" s="100">
        <v>0</v>
      </c>
      <c r="E238" s="100">
        <v>1168.96</v>
      </c>
      <c r="F238" s="100">
        <v>0</v>
      </c>
      <c r="G238" s="100">
        <v>285.8</v>
      </c>
      <c r="H238" s="100">
        <v>0</v>
      </c>
      <c r="I238" s="100">
        <v>1454.76</v>
      </c>
      <c r="J238" s="100">
        <v>0</v>
      </c>
      <c r="K238" s="100">
        <v>1454.76</v>
      </c>
      <c r="L238" s="100">
        <v>0</v>
      </c>
    </row>
    <row r="239" spans="1:12" x14ac:dyDescent="0.35">
      <c r="A239" s="98" t="s">
        <v>765</v>
      </c>
      <c r="B239" s="99" t="s">
        <v>766</v>
      </c>
      <c r="C239" s="100">
        <v>0</v>
      </c>
      <c r="D239" s="100">
        <v>0</v>
      </c>
      <c r="E239" s="100">
        <v>0</v>
      </c>
      <c r="F239" s="100">
        <v>0</v>
      </c>
      <c r="G239" s="100">
        <v>44.4</v>
      </c>
      <c r="H239" s="100">
        <v>0</v>
      </c>
      <c r="I239" s="100">
        <v>44.4</v>
      </c>
      <c r="J239" s="100">
        <v>0</v>
      </c>
      <c r="K239" s="100">
        <v>44.4</v>
      </c>
      <c r="L239" s="100">
        <v>0</v>
      </c>
    </row>
    <row r="240" spans="1:12" x14ac:dyDescent="0.35">
      <c r="A240" s="98" t="s">
        <v>767</v>
      </c>
      <c r="B240" s="99" t="s">
        <v>123</v>
      </c>
      <c r="C240" s="100">
        <v>0</v>
      </c>
      <c r="D240" s="100">
        <v>0</v>
      </c>
      <c r="E240" s="100">
        <v>1040</v>
      </c>
      <c r="F240" s="100">
        <v>0</v>
      </c>
      <c r="G240" s="100">
        <v>0</v>
      </c>
      <c r="H240" s="100">
        <v>0</v>
      </c>
      <c r="I240" s="100">
        <v>1040</v>
      </c>
      <c r="J240" s="100">
        <v>0</v>
      </c>
      <c r="K240" s="100">
        <v>1040</v>
      </c>
      <c r="L240" s="100">
        <v>0</v>
      </c>
    </row>
    <row r="241" spans="1:12" x14ac:dyDescent="0.35">
      <c r="A241" s="98" t="s">
        <v>768</v>
      </c>
      <c r="B241" s="99" t="s">
        <v>769</v>
      </c>
      <c r="C241" s="100">
        <v>0</v>
      </c>
      <c r="D241" s="100">
        <v>0</v>
      </c>
      <c r="E241" s="100">
        <v>8.26</v>
      </c>
      <c r="F241" s="100">
        <v>0</v>
      </c>
      <c r="G241" s="100">
        <v>0</v>
      </c>
      <c r="H241" s="100">
        <v>0</v>
      </c>
      <c r="I241" s="100">
        <v>8.26</v>
      </c>
      <c r="J241" s="100">
        <v>0</v>
      </c>
      <c r="K241" s="100">
        <v>8.26</v>
      </c>
      <c r="L241" s="100">
        <v>0</v>
      </c>
    </row>
    <row r="242" spans="1:12" x14ac:dyDescent="0.35">
      <c r="A242" s="98" t="s">
        <v>770</v>
      </c>
      <c r="B242" s="99" t="s">
        <v>771</v>
      </c>
      <c r="C242" s="100">
        <v>0</v>
      </c>
      <c r="D242" s="100">
        <v>0</v>
      </c>
      <c r="E242" s="100">
        <v>0</v>
      </c>
      <c r="F242" s="100">
        <v>0</v>
      </c>
      <c r="G242" s="100">
        <v>7726.27</v>
      </c>
      <c r="H242" s="100">
        <v>0</v>
      </c>
      <c r="I242" s="100">
        <v>7726.27</v>
      </c>
      <c r="J242" s="100">
        <v>0</v>
      </c>
      <c r="K242" s="100">
        <v>7726.27</v>
      </c>
      <c r="L242" s="100">
        <v>0</v>
      </c>
    </row>
    <row r="243" spans="1:12" x14ac:dyDescent="0.35">
      <c r="A243" s="98" t="s">
        <v>772</v>
      </c>
      <c r="B243" s="99" t="s">
        <v>773</v>
      </c>
      <c r="C243" s="100">
        <v>0</v>
      </c>
      <c r="D243" s="100">
        <v>0</v>
      </c>
      <c r="E243" s="100">
        <v>2.92</v>
      </c>
      <c r="F243" s="100">
        <v>0</v>
      </c>
      <c r="G243" s="100">
        <v>0.13</v>
      </c>
      <c r="H243" s="100">
        <v>0</v>
      </c>
      <c r="I243" s="100">
        <v>3.23</v>
      </c>
      <c r="J243" s="100">
        <v>0.18</v>
      </c>
      <c r="K243" s="100">
        <v>3.05</v>
      </c>
      <c r="L243" s="100">
        <v>0</v>
      </c>
    </row>
    <row r="244" spans="1:12" x14ac:dyDescent="0.35">
      <c r="A244" s="98" t="s">
        <v>774</v>
      </c>
      <c r="B244" s="99" t="s">
        <v>775</v>
      </c>
      <c r="C244" s="100">
        <v>0</v>
      </c>
      <c r="D244" s="100">
        <v>0</v>
      </c>
      <c r="E244" s="100">
        <v>879.44</v>
      </c>
      <c r="F244" s="100">
        <v>0</v>
      </c>
      <c r="G244" s="100">
        <v>0</v>
      </c>
      <c r="H244" s="100">
        <v>0</v>
      </c>
      <c r="I244" s="100">
        <v>879.44</v>
      </c>
      <c r="J244" s="100">
        <v>0</v>
      </c>
      <c r="K244" s="100">
        <v>879.44</v>
      </c>
      <c r="L244" s="100">
        <v>0</v>
      </c>
    </row>
    <row r="245" spans="1:12" x14ac:dyDescent="0.35">
      <c r="A245" s="98" t="s">
        <v>776</v>
      </c>
      <c r="B245" s="99" t="s">
        <v>777</v>
      </c>
      <c r="C245" s="100">
        <v>0</v>
      </c>
      <c r="D245" s="100">
        <v>0</v>
      </c>
      <c r="E245" s="100">
        <v>2373.36</v>
      </c>
      <c r="F245" s="100">
        <v>0</v>
      </c>
      <c r="G245" s="100">
        <v>-2373.36</v>
      </c>
      <c r="H245" s="100">
        <v>0</v>
      </c>
      <c r="I245" s="100">
        <v>0</v>
      </c>
      <c r="J245" s="100">
        <v>0</v>
      </c>
      <c r="K245" s="100">
        <v>0</v>
      </c>
      <c r="L245" s="100">
        <v>0</v>
      </c>
    </row>
    <row r="246" spans="1:12" x14ac:dyDescent="0.35">
      <c r="A246" s="98" t="s">
        <v>778</v>
      </c>
      <c r="B246" s="99" t="s">
        <v>779</v>
      </c>
      <c r="C246" s="100">
        <v>0</v>
      </c>
      <c r="D246" s="100">
        <v>0</v>
      </c>
      <c r="E246" s="100">
        <v>520.16999999999996</v>
      </c>
      <c r="F246" s="100">
        <v>0</v>
      </c>
      <c r="G246" s="100">
        <v>28.55</v>
      </c>
      <c r="H246" s="100">
        <v>0</v>
      </c>
      <c r="I246" s="100">
        <v>548.72</v>
      </c>
      <c r="J246" s="100">
        <v>0</v>
      </c>
      <c r="K246" s="100">
        <v>548.72</v>
      </c>
      <c r="L246" s="100">
        <v>0</v>
      </c>
    </row>
    <row r="247" spans="1:12" x14ac:dyDescent="0.35">
      <c r="A247" s="98" t="s">
        <v>780</v>
      </c>
      <c r="B247" s="99" t="s">
        <v>781</v>
      </c>
      <c r="C247" s="100">
        <v>0</v>
      </c>
      <c r="D247" s="100">
        <v>0</v>
      </c>
      <c r="E247" s="100">
        <v>0</v>
      </c>
      <c r="F247" s="100">
        <v>0</v>
      </c>
      <c r="G247" s="100">
        <v>0</v>
      </c>
      <c r="H247" s="100">
        <v>0</v>
      </c>
      <c r="I247" s="100">
        <v>0</v>
      </c>
      <c r="J247" s="100">
        <v>0</v>
      </c>
      <c r="K247" s="100">
        <v>0</v>
      </c>
      <c r="L247" s="100">
        <v>0</v>
      </c>
    </row>
    <row r="248" spans="1:12" x14ac:dyDescent="0.35">
      <c r="A248" s="98" t="s">
        <v>782</v>
      </c>
      <c r="B248" s="99" t="s">
        <v>783</v>
      </c>
      <c r="C248" s="100">
        <v>0</v>
      </c>
      <c r="D248" s="100">
        <v>0</v>
      </c>
      <c r="E248" s="100">
        <v>3517.47</v>
      </c>
      <c r="F248" s="100">
        <v>0</v>
      </c>
      <c r="G248" s="100">
        <v>319.77</v>
      </c>
      <c r="H248" s="100">
        <v>0</v>
      </c>
      <c r="I248" s="100">
        <v>3837.24</v>
      </c>
      <c r="J248" s="100">
        <v>0</v>
      </c>
      <c r="K248" s="100">
        <v>3837.24</v>
      </c>
      <c r="L248" s="100">
        <v>0</v>
      </c>
    </row>
    <row r="249" spans="1:12" x14ac:dyDescent="0.35">
      <c r="A249" s="98" t="s">
        <v>784</v>
      </c>
      <c r="B249" s="99" t="s">
        <v>785</v>
      </c>
      <c r="C249" s="100">
        <v>0</v>
      </c>
      <c r="D249" s="100">
        <v>0</v>
      </c>
      <c r="E249" s="100">
        <v>341.01</v>
      </c>
      <c r="F249" s="100">
        <v>0</v>
      </c>
      <c r="G249" s="100">
        <v>178.73</v>
      </c>
      <c r="H249" s="100">
        <v>0</v>
      </c>
      <c r="I249" s="100">
        <v>519.74</v>
      </c>
      <c r="J249" s="100">
        <v>0</v>
      </c>
      <c r="K249" s="100">
        <v>519.74</v>
      </c>
      <c r="L249" s="100">
        <v>0</v>
      </c>
    </row>
    <row r="250" spans="1:12" x14ac:dyDescent="0.35">
      <c r="A250" s="98" t="s">
        <v>786</v>
      </c>
      <c r="B250" s="99" t="s">
        <v>787</v>
      </c>
      <c r="C250" s="100">
        <v>0</v>
      </c>
      <c r="D250" s="100">
        <v>0</v>
      </c>
      <c r="E250" s="100">
        <v>163.22</v>
      </c>
      <c r="F250" s="100">
        <v>0</v>
      </c>
      <c r="G250" s="100">
        <v>0</v>
      </c>
      <c r="H250" s="100">
        <v>0</v>
      </c>
      <c r="I250" s="100">
        <v>163.22</v>
      </c>
      <c r="J250" s="100">
        <v>0</v>
      </c>
      <c r="K250" s="100">
        <v>163.22</v>
      </c>
      <c r="L250" s="100">
        <v>0</v>
      </c>
    </row>
    <row r="251" spans="1:12" x14ac:dyDescent="0.35">
      <c r="A251" s="98" t="s">
        <v>788</v>
      </c>
      <c r="B251" s="99" t="s">
        <v>789</v>
      </c>
      <c r="C251" s="100">
        <v>0</v>
      </c>
      <c r="D251" s="100">
        <v>0</v>
      </c>
      <c r="E251" s="100">
        <v>53.73</v>
      </c>
      <c r="F251" s="100">
        <v>0</v>
      </c>
      <c r="G251" s="100">
        <v>0</v>
      </c>
      <c r="H251" s="100">
        <v>0</v>
      </c>
      <c r="I251" s="100">
        <v>53.73</v>
      </c>
      <c r="J251" s="100">
        <v>0</v>
      </c>
      <c r="K251" s="100">
        <v>53.73</v>
      </c>
      <c r="L251" s="100">
        <v>0</v>
      </c>
    </row>
    <row r="252" spans="1:12" x14ac:dyDescent="0.35">
      <c r="A252" s="98" t="s">
        <v>790</v>
      </c>
      <c r="B252" s="99" t="s">
        <v>791</v>
      </c>
      <c r="C252" s="100">
        <v>0</v>
      </c>
      <c r="D252" s="100">
        <v>0</v>
      </c>
      <c r="E252" s="100">
        <v>958.83</v>
      </c>
      <c r="F252" s="100">
        <v>0</v>
      </c>
      <c r="G252" s="100">
        <v>115.48</v>
      </c>
      <c r="H252" s="100">
        <v>0</v>
      </c>
      <c r="I252" s="100">
        <v>1074.31</v>
      </c>
      <c r="J252" s="100">
        <v>0</v>
      </c>
      <c r="K252" s="100">
        <v>1074.31</v>
      </c>
      <c r="L252" s="100">
        <v>0</v>
      </c>
    </row>
    <row r="253" spans="1:12" x14ac:dyDescent="0.35">
      <c r="A253" s="98" t="s">
        <v>792</v>
      </c>
      <c r="B253" s="99" t="s">
        <v>793</v>
      </c>
      <c r="C253" s="100">
        <v>0</v>
      </c>
      <c r="D253" s="100">
        <v>0</v>
      </c>
      <c r="E253" s="100">
        <v>0</v>
      </c>
      <c r="F253" s="100">
        <v>0</v>
      </c>
      <c r="G253" s="100">
        <v>0</v>
      </c>
      <c r="H253" s="100">
        <v>0</v>
      </c>
      <c r="I253" s="100">
        <v>0</v>
      </c>
      <c r="J253" s="100">
        <v>0</v>
      </c>
      <c r="K253" s="100">
        <v>0</v>
      </c>
      <c r="L253" s="100">
        <v>0</v>
      </c>
    </row>
    <row r="254" spans="1:12" x14ac:dyDescent="0.35">
      <c r="A254" s="98" t="s">
        <v>794</v>
      </c>
      <c r="B254" s="99" t="s">
        <v>795</v>
      </c>
      <c r="C254" s="100">
        <v>0</v>
      </c>
      <c r="D254" s="100">
        <v>0</v>
      </c>
      <c r="E254" s="100">
        <v>161.87</v>
      </c>
      <c r="F254" s="100">
        <v>0</v>
      </c>
      <c r="G254" s="100">
        <v>12.26</v>
      </c>
      <c r="H254" s="100">
        <v>0</v>
      </c>
      <c r="I254" s="100">
        <v>174.13</v>
      </c>
      <c r="J254" s="100">
        <v>0</v>
      </c>
      <c r="K254" s="100">
        <v>174.13</v>
      </c>
      <c r="L254" s="100">
        <v>0</v>
      </c>
    </row>
    <row r="255" spans="1:12" x14ac:dyDescent="0.35">
      <c r="A255" s="98" t="s">
        <v>796</v>
      </c>
      <c r="B255" s="99" t="s">
        <v>797</v>
      </c>
      <c r="C255" s="100">
        <v>0</v>
      </c>
      <c r="D255" s="100">
        <v>0</v>
      </c>
      <c r="E255" s="100">
        <v>3486.23</v>
      </c>
      <c r="F255" s="100">
        <v>0</v>
      </c>
      <c r="G255" s="100">
        <v>449.33</v>
      </c>
      <c r="H255" s="100">
        <v>0</v>
      </c>
      <c r="I255" s="100">
        <v>3935.56</v>
      </c>
      <c r="J255" s="100">
        <v>0</v>
      </c>
      <c r="K255" s="100">
        <v>3935.56</v>
      </c>
      <c r="L255" s="100">
        <v>0</v>
      </c>
    </row>
    <row r="256" spans="1:12" x14ac:dyDescent="0.35">
      <c r="A256" s="98" t="s">
        <v>798</v>
      </c>
      <c r="B256" s="99" t="s">
        <v>799</v>
      </c>
      <c r="C256" s="100">
        <v>0</v>
      </c>
      <c r="D256" s="100">
        <v>0</v>
      </c>
      <c r="E256" s="100">
        <v>0</v>
      </c>
      <c r="F256" s="100">
        <v>0</v>
      </c>
      <c r="G256" s="100">
        <v>10697.14</v>
      </c>
      <c r="H256" s="100">
        <v>0</v>
      </c>
      <c r="I256" s="100">
        <v>10697.14</v>
      </c>
      <c r="J256" s="100">
        <v>0</v>
      </c>
      <c r="K256" s="100">
        <v>10697.14</v>
      </c>
      <c r="L256" s="100">
        <v>0</v>
      </c>
    </row>
    <row r="257" spans="1:12" x14ac:dyDescent="0.35">
      <c r="A257" s="98" t="s">
        <v>800</v>
      </c>
      <c r="B257" s="99" t="s">
        <v>147</v>
      </c>
      <c r="C257" s="100">
        <v>0</v>
      </c>
      <c r="D257" s="100">
        <v>0</v>
      </c>
      <c r="E257" s="100">
        <v>0</v>
      </c>
      <c r="F257" s="100">
        <v>0</v>
      </c>
      <c r="G257" s="100">
        <v>0</v>
      </c>
      <c r="H257" s="100">
        <v>-117.06</v>
      </c>
      <c r="I257" s="100">
        <v>0</v>
      </c>
      <c r="J257" s="100">
        <v>-117.06</v>
      </c>
      <c r="K257" s="100">
        <v>117.06</v>
      </c>
      <c r="L257" s="100">
        <v>0</v>
      </c>
    </row>
    <row r="258" spans="1:12" x14ac:dyDescent="0.35">
      <c r="A258" s="98" t="s">
        <v>801</v>
      </c>
      <c r="B258" s="99" t="s">
        <v>802</v>
      </c>
      <c r="C258" s="100">
        <v>0</v>
      </c>
      <c r="D258" s="100">
        <v>0</v>
      </c>
      <c r="E258" s="100">
        <v>0</v>
      </c>
      <c r="F258" s="100">
        <v>55.37</v>
      </c>
      <c r="G258" s="100">
        <v>0</v>
      </c>
      <c r="H258" s="100">
        <v>-55.37</v>
      </c>
      <c r="I258" s="100">
        <v>0</v>
      </c>
      <c r="J258" s="100">
        <v>0</v>
      </c>
      <c r="K258" s="100">
        <v>0</v>
      </c>
      <c r="L258" s="100">
        <v>0</v>
      </c>
    </row>
    <row r="259" spans="1:12" x14ac:dyDescent="0.35">
      <c r="A259" s="98" t="s">
        <v>803</v>
      </c>
      <c r="B259" s="99" t="s">
        <v>804</v>
      </c>
      <c r="C259" s="100">
        <v>0</v>
      </c>
      <c r="D259" s="100">
        <v>0</v>
      </c>
      <c r="E259" s="100">
        <v>0</v>
      </c>
      <c r="F259" s="100">
        <v>1013.86</v>
      </c>
      <c r="G259" s="100">
        <v>0</v>
      </c>
      <c r="H259" s="100">
        <v>190.08</v>
      </c>
      <c r="I259" s="100">
        <v>0</v>
      </c>
      <c r="J259" s="100">
        <v>1203.94</v>
      </c>
      <c r="K259" s="100">
        <v>0</v>
      </c>
      <c r="L259" s="100">
        <v>1203.94</v>
      </c>
    </row>
    <row r="260" spans="1:12" x14ac:dyDescent="0.35">
      <c r="A260" s="98" t="s">
        <v>805</v>
      </c>
      <c r="B260" s="99" t="s">
        <v>806</v>
      </c>
      <c r="C260" s="100">
        <v>0</v>
      </c>
      <c r="D260" s="100">
        <v>0</v>
      </c>
      <c r="E260" s="100">
        <v>0</v>
      </c>
      <c r="F260" s="100">
        <v>734545.66</v>
      </c>
      <c r="G260" s="100">
        <v>0</v>
      </c>
      <c r="H260" s="100">
        <v>70594.61</v>
      </c>
      <c r="I260" s="100">
        <v>0</v>
      </c>
      <c r="J260" s="100">
        <v>805140.27</v>
      </c>
      <c r="K260" s="100">
        <v>0</v>
      </c>
      <c r="L260" s="100">
        <v>805140.27</v>
      </c>
    </row>
    <row r="261" spans="1:12" x14ac:dyDescent="0.35">
      <c r="A261" s="98" t="s">
        <v>807</v>
      </c>
      <c r="B261" s="99" t="s">
        <v>808</v>
      </c>
      <c r="C261" s="100">
        <v>0</v>
      </c>
      <c r="D261" s="100">
        <v>0</v>
      </c>
      <c r="E261" s="100">
        <v>0</v>
      </c>
      <c r="F261" s="100">
        <v>197219.35</v>
      </c>
      <c r="G261" s="100">
        <v>0</v>
      </c>
      <c r="H261" s="100">
        <v>20346.82</v>
      </c>
      <c r="I261" s="100">
        <v>0</v>
      </c>
      <c r="J261" s="100">
        <v>217566.17</v>
      </c>
      <c r="K261" s="100">
        <v>0</v>
      </c>
      <c r="L261" s="100">
        <v>217566.17</v>
      </c>
    </row>
    <row r="262" spans="1:12" x14ac:dyDescent="0.35">
      <c r="A262" s="98" t="s">
        <v>809</v>
      </c>
      <c r="B262" s="99" t="s">
        <v>810</v>
      </c>
      <c r="C262" s="100">
        <v>0</v>
      </c>
      <c r="D262" s="100">
        <v>0</v>
      </c>
      <c r="E262" s="100">
        <v>0</v>
      </c>
      <c r="F262" s="100">
        <v>749602.74</v>
      </c>
      <c r="G262" s="100">
        <v>0</v>
      </c>
      <c r="H262" s="100">
        <v>99462.36</v>
      </c>
      <c r="I262" s="100">
        <v>0</v>
      </c>
      <c r="J262" s="100">
        <v>849065.1</v>
      </c>
      <c r="K262" s="100">
        <v>0</v>
      </c>
      <c r="L262" s="100">
        <v>849065.1</v>
      </c>
    </row>
    <row r="263" spans="1:12" x14ac:dyDescent="0.35">
      <c r="A263" s="98" t="s">
        <v>811</v>
      </c>
      <c r="B263" s="99" t="s">
        <v>812</v>
      </c>
      <c r="C263" s="100">
        <v>0</v>
      </c>
      <c r="D263" s="100">
        <v>0</v>
      </c>
      <c r="E263" s="100">
        <v>0</v>
      </c>
      <c r="F263" s="100">
        <v>214687.21</v>
      </c>
      <c r="G263" s="100">
        <v>0</v>
      </c>
      <c r="H263" s="100">
        <v>28826.26</v>
      </c>
      <c r="I263" s="100">
        <v>0</v>
      </c>
      <c r="J263" s="100">
        <v>243513.47</v>
      </c>
      <c r="K263" s="100">
        <v>0</v>
      </c>
      <c r="L263" s="100">
        <v>243513.47</v>
      </c>
    </row>
    <row r="264" spans="1:12" x14ac:dyDescent="0.35">
      <c r="A264" s="98" t="s">
        <v>813</v>
      </c>
      <c r="B264" s="99" t="s">
        <v>814</v>
      </c>
      <c r="C264" s="100">
        <v>0</v>
      </c>
      <c r="D264" s="100">
        <v>0</v>
      </c>
      <c r="E264" s="100">
        <v>0</v>
      </c>
      <c r="F264" s="100">
        <v>-18433.240000000002</v>
      </c>
      <c r="G264" s="100">
        <v>0</v>
      </c>
      <c r="H264" s="100">
        <v>-1870.84</v>
      </c>
      <c r="I264" s="100">
        <v>0</v>
      </c>
      <c r="J264" s="100">
        <v>-20304.080000000002</v>
      </c>
      <c r="K264" s="100">
        <v>0</v>
      </c>
      <c r="L264" s="100">
        <v>-20304.080000000002</v>
      </c>
    </row>
    <row r="265" spans="1:12" x14ac:dyDescent="0.35">
      <c r="A265" s="98" t="s">
        <v>815</v>
      </c>
      <c r="B265" s="99" t="s">
        <v>816</v>
      </c>
      <c r="C265" s="100">
        <v>0</v>
      </c>
      <c r="D265" s="100">
        <v>0</v>
      </c>
      <c r="E265" s="100">
        <v>0</v>
      </c>
      <c r="F265" s="100">
        <v>-4456.45</v>
      </c>
      <c r="G265" s="100">
        <v>0</v>
      </c>
      <c r="H265" s="100">
        <v>0</v>
      </c>
      <c r="I265" s="100">
        <v>0</v>
      </c>
      <c r="J265" s="100">
        <v>-4456.45</v>
      </c>
      <c r="K265" s="100">
        <v>0</v>
      </c>
      <c r="L265" s="100">
        <v>-4456.45</v>
      </c>
    </row>
    <row r="266" spans="1:12" x14ac:dyDescent="0.35">
      <c r="A266" s="98" t="s">
        <v>817</v>
      </c>
      <c r="B266" s="99" t="s">
        <v>818</v>
      </c>
      <c r="C266" s="100">
        <v>0</v>
      </c>
      <c r="D266" s="100">
        <v>0</v>
      </c>
      <c r="E266" s="100">
        <v>0</v>
      </c>
      <c r="F266" s="100">
        <v>5641.8</v>
      </c>
      <c r="G266" s="100">
        <v>0</v>
      </c>
      <c r="H266" s="100">
        <v>202.66</v>
      </c>
      <c r="I266" s="100">
        <v>0</v>
      </c>
      <c r="J266" s="100">
        <v>5844.46</v>
      </c>
      <c r="K266" s="100">
        <v>0</v>
      </c>
      <c r="L266" s="100">
        <v>5844.46</v>
      </c>
    </row>
    <row r="267" spans="1:12" x14ac:dyDescent="0.35">
      <c r="A267" s="98" t="s">
        <v>819</v>
      </c>
      <c r="B267" s="99" t="s">
        <v>820</v>
      </c>
      <c r="C267" s="100">
        <v>0</v>
      </c>
      <c r="D267" s="100">
        <v>0</v>
      </c>
      <c r="E267" s="100">
        <v>0</v>
      </c>
      <c r="F267" s="100">
        <v>5979.61</v>
      </c>
      <c r="G267" s="100">
        <v>0</v>
      </c>
      <c r="H267" s="100">
        <v>472.14</v>
      </c>
      <c r="I267" s="100">
        <v>0</v>
      </c>
      <c r="J267" s="100">
        <v>6451.75</v>
      </c>
      <c r="K267" s="100">
        <v>0</v>
      </c>
      <c r="L267" s="100">
        <v>6451.75</v>
      </c>
    </row>
    <row r="268" spans="1:12" x14ac:dyDescent="0.35">
      <c r="A268" s="98" t="s">
        <v>821</v>
      </c>
      <c r="B268" s="99" t="s">
        <v>822</v>
      </c>
      <c r="C268" s="100">
        <v>0</v>
      </c>
      <c r="D268" s="100">
        <v>0</v>
      </c>
      <c r="E268" s="100">
        <v>0</v>
      </c>
      <c r="F268" s="100">
        <v>33.15</v>
      </c>
      <c r="G268" s="100">
        <v>0</v>
      </c>
      <c r="H268" s="100">
        <v>4.6500000000000004</v>
      </c>
      <c r="I268" s="100">
        <v>0</v>
      </c>
      <c r="J268" s="100">
        <v>37.799999999999997</v>
      </c>
      <c r="K268" s="100">
        <v>0</v>
      </c>
      <c r="L268" s="100">
        <v>37.799999999999997</v>
      </c>
    </row>
    <row r="269" spans="1:12" x14ac:dyDescent="0.35">
      <c r="A269" s="98" t="s">
        <v>823</v>
      </c>
      <c r="B269" s="99" t="s">
        <v>824</v>
      </c>
      <c r="C269" s="100">
        <v>0</v>
      </c>
      <c r="D269" s="100">
        <v>0</v>
      </c>
      <c r="E269" s="100">
        <v>0</v>
      </c>
      <c r="F269" s="100">
        <v>9531.56</v>
      </c>
      <c r="G269" s="100">
        <v>0</v>
      </c>
      <c r="H269" s="100">
        <v>888</v>
      </c>
      <c r="I269" s="100">
        <v>0</v>
      </c>
      <c r="J269" s="100">
        <v>10419.56</v>
      </c>
      <c r="K269" s="100">
        <v>0</v>
      </c>
      <c r="L269" s="100">
        <v>10419.56</v>
      </c>
    </row>
    <row r="270" spans="1:12" x14ac:dyDescent="0.35">
      <c r="A270" s="98" t="s">
        <v>825</v>
      </c>
      <c r="B270" s="99" t="s">
        <v>773</v>
      </c>
      <c r="C270" s="100">
        <v>0</v>
      </c>
      <c r="D270" s="100">
        <v>0</v>
      </c>
      <c r="E270" s="100">
        <v>0</v>
      </c>
      <c r="F270" s="100">
        <v>312.05</v>
      </c>
      <c r="G270" s="100">
        <v>0</v>
      </c>
      <c r="H270" s="100">
        <v>34.08</v>
      </c>
      <c r="I270" s="100">
        <v>0</v>
      </c>
      <c r="J270" s="100">
        <v>346.13</v>
      </c>
      <c r="K270" s="100">
        <v>0</v>
      </c>
      <c r="L270" s="100">
        <v>346.13</v>
      </c>
    </row>
    <row r="271" spans="1:12" x14ac:dyDescent="0.35">
      <c r="A271" s="98" t="s">
        <v>826</v>
      </c>
      <c r="B271" s="99" t="s">
        <v>827</v>
      </c>
      <c r="C271" s="100">
        <v>0</v>
      </c>
      <c r="D271" s="100">
        <v>0</v>
      </c>
      <c r="E271" s="100">
        <v>0</v>
      </c>
      <c r="F271" s="100">
        <v>-15.9</v>
      </c>
      <c r="G271" s="100">
        <v>0</v>
      </c>
      <c r="H271" s="100">
        <v>91.54</v>
      </c>
      <c r="I271" s="100">
        <v>0</v>
      </c>
      <c r="J271" s="100">
        <v>75.64</v>
      </c>
      <c r="K271" s="100">
        <v>0</v>
      </c>
      <c r="L271" s="100">
        <v>75.64</v>
      </c>
    </row>
    <row r="272" spans="1:12" x14ac:dyDescent="0.35">
      <c r="A272" s="98" t="s">
        <v>828</v>
      </c>
      <c r="B272" s="99" t="s">
        <v>829</v>
      </c>
      <c r="C272" s="100">
        <v>0</v>
      </c>
      <c r="D272" s="100">
        <v>0</v>
      </c>
      <c r="E272" s="100">
        <v>0</v>
      </c>
      <c r="F272" s="100">
        <v>0</v>
      </c>
      <c r="G272" s="100">
        <v>0</v>
      </c>
      <c r="H272" s="100">
        <v>0</v>
      </c>
      <c r="I272" s="100">
        <v>0</v>
      </c>
      <c r="J272" s="100">
        <v>0</v>
      </c>
      <c r="K272" s="100">
        <v>0</v>
      </c>
      <c r="L272" s="100">
        <v>0</v>
      </c>
    </row>
    <row r="273" spans="1:12" x14ac:dyDescent="0.35">
      <c r="A273" s="98" t="s">
        <v>830</v>
      </c>
      <c r="B273" s="99" t="s">
        <v>831</v>
      </c>
      <c r="C273" s="100">
        <v>0</v>
      </c>
      <c r="D273" s="100">
        <v>0</v>
      </c>
      <c r="E273" s="100">
        <v>0</v>
      </c>
      <c r="F273" s="100">
        <v>5493.63</v>
      </c>
      <c r="G273" s="100">
        <v>0</v>
      </c>
      <c r="H273" s="100">
        <v>-2011.97</v>
      </c>
      <c r="I273" s="100">
        <v>0</v>
      </c>
      <c r="J273" s="100">
        <v>3481.66</v>
      </c>
      <c r="K273" s="100">
        <v>0</v>
      </c>
      <c r="L273" s="100">
        <v>3481.66</v>
      </c>
    </row>
    <row r="274" spans="1:12" x14ac:dyDescent="0.35">
      <c r="A274" s="98" t="s">
        <v>832</v>
      </c>
      <c r="B274" s="99" t="s">
        <v>833</v>
      </c>
      <c r="C274" s="100">
        <v>0</v>
      </c>
      <c r="D274" s="100">
        <v>0</v>
      </c>
      <c r="E274" s="100">
        <v>0</v>
      </c>
      <c r="F274" s="100">
        <v>0</v>
      </c>
      <c r="G274" s="100">
        <v>0</v>
      </c>
      <c r="H274" s="100">
        <v>0</v>
      </c>
      <c r="I274" s="100">
        <v>0</v>
      </c>
      <c r="J274" s="100">
        <v>0</v>
      </c>
      <c r="K274" s="100">
        <v>0</v>
      </c>
      <c r="L274" s="100">
        <v>0</v>
      </c>
    </row>
    <row r="275" spans="1:12" x14ac:dyDescent="0.35">
      <c r="A275" s="98" t="s">
        <v>834</v>
      </c>
      <c r="B275" s="99" t="s">
        <v>835</v>
      </c>
      <c r="C275" s="100">
        <v>0</v>
      </c>
      <c r="D275" s="100">
        <v>0</v>
      </c>
      <c r="E275" s="100">
        <v>0</v>
      </c>
      <c r="F275" s="100">
        <v>0</v>
      </c>
      <c r="G275" s="100">
        <v>0</v>
      </c>
      <c r="H275" s="100">
        <v>157.52000000000001</v>
      </c>
      <c r="I275" s="100">
        <v>0</v>
      </c>
      <c r="J275" s="100">
        <v>157.52000000000001</v>
      </c>
      <c r="K275" s="100">
        <v>0</v>
      </c>
      <c r="L275" s="100">
        <v>157.52000000000001</v>
      </c>
    </row>
    <row r="276" spans="1:12" x14ac:dyDescent="0.35">
      <c r="A276" s="98" t="s">
        <v>836</v>
      </c>
      <c r="B276" s="99" t="s">
        <v>793</v>
      </c>
      <c r="C276" s="100">
        <v>0</v>
      </c>
      <c r="D276" s="100">
        <v>0</v>
      </c>
      <c r="E276" s="100">
        <v>0</v>
      </c>
      <c r="F276" s="100">
        <v>9277.44</v>
      </c>
      <c r="G276" s="100">
        <v>0</v>
      </c>
      <c r="H276" s="100">
        <v>769.66</v>
      </c>
      <c r="I276" s="100">
        <v>0</v>
      </c>
      <c r="J276" s="100">
        <v>10047.1</v>
      </c>
      <c r="K276" s="100">
        <v>0</v>
      </c>
      <c r="L276" s="100">
        <v>10047.1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rgb="FF0070C0"/>
  </sheetPr>
  <dimension ref="A1:L124"/>
  <sheetViews>
    <sheetView workbookViewId="0">
      <selection activeCell="B4" sqref="B4"/>
    </sheetView>
  </sheetViews>
  <sheetFormatPr defaultColWidth="9.1796875" defaultRowHeight="14.5" x14ac:dyDescent="0.35"/>
  <cols>
    <col min="1" max="1" width="16.1796875" style="98" customWidth="1"/>
    <col min="2" max="2" width="46.7265625" style="99" customWidth="1"/>
    <col min="3" max="3" width="15.26953125" style="100" customWidth="1"/>
    <col min="4" max="4" width="15.26953125" style="100" bestFit="1" customWidth="1"/>
    <col min="5" max="5" width="15.1796875" style="100" customWidth="1"/>
    <col min="6" max="7" width="15.26953125" style="100" bestFit="1" customWidth="1"/>
    <col min="8" max="8" width="15.26953125" style="100" customWidth="1"/>
    <col min="9" max="11" width="15.26953125" style="100" bestFit="1" customWidth="1"/>
    <col min="12" max="12" width="14.81640625" style="100" customWidth="1"/>
    <col min="13" max="16384" width="9.1796875" style="94"/>
  </cols>
  <sheetData>
    <row r="1" spans="1:12" ht="20" x14ac:dyDescent="0.35">
      <c r="A1" s="104" t="s">
        <v>258</v>
      </c>
      <c r="B1" s="105" t="s">
        <v>259</v>
      </c>
      <c r="C1" s="106" t="s">
        <v>238</v>
      </c>
      <c r="D1" s="106" t="s">
        <v>239</v>
      </c>
      <c r="E1" s="106" t="s">
        <v>240</v>
      </c>
      <c r="F1" s="106" t="s">
        <v>241</v>
      </c>
      <c r="G1" s="106" t="s">
        <v>242</v>
      </c>
      <c r="H1" s="106" t="s">
        <v>243</v>
      </c>
      <c r="I1" s="106" t="s">
        <v>244</v>
      </c>
      <c r="J1" s="106" t="s">
        <v>245</v>
      </c>
      <c r="K1" s="106" t="s">
        <v>246</v>
      </c>
      <c r="L1" s="106" t="s">
        <v>247</v>
      </c>
    </row>
    <row r="2" spans="1:12" x14ac:dyDescent="0.35">
      <c r="A2" s="95" t="s">
        <v>874</v>
      </c>
      <c r="B2" s="96" t="s">
        <v>295</v>
      </c>
      <c r="C2" s="97">
        <v>2485.4899999999998</v>
      </c>
      <c r="D2" s="97">
        <v>0</v>
      </c>
      <c r="E2" s="97">
        <v>2485.4899999999998</v>
      </c>
      <c r="F2" s="97">
        <v>0</v>
      </c>
      <c r="G2" s="97">
        <v>0</v>
      </c>
      <c r="H2" s="97">
        <v>0</v>
      </c>
      <c r="I2" s="97">
        <v>0</v>
      </c>
      <c r="J2" s="97">
        <v>0</v>
      </c>
      <c r="K2" s="97">
        <v>2485.4899999999998</v>
      </c>
      <c r="L2" s="97">
        <v>0</v>
      </c>
    </row>
    <row r="3" spans="1:12" x14ac:dyDescent="0.35">
      <c r="A3" s="95" t="s">
        <v>875</v>
      </c>
      <c r="B3" s="96" t="s">
        <v>297</v>
      </c>
      <c r="C3" s="97">
        <v>2135.5500000000002</v>
      </c>
      <c r="D3" s="97">
        <v>0</v>
      </c>
      <c r="E3" s="97">
        <v>2135.5500000000002</v>
      </c>
      <c r="F3" s="97">
        <v>0</v>
      </c>
      <c r="G3" s="97">
        <v>0</v>
      </c>
      <c r="H3" s="97">
        <v>0</v>
      </c>
      <c r="I3" s="97">
        <v>0</v>
      </c>
      <c r="J3" s="97">
        <v>0</v>
      </c>
      <c r="K3" s="97">
        <v>2135.5500000000002</v>
      </c>
      <c r="L3" s="97">
        <v>0</v>
      </c>
    </row>
    <row r="4" spans="1:12" x14ac:dyDescent="0.35">
      <c r="A4" s="95" t="s">
        <v>876</v>
      </c>
      <c r="B4" s="96" t="s">
        <v>28</v>
      </c>
      <c r="C4" s="97">
        <v>76743.69</v>
      </c>
      <c r="D4" s="97">
        <v>0</v>
      </c>
      <c r="E4" s="97">
        <v>76743.69</v>
      </c>
      <c r="F4" s="97">
        <v>0</v>
      </c>
      <c r="G4" s="97">
        <v>0</v>
      </c>
      <c r="H4" s="97">
        <v>0</v>
      </c>
      <c r="I4" s="97">
        <v>0</v>
      </c>
      <c r="J4" s="97">
        <v>0</v>
      </c>
      <c r="K4" s="97">
        <v>76743.69</v>
      </c>
      <c r="L4" s="97">
        <v>0</v>
      </c>
    </row>
    <row r="5" spans="1:12" x14ac:dyDescent="0.35">
      <c r="A5" s="95" t="s">
        <v>877</v>
      </c>
      <c r="B5" s="96" t="s">
        <v>878</v>
      </c>
      <c r="C5" s="97">
        <v>33768.01</v>
      </c>
      <c r="D5" s="97">
        <v>0</v>
      </c>
      <c r="E5" s="97">
        <v>42347.12</v>
      </c>
      <c r="F5" s="97">
        <v>0</v>
      </c>
      <c r="G5" s="97">
        <v>0</v>
      </c>
      <c r="H5" s="97">
        <v>1870.57</v>
      </c>
      <c r="I5" s="97">
        <v>8579.11</v>
      </c>
      <c r="J5" s="97">
        <v>1870.57</v>
      </c>
      <c r="K5" s="97">
        <v>40476.550000000003</v>
      </c>
      <c r="L5" s="97">
        <v>0</v>
      </c>
    </row>
    <row r="6" spans="1:12" x14ac:dyDescent="0.35">
      <c r="A6" s="95" t="s">
        <v>879</v>
      </c>
      <c r="B6" s="96" t="s">
        <v>880</v>
      </c>
      <c r="C6" s="97">
        <v>8603.44</v>
      </c>
      <c r="D6" s="97">
        <v>0</v>
      </c>
      <c r="E6" s="97">
        <v>9643.9</v>
      </c>
      <c r="F6" s="97">
        <v>0</v>
      </c>
      <c r="G6" s="97">
        <v>969.54</v>
      </c>
      <c r="H6" s="97">
        <v>477.16</v>
      </c>
      <c r="I6" s="97">
        <v>2010</v>
      </c>
      <c r="J6" s="97">
        <v>477.16</v>
      </c>
      <c r="K6" s="97">
        <v>10136.280000000001</v>
      </c>
      <c r="L6" s="97">
        <v>0</v>
      </c>
    </row>
    <row r="7" spans="1:12" x14ac:dyDescent="0.35">
      <c r="A7" s="95" t="s">
        <v>881</v>
      </c>
      <c r="B7" s="96" t="s">
        <v>315</v>
      </c>
      <c r="C7" s="97">
        <v>2389.83</v>
      </c>
      <c r="D7" s="97">
        <v>0</v>
      </c>
      <c r="E7" s="97">
        <v>1419.54</v>
      </c>
      <c r="F7" s="97">
        <v>0</v>
      </c>
      <c r="G7" s="97">
        <v>2321.98</v>
      </c>
      <c r="H7" s="97">
        <v>969.54</v>
      </c>
      <c r="I7" s="97">
        <v>10971.26</v>
      </c>
      <c r="J7" s="97">
        <v>10589.11</v>
      </c>
      <c r="K7" s="97">
        <v>2771.98</v>
      </c>
      <c r="L7" s="97">
        <v>0</v>
      </c>
    </row>
    <row r="8" spans="1:12" x14ac:dyDescent="0.35">
      <c r="A8" s="95" t="s">
        <v>882</v>
      </c>
      <c r="B8" s="96" t="s">
        <v>317</v>
      </c>
      <c r="C8" s="97">
        <v>0</v>
      </c>
      <c r="D8" s="97">
        <v>2485.4899999999998</v>
      </c>
      <c r="E8" s="97">
        <v>0</v>
      </c>
      <c r="F8" s="97">
        <v>2485.4899999999998</v>
      </c>
      <c r="G8" s="97">
        <v>0</v>
      </c>
      <c r="H8" s="97">
        <v>0</v>
      </c>
      <c r="I8" s="97">
        <v>0</v>
      </c>
      <c r="J8" s="97">
        <v>0</v>
      </c>
      <c r="K8" s="97">
        <v>0</v>
      </c>
      <c r="L8" s="97">
        <v>2485.4899999999998</v>
      </c>
    </row>
    <row r="9" spans="1:12" x14ac:dyDescent="0.35">
      <c r="A9" s="95" t="s">
        <v>883</v>
      </c>
      <c r="B9" s="96" t="s">
        <v>319</v>
      </c>
      <c r="C9" s="97">
        <v>0</v>
      </c>
      <c r="D9" s="97">
        <v>1972.33</v>
      </c>
      <c r="E9" s="97">
        <v>0</v>
      </c>
      <c r="F9" s="97">
        <v>2135.5500000000002</v>
      </c>
      <c r="G9" s="97">
        <v>0</v>
      </c>
      <c r="H9" s="97">
        <v>0</v>
      </c>
      <c r="I9" s="97">
        <v>0</v>
      </c>
      <c r="J9" s="97">
        <v>163.22</v>
      </c>
      <c r="K9" s="97">
        <v>0</v>
      </c>
      <c r="L9" s="97">
        <v>2135.5500000000002</v>
      </c>
    </row>
    <row r="10" spans="1:12" x14ac:dyDescent="0.35">
      <c r="A10" s="95" t="s">
        <v>884</v>
      </c>
      <c r="B10" s="96" t="s">
        <v>885</v>
      </c>
      <c r="C10" s="97">
        <v>0</v>
      </c>
      <c r="D10" s="97">
        <v>56341.08</v>
      </c>
      <c r="E10" s="97">
        <v>0</v>
      </c>
      <c r="F10" s="97">
        <v>59858.55</v>
      </c>
      <c r="G10" s="97">
        <v>0</v>
      </c>
      <c r="H10" s="97">
        <v>319.77</v>
      </c>
      <c r="I10" s="97">
        <v>0</v>
      </c>
      <c r="J10" s="97">
        <v>3837.24</v>
      </c>
      <c r="K10" s="97">
        <v>0</v>
      </c>
      <c r="L10" s="97">
        <v>60178.32</v>
      </c>
    </row>
    <row r="11" spans="1:12" x14ac:dyDescent="0.35">
      <c r="A11" s="95" t="s">
        <v>886</v>
      </c>
      <c r="B11" s="96" t="s">
        <v>887</v>
      </c>
      <c r="C11" s="97">
        <v>0</v>
      </c>
      <c r="D11" s="97">
        <v>33605.75</v>
      </c>
      <c r="E11" s="97">
        <v>0</v>
      </c>
      <c r="F11" s="97">
        <v>33946.76</v>
      </c>
      <c r="G11" s="97">
        <v>1870.57</v>
      </c>
      <c r="H11" s="97">
        <v>178.73</v>
      </c>
      <c r="I11" s="97">
        <v>1870.57</v>
      </c>
      <c r="J11" s="97">
        <v>519.74</v>
      </c>
      <c r="K11" s="97">
        <v>0</v>
      </c>
      <c r="L11" s="97">
        <v>32254.92</v>
      </c>
    </row>
    <row r="12" spans="1:12" x14ac:dyDescent="0.35">
      <c r="A12" s="95" t="s">
        <v>888</v>
      </c>
      <c r="B12" s="96" t="s">
        <v>331</v>
      </c>
      <c r="C12" s="97">
        <v>0</v>
      </c>
      <c r="D12" s="97">
        <v>7865.49</v>
      </c>
      <c r="E12" s="97">
        <v>0</v>
      </c>
      <c r="F12" s="97">
        <v>8878.0499999999993</v>
      </c>
      <c r="G12" s="97">
        <v>477.16</v>
      </c>
      <c r="H12" s="97">
        <v>115.48</v>
      </c>
      <c r="I12" s="97">
        <v>477.16</v>
      </c>
      <c r="J12" s="97">
        <v>1128.04</v>
      </c>
      <c r="K12" s="97">
        <v>0</v>
      </c>
      <c r="L12" s="97">
        <v>8516.3700000000008</v>
      </c>
    </row>
    <row r="13" spans="1:12" x14ac:dyDescent="0.35">
      <c r="A13" s="95" t="s">
        <v>889</v>
      </c>
      <c r="B13" s="96" t="s">
        <v>337</v>
      </c>
      <c r="C13" s="97">
        <v>0</v>
      </c>
      <c r="D13" s="97">
        <v>0</v>
      </c>
      <c r="E13" s="97">
        <v>-93.12</v>
      </c>
      <c r="F13" s="97">
        <v>0</v>
      </c>
      <c r="G13" s="97">
        <v>166677.76000000001</v>
      </c>
      <c r="H13" s="97">
        <v>166584.64000000001</v>
      </c>
      <c r="I13" s="97">
        <v>1755673.72</v>
      </c>
      <c r="J13" s="97">
        <v>1755673.72</v>
      </c>
      <c r="K13" s="97">
        <v>0</v>
      </c>
      <c r="L13" s="97">
        <v>0</v>
      </c>
    </row>
    <row r="14" spans="1:12" x14ac:dyDescent="0.35">
      <c r="A14" s="95" t="s">
        <v>890</v>
      </c>
      <c r="B14" s="96" t="s">
        <v>891</v>
      </c>
      <c r="C14" s="97">
        <v>125292.67</v>
      </c>
      <c r="D14" s="97">
        <v>0</v>
      </c>
      <c r="E14" s="97">
        <v>154709.4</v>
      </c>
      <c r="F14" s="97">
        <v>0</v>
      </c>
      <c r="G14" s="97">
        <v>313101.31</v>
      </c>
      <c r="H14" s="97">
        <v>332962.06</v>
      </c>
      <c r="I14" s="97">
        <v>3315271.98</v>
      </c>
      <c r="J14" s="97">
        <v>3305716</v>
      </c>
      <c r="K14" s="97">
        <v>134848.65</v>
      </c>
      <c r="L14" s="97">
        <v>0</v>
      </c>
    </row>
    <row r="15" spans="1:12" x14ac:dyDescent="0.35">
      <c r="A15" s="95" t="s">
        <v>892</v>
      </c>
      <c r="B15" s="96" t="s">
        <v>345</v>
      </c>
      <c r="C15" s="97">
        <v>111.78</v>
      </c>
      <c r="D15" s="97">
        <v>0</v>
      </c>
      <c r="E15" s="97">
        <v>2475.14</v>
      </c>
      <c r="F15" s="97">
        <v>0</v>
      </c>
      <c r="G15" s="97">
        <v>1643.63</v>
      </c>
      <c r="H15" s="97">
        <v>2475.14</v>
      </c>
      <c r="I15" s="97">
        <v>16437.04</v>
      </c>
      <c r="J15" s="97">
        <v>14905.19</v>
      </c>
      <c r="K15" s="97">
        <v>1643.63</v>
      </c>
      <c r="L15" s="97">
        <v>0</v>
      </c>
    </row>
    <row r="16" spans="1:12" x14ac:dyDescent="0.35">
      <c r="A16" s="95" t="s">
        <v>893</v>
      </c>
      <c r="B16" s="96" t="s">
        <v>347</v>
      </c>
      <c r="C16" s="97">
        <v>0</v>
      </c>
      <c r="D16" s="97">
        <v>3126.88</v>
      </c>
      <c r="E16" s="97">
        <v>0</v>
      </c>
      <c r="F16" s="97">
        <v>3013.47</v>
      </c>
      <c r="G16" s="97">
        <v>266.35000000000002</v>
      </c>
      <c r="H16" s="97">
        <v>388.67</v>
      </c>
      <c r="I16" s="97">
        <v>4069.55</v>
      </c>
      <c r="J16" s="97">
        <v>4078.46</v>
      </c>
      <c r="K16" s="97">
        <v>0</v>
      </c>
      <c r="L16" s="97">
        <v>3135.79</v>
      </c>
    </row>
    <row r="17" spans="1:12" x14ac:dyDescent="0.35">
      <c r="A17" s="95" t="s">
        <v>894</v>
      </c>
      <c r="B17" s="96" t="s">
        <v>895</v>
      </c>
      <c r="C17" s="97">
        <v>11231.25</v>
      </c>
      <c r="D17" s="97">
        <v>0</v>
      </c>
      <c r="E17" s="97">
        <v>3887.23</v>
      </c>
      <c r="F17" s="97">
        <v>0</v>
      </c>
      <c r="G17" s="97">
        <v>170177.2</v>
      </c>
      <c r="H17" s="97">
        <v>169229.05</v>
      </c>
      <c r="I17" s="97">
        <v>1501677.78</v>
      </c>
      <c r="J17" s="97">
        <v>1508073.65</v>
      </c>
      <c r="K17" s="97">
        <v>4835.38</v>
      </c>
      <c r="L17" s="97">
        <v>0</v>
      </c>
    </row>
    <row r="18" spans="1:12" x14ac:dyDescent="0.35">
      <c r="A18" s="95" t="s">
        <v>896</v>
      </c>
      <c r="B18" s="96" t="s">
        <v>897</v>
      </c>
      <c r="C18" s="97">
        <v>0</v>
      </c>
      <c r="D18" s="97">
        <v>0</v>
      </c>
      <c r="E18" s="97">
        <v>0</v>
      </c>
      <c r="F18" s="97">
        <v>0</v>
      </c>
      <c r="G18" s="97">
        <v>0</v>
      </c>
      <c r="H18" s="97">
        <v>0</v>
      </c>
      <c r="I18" s="97">
        <v>613.6</v>
      </c>
      <c r="J18" s="97">
        <v>613.6</v>
      </c>
      <c r="K18" s="97">
        <v>0</v>
      </c>
      <c r="L18" s="97">
        <v>0</v>
      </c>
    </row>
    <row r="19" spans="1:12" x14ac:dyDescent="0.35">
      <c r="A19" s="95" t="s">
        <v>898</v>
      </c>
      <c r="B19" s="96" t="s">
        <v>899</v>
      </c>
      <c r="C19" s="97">
        <v>0</v>
      </c>
      <c r="D19" s="97">
        <v>0</v>
      </c>
      <c r="E19" s="97">
        <v>0</v>
      </c>
      <c r="F19" s="97">
        <v>0</v>
      </c>
      <c r="G19" s="97">
        <v>605641.05000000005</v>
      </c>
      <c r="H19" s="97">
        <v>605641.05000000005</v>
      </c>
      <c r="I19" s="97">
        <v>3909529.34</v>
      </c>
      <c r="J19" s="97">
        <v>3909529.34</v>
      </c>
      <c r="K19" s="97">
        <v>0</v>
      </c>
      <c r="L19" s="97">
        <v>0</v>
      </c>
    </row>
    <row r="20" spans="1:12" x14ac:dyDescent="0.35">
      <c r="A20" s="95" t="s">
        <v>900</v>
      </c>
      <c r="B20" s="96" t="s">
        <v>901</v>
      </c>
      <c r="C20" s="97">
        <v>0</v>
      </c>
      <c r="D20" s="97">
        <v>0</v>
      </c>
      <c r="E20" s="97">
        <v>0</v>
      </c>
      <c r="F20" s="97">
        <v>0</v>
      </c>
      <c r="G20" s="97">
        <v>0</v>
      </c>
      <c r="H20" s="97">
        <v>0</v>
      </c>
      <c r="I20" s="97">
        <v>11981</v>
      </c>
      <c r="J20" s="97">
        <v>11981</v>
      </c>
      <c r="K20" s="97">
        <v>0</v>
      </c>
      <c r="L20" s="97">
        <v>0</v>
      </c>
    </row>
    <row r="21" spans="1:12" x14ac:dyDescent="0.35">
      <c r="A21" s="95" t="s">
        <v>902</v>
      </c>
      <c r="B21" s="96" t="s">
        <v>359</v>
      </c>
      <c r="C21" s="97">
        <v>109676.96</v>
      </c>
      <c r="D21" s="97">
        <v>0</v>
      </c>
      <c r="E21" s="97">
        <v>97882.37</v>
      </c>
      <c r="F21" s="97">
        <v>0</v>
      </c>
      <c r="G21" s="97">
        <v>127218.76</v>
      </c>
      <c r="H21" s="97">
        <v>103333.96</v>
      </c>
      <c r="I21" s="97">
        <v>1189808.8700000001</v>
      </c>
      <c r="J21" s="97">
        <v>1177718.6599999999</v>
      </c>
      <c r="K21" s="97">
        <v>121767.17</v>
      </c>
      <c r="L21" s="97">
        <v>0</v>
      </c>
    </row>
    <row r="22" spans="1:12" x14ac:dyDescent="0.35">
      <c r="A22" s="95" t="s">
        <v>903</v>
      </c>
      <c r="B22" s="96" t="s">
        <v>904</v>
      </c>
      <c r="C22" s="97">
        <v>15283.08</v>
      </c>
      <c r="D22" s="97">
        <v>0</v>
      </c>
      <c r="E22" s="97">
        <v>15283.08</v>
      </c>
      <c r="F22" s="97">
        <v>0</v>
      </c>
      <c r="G22" s="97">
        <v>0</v>
      </c>
      <c r="H22" s="97">
        <v>0</v>
      </c>
      <c r="I22" s="97">
        <v>0</v>
      </c>
      <c r="J22" s="97">
        <v>0</v>
      </c>
      <c r="K22" s="97">
        <v>15283.08</v>
      </c>
      <c r="L22" s="97">
        <v>0</v>
      </c>
    </row>
    <row r="23" spans="1:12" x14ac:dyDescent="0.35">
      <c r="A23" s="95" t="s">
        <v>905</v>
      </c>
      <c r="B23" s="96" t="s">
        <v>906</v>
      </c>
      <c r="C23" s="97">
        <v>57528.72</v>
      </c>
      <c r="D23" s="97">
        <v>0</v>
      </c>
      <c r="E23" s="97">
        <v>68169.33</v>
      </c>
      <c r="F23" s="97">
        <v>0</v>
      </c>
      <c r="G23" s="97">
        <v>97936.44</v>
      </c>
      <c r="H23" s="97">
        <v>130000.64</v>
      </c>
      <c r="I23" s="97">
        <v>1002925.78</v>
      </c>
      <c r="J23" s="97">
        <v>1024349.37</v>
      </c>
      <c r="K23" s="97">
        <v>36105.129999999997</v>
      </c>
      <c r="L23" s="97">
        <v>0</v>
      </c>
    </row>
    <row r="24" spans="1:12" x14ac:dyDescent="0.35">
      <c r="A24" s="95" t="s">
        <v>907</v>
      </c>
      <c r="B24" s="96" t="s">
        <v>399</v>
      </c>
      <c r="C24" s="97">
        <v>0</v>
      </c>
      <c r="D24" s="97">
        <v>437031.63</v>
      </c>
      <c r="E24" s="97">
        <v>0</v>
      </c>
      <c r="F24" s="97">
        <v>515188.69</v>
      </c>
      <c r="G24" s="97">
        <v>417541.13</v>
      </c>
      <c r="H24" s="97">
        <v>391867.5</v>
      </c>
      <c r="I24" s="97">
        <v>2218717.23</v>
      </c>
      <c r="J24" s="97">
        <v>2271200.66</v>
      </c>
      <c r="K24" s="97">
        <v>0</v>
      </c>
      <c r="L24" s="97">
        <v>489515.06</v>
      </c>
    </row>
    <row r="25" spans="1:12" x14ac:dyDescent="0.35">
      <c r="A25" s="95" t="s">
        <v>908</v>
      </c>
      <c r="B25" s="96" t="s">
        <v>909</v>
      </c>
      <c r="C25" s="97">
        <v>0</v>
      </c>
      <c r="D25" s="97">
        <v>16634.32</v>
      </c>
      <c r="E25" s="97">
        <v>0</v>
      </c>
      <c r="F25" s="97">
        <v>34810.43</v>
      </c>
      <c r="G25" s="97">
        <v>221379.55</v>
      </c>
      <c r="H25" s="97">
        <v>193727.79</v>
      </c>
      <c r="I25" s="97">
        <v>225999.34</v>
      </c>
      <c r="J25" s="97">
        <v>216523.69</v>
      </c>
      <c r="K25" s="97">
        <v>0</v>
      </c>
      <c r="L25" s="97">
        <v>7158.67</v>
      </c>
    </row>
    <row r="26" spans="1:12" x14ac:dyDescent="0.35">
      <c r="A26" s="95" t="s">
        <v>910</v>
      </c>
      <c r="B26" s="96" t="s">
        <v>840</v>
      </c>
      <c r="C26" s="97">
        <v>0</v>
      </c>
      <c r="D26" s="97">
        <v>751.14</v>
      </c>
      <c r="E26" s="97">
        <v>0</v>
      </c>
      <c r="F26" s="97">
        <v>398.29</v>
      </c>
      <c r="G26" s="97">
        <v>2585.33</v>
      </c>
      <c r="H26" s="97">
        <v>3190.31</v>
      </c>
      <c r="I26" s="97">
        <v>33640.949999999997</v>
      </c>
      <c r="J26" s="97">
        <v>33893.08</v>
      </c>
      <c r="K26" s="97">
        <v>0</v>
      </c>
      <c r="L26" s="97">
        <v>1003.27</v>
      </c>
    </row>
    <row r="27" spans="1:12" x14ac:dyDescent="0.35">
      <c r="A27" s="95" t="s">
        <v>911</v>
      </c>
      <c r="B27" s="96" t="s">
        <v>441</v>
      </c>
      <c r="C27" s="97">
        <v>0</v>
      </c>
      <c r="D27" s="97">
        <v>140</v>
      </c>
      <c r="E27" s="97">
        <v>0</v>
      </c>
      <c r="F27" s="97">
        <v>0</v>
      </c>
      <c r="G27" s="97">
        <v>117.5</v>
      </c>
      <c r="H27" s="97">
        <v>277.5</v>
      </c>
      <c r="I27" s="97">
        <v>1564.66</v>
      </c>
      <c r="J27" s="97">
        <v>1584.66</v>
      </c>
      <c r="K27" s="97">
        <v>0</v>
      </c>
      <c r="L27" s="97">
        <v>160</v>
      </c>
    </row>
    <row r="28" spans="1:12" x14ac:dyDescent="0.35">
      <c r="A28" s="95" t="s">
        <v>912</v>
      </c>
      <c r="B28" s="96" t="s">
        <v>443</v>
      </c>
      <c r="C28" s="97">
        <v>0</v>
      </c>
      <c r="D28" s="97">
        <v>10486.43</v>
      </c>
      <c r="E28" s="97">
        <v>0</v>
      </c>
      <c r="F28" s="97">
        <v>0</v>
      </c>
      <c r="G28" s="97">
        <v>20413.53</v>
      </c>
      <c r="H28" s="97">
        <v>31910.639999999999</v>
      </c>
      <c r="I28" s="97">
        <v>191102.34</v>
      </c>
      <c r="J28" s="97">
        <v>192113.02</v>
      </c>
      <c r="K28" s="97">
        <v>0</v>
      </c>
      <c r="L28" s="97">
        <v>11497.11</v>
      </c>
    </row>
    <row r="29" spans="1:12" x14ac:dyDescent="0.35">
      <c r="A29" s="95" t="s">
        <v>913</v>
      </c>
      <c r="B29" s="96" t="s">
        <v>445</v>
      </c>
      <c r="C29" s="97">
        <v>0</v>
      </c>
      <c r="D29" s="97">
        <v>0</v>
      </c>
      <c r="E29" s="97">
        <v>0</v>
      </c>
      <c r="F29" s="97">
        <v>0</v>
      </c>
      <c r="G29" s="97">
        <v>35.85</v>
      </c>
      <c r="H29" s="97">
        <v>35.85</v>
      </c>
      <c r="I29" s="97">
        <v>161.72</v>
      </c>
      <c r="J29" s="97">
        <v>161.72</v>
      </c>
      <c r="K29" s="97">
        <v>0</v>
      </c>
      <c r="L29" s="97">
        <v>0</v>
      </c>
    </row>
    <row r="30" spans="1:12" x14ac:dyDescent="0.35">
      <c r="A30" s="95" t="s">
        <v>914</v>
      </c>
      <c r="B30" s="96" t="s">
        <v>915</v>
      </c>
      <c r="C30" s="97">
        <v>0</v>
      </c>
      <c r="D30" s="97">
        <v>0</v>
      </c>
      <c r="E30" s="97">
        <v>640</v>
      </c>
      <c r="F30" s="97">
        <v>0</v>
      </c>
      <c r="G30" s="97">
        <v>655</v>
      </c>
      <c r="H30" s="97">
        <v>1295</v>
      </c>
      <c r="I30" s="97">
        <v>8125</v>
      </c>
      <c r="J30" s="97">
        <v>8125</v>
      </c>
      <c r="K30" s="97">
        <v>0</v>
      </c>
      <c r="L30" s="97">
        <v>0</v>
      </c>
    </row>
    <row r="31" spans="1:12" x14ac:dyDescent="0.35">
      <c r="A31" s="95" t="s">
        <v>916</v>
      </c>
      <c r="B31" s="96" t="s">
        <v>917</v>
      </c>
      <c r="C31" s="97">
        <v>0</v>
      </c>
      <c r="D31" s="97">
        <v>6629.51</v>
      </c>
      <c r="E31" s="97">
        <v>0</v>
      </c>
      <c r="F31" s="97">
        <v>0</v>
      </c>
      <c r="G31" s="97">
        <v>8131.24</v>
      </c>
      <c r="H31" s="97">
        <v>15531.1</v>
      </c>
      <c r="I31" s="97">
        <v>92387.86</v>
      </c>
      <c r="J31" s="97">
        <v>93158.21</v>
      </c>
      <c r="K31" s="97">
        <v>0</v>
      </c>
      <c r="L31" s="97">
        <v>7399.86</v>
      </c>
    </row>
    <row r="32" spans="1:12" x14ac:dyDescent="0.35">
      <c r="A32" s="95" t="s">
        <v>918</v>
      </c>
      <c r="B32" s="96" t="s">
        <v>919</v>
      </c>
      <c r="C32" s="97">
        <v>3775.29</v>
      </c>
      <c r="D32" s="97">
        <v>0</v>
      </c>
      <c r="E32" s="97">
        <v>7502.59</v>
      </c>
      <c r="F32" s="97">
        <v>0</v>
      </c>
      <c r="G32" s="97">
        <v>0</v>
      </c>
      <c r="H32" s="97">
        <v>10697.14</v>
      </c>
      <c r="I32" s="97">
        <v>19319.830000000002</v>
      </c>
      <c r="J32" s="97">
        <v>26289.67</v>
      </c>
      <c r="K32" s="97">
        <v>-3194.55</v>
      </c>
      <c r="L32" s="97">
        <v>0</v>
      </c>
    </row>
    <row r="33" spans="1:12" x14ac:dyDescent="0.35">
      <c r="A33" s="95" t="s">
        <v>920</v>
      </c>
      <c r="B33" s="96" t="s">
        <v>921</v>
      </c>
      <c r="C33" s="97">
        <v>0</v>
      </c>
      <c r="D33" s="97">
        <v>1341.12</v>
      </c>
      <c r="E33" s="97">
        <v>0</v>
      </c>
      <c r="F33" s="97">
        <v>0</v>
      </c>
      <c r="G33" s="97">
        <v>2262.38</v>
      </c>
      <c r="H33" s="97">
        <v>3722.15</v>
      </c>
      <c r="I33" s="97">
        <v>22667.45</v>
      </c>
      <c r="J33" s="97">
        <v>22786.1</v>
      </c>
      <c r="K33" s="97">
        <v>0</v>
      </c>
      <c r="L33" s="97">
        <v>1459.77</v>
      </c>
    </row>
    <row r="34" spans="1:12" x14ac:dyDescent="0.35">
      <c r="A34" s="95" t="s">
        <v>922</v>
      </c>
      <c r="B34" s="96" t="s">
        <v>923</v>
      </c>
      <c r="C34" s="97">
        <v>0</v>
      </c>
      <c r="D34" s="97">
        <v>0</v>
      </c>
      <c r="E34" s="97">
        <v>0</v>
      </c>
      <c r="F34" s="97">
        <v>0</v>
      </c>
      <c r="G34" s="97">
        <v>39494.870000000003</v>
      </c>
      <c r="H34" s="97">
        <v>39494.870000000003</v>
      </c>
      <c r="I34" s="97">
        <v>445592.86</v>
      </c>
      <c r="J34" s="97">
        <v>445592.86</v>
      </c>
      <c r="K34" s="97">
        <v>0</v>
      </c>
      <c r="L34" s="97">
        <v>0</v>
      </c>
    </row>
    <row r="35" spans="1:12" x14ac:dyDescent="0.35">
      <c r="A35" s="95" t="s">
        <v>924</v>
      </c>
      <c r="B35" s="96" t="s">
        <v>848</v>
      </c>
      <c r="C35" s="97">
        <v>0</v>
      </c>
      <c r="D35" s="97">
        <v>51.53</v>
      </c>
      <c r="E35" s="97">
        <v>0</v>
      </c>
      <c r="F35" s="97">
        <v>0</v>
      </c>
      <c r="G35" s="97">
        <v>0</v>
      </c>
      <c r="H35" s="97">
        <v>44.4</v>
      </c>
      <c r="I35" s="97">
        <v>51.53</v>
      </c>
      <c r="J35" s="97">
        <v>44.4</v>
      </c>
      <c r="K35" s="97">
        <v>0</v>
      </c>
      <c r="L35" s="97">
        <v>44.4</v>
      </c>
    </row>
    <row r="36" spans="1:12" x14ac:dyDescent="0.35">
      <c r="A36" s="95" t="s">
        <v>925</v>
      </c>
      <c r="B36" s="96" t="s">
        <v>926</v>
      </c>
      <c r="C36" s="97">
        <v>266909.46000000002</v>
      </c>
      <c r="D36" s="97">
        <v>0</v>
      </c>
      <c r="E36" s="97">
        <v>543790.68999999994</v>
      </c>
      <c r="F36" s="97">
        <v>0</v>
      </c>
      <c r="G36" s="97">
        <v>75519.66</v>
      </c>
      <c r="H36" s="97">
        <v>256054.87</v>
      </c>
      <c r="I36" s="97">
        <v>994604.11</v>
      </c>
      <c r="J36" s="97">
        <v>898258.09</v>
      </c>
      <c r="K36" s="97">
        <v>363255.48</v>
      </c>
      <c r="L36" s="97">
        <v>0</v>
      </c>
    </row>
    <row r="37" spans="1:12" x14ac:dyDescent="0.35">
      <c r="A37" s="95" t="s">
        <v>927</v>
      </c>
      <c r="B37" s="96" t="s">
        <v>928</v>
      </c>
      <c r="C37" s="97">
        <v>0</v>
      </c>
      <c r="D37" s="97">
        <v>0</v>
      </c>
      <c r="E37" s="97">
        <v>0</v>
      </c>
      <c r="F37" s="97">
        <v>0</v>
      </c>
      <c r="G37" s="97">
        <v>410164.21</v>
      </c>
      <c r="H37" s="97">
        <v>410164.21</v>
      </c>
      <c r="I37" s="97">
        <v>2270334.52</v>
      </c>
      <c r="J37" s="97">
        <v>2270334.52</v>
      </c>
      <c r="K37" s="97">
        <v>0</v>
      </c>
      <c r="L37" s="97">
        <v>0</v>
      </c>
    </row>
    <row r="38" spans="1:12" x14ac:dyDescent="0.35">
      <c r="A38" s="95" t="s">
        <v>929</v>
      </c>
      <c r="B38" s="96" t="s">
        <v>50</v>
      </c>
      <c r="C38" s="97">
        <v>0</v>
      </c>
      <c r="D38" s="97">
        <v>0</v>
      </c>
      <c r="E38" s="97">
        <v>799.94</v>
      </c>
      <c r="F38" s="97">
        <v>0</v>
      </c>
      <c r="G38" s="97">
        <v>21483.62</v>
      </c>
      <c r="H38" s="97">
        <v>14557.29</v>
      </c>
      <c r="I38" s="97">
        <v>81680.97</v>
      </c>
      <c r="J38" s="97">
        <v>73954.7</v>
      </c>
      <c r="K38" s="97">
        <v>7726.27</v>
      </c>
      <c r="L38" s="97">
        <v>0</v>
      </c>
    </row>
    <row r="39" spans="1:12" x14ac:dyDescent="0.35">
      <c r="A39" s="95" t="s">
        <v>930</v>
      </c>
      <c r="B39" s="96" t="s">
        <v>491</v>
      </c>
      <c r="C39" s="97">
        <v>0</v>
      </c>
      <c r="D39" s="97">
        <v>9511.0499999999993</v>
      </c>
      <c r="E39" s="97">
        <v>0</v>
      </c>
      <c r="F39" s="97">
        <v>469.24</v>
      </c>
      <c r="G39" s="97">
        <v>469.23</v>
      </c>
      <c r="H39" s="97">
        <v>14557.29</v>
      </c>
      <c r="I39" s="97">
        <v>7436.15</v>
      </c>
      <c r="J39" s="97">
        <v>12482.4</v>
      </c>
      <c r="K39" s="97">
        <v>0</v>
      </c>
      <c r="L39" s="97">
        <v>14557.3</v>
      </c>
    </row>
    <row r="40" spans="1:12" x14ac:dyDescent="0.35">
      <c r="A40" s="95" t="s">
        <v>931</v>
      </c>
      <c r="B40" s="96" t="s">
        <v>500</v>
      </c>
      <c r="C40" s="97">
        <v>12206.65</v>
      </c>
      <c r="D40" s="97">
        <v>0</v>
      </c>
      <c r="E40" s="97">
        <v>12807.27</v>
      </c>
      <c r="F40" s="97">
        <v>0</v>
      </c>
      <c r="G40" s="97">
        <v>3000</v>
      </c>
      <c r="H40" s="97">
        <v>6743.86</v>
      </c>
      <c r="I40" s="97">
        <v>43993.55</v>
      </c>
      <c r="J40" s="97">
        <v>47136.79</v>
      </c>
      <c r="K40" s="97">
        <v>9063.41</v>
      </c>
      <c r="L40" s="97">
        <v>0</v>
      </c>
    </row>
    <row r="41" spans="1:12" x14ac:dyDescent="0.35">
      <c r="A41" s="95" t="s">
        <v>932</v>
      </c>
      <c r="B41" s="96" t="s">
        <v>933</v>
      </c>
      <c r="C41" s="97">
        <v>0</v>
      </c>
      <c r="D41" s="97">
        <v>0</v>
      </c>
      <c r="E41" s="97">
        <v>0</v>
      </c>
      <c r="F41" s="97">
        <v>0</v>
      </c>
      <c r="G41" s="97">
        <v>0</v>
      </c>
      <c r="H41" s="97">
        <v>7726.27</v>
      </c>
      <c r="I41" s="97">
        <v>0</v>
      </c>
      <c r="J41" s="97">
        <v>7726.27</v>
      </c>
      <c r="K41" s="97">
        <v>0</v>
      </c>
      <c r="L41" s="97">
        <v>7726.27</v>
      </c>
    </row>
    <row r="42" spans="1:12" x14ac:dyDescent="0.35">
      <c r="A42" s="95" t="s">
        <v>934</v>
      </c>
      <c r="B42" s="96" t="s">
        <v>510</v>
      </c>
      <c r="C42" s="97">
        <v>0</v>
      </c>
      <c r="D42" s="97">
        <v>0</v>
      </c>
      <c r="E42" s="97">
        <v>0</v>
      </c>
      <c r="F42" s="97">
        <v>0</v>
      </c>
      <c r="G42" s="97">
        <v>396787.05</v>
      </c>
      <c r="H42" s="97">
        <v>396787.05</v>
      </c>
      <c r="I42" s="97">
        <v>3940433.98</v>
      </c>
      <c r="J42" s="97">
        <v>3940433.98</v>
      </c>
      <c r="K42" s="97">
        <v>0</v>
      </c>
      <c r="L42" s="97">
        <v>0</v>
      </c>
    </row>
    <row r="43" spans="1:12" x14ac:dyDescent="0.35">
      <c r="A43" s="95" t="s">
        <v>935</v>
      </c>
      <c r="B43" s="96" t="s">
        <v>151</v>
      </c>
      <c r="C43" s="97">
        <v>0</v>
      </c>
      <c r="D43" s="97">
        <v>5000</v>
      </c>
      <c r="E43" s="97">
        <v>0</v>
      </c>
      <c r="F43" s="97">
        <v>5000</v>
      </c>
      <c r="G43" s="97">
        <v>0</v>
      </c>
      <c r="H43" s="97">
        <v>0</v>
      </c>
      <c r="I43" s="97">
        <v>0</v>
      </c>
      <c r="J43" s="97">
        <v>0</v>
      </c>
      <c r="K43" s="97">
        <v>0</v>
      </c>
      <c r="L43" s="97">
        <v>5000</v>
      </c>
    </row>
    <row r="44" spans="1:12" x14ac:dyDescent="0.35">
      <c r="A44" s="95" t="s">
        <v>936</v>
      </c>
      <c r="B44" s="96" t="s">
        <v>154</v>
      </c>
      <c r="C44" s="97">
        <v>0</v>
      </c>
      <c r="D44" s="97">
        <v>22000</v>
      </c>
      <c r="E44" s="97">
        <v>0</v>
      </c>
      <c r="F44" s="97">
        <v>22000</v>
      </c>
      <c r="G44" s="97">
        <v>0</v>
      </c>
      <c r="H44" s="97">
        <v>0</v>
      </c>
      <c r="I44" s="97">
        <v>0</v>
      </c>
      <c r="J44" s="97">
        <v>0</v>
      </c>
      <c r="K44" s="97">
        <v>0</v>
      </c>
      <c r="L44" s="97">
        <v>22000</v>
      </c>
    </row>
    <row r="45" spans="1:12" x14ac:dyDescent="0.35">
      <c r="A45" s="95" t="s">
        <v>937</v>
      </c>
      <c r="B45" s="96" t="s">
        <v>157</v>
      </c>
      <c r="C45" s="97">
        <v>0</v>
      </c>
      <c r="D45" s="97">
        <v>500</v>
      </c>
      <c r="E45" s="97">
        <v>0</v>
      </c>
      <c r="F45" s="97">
        <v>500</v>
      </c>
      <c r="G45" s="97">
        <v>0</v>
      </c>
      <c r="H45" s="97">
        <v>0</v>
      </c>
      <c r="I45" s="97">
        <v>0</v>
      </c>
      <c r="J45" s="97">
        <v>0</v>
      </c>
      <c r="K45" s="97">
        <v>0</v>
      </c>
      <c r="L45" s="97">
        <v>500</v>
      </c>
    </row>
    <row r="46" spans="1:12" x14ac:dyDescent="0.35">
      <c r="A46" s="95" t="s">
        <v>938</v>
      </c>
      <c r="B46" s="96" t="s">
        <v>160</v>
      </c>
      <c r="C46" s="97">
        <v>0</v>
      </c>
      <c r="D46" s="97">
        <v>85666.240000000005</v>
      </c>
      <c r="E46" s="97">
        <v>0</v>
      </c>
      <c r="F46" s="97">
        <v>114223.62</v>
      </c>
      <c r="G46" s="97">
        <v>0</v>
      </c>
      <c r="H46" s="97">
        <v>0</v>
      </c>
      <c r="I46" s="97">
        <v>0</v>
      </c>
      <c r="J46" s="97">
        <v>28557.38</v>
      </c>
      <c r="K46" s="97">
        <v>0</v>
      </c>
      <c r="L46" s="97">
        <v>114223.62</v>
      </c>
    </row>
    <row r="47" spans="1:12" x14ac:dyDescent="0.35">
      <c r="A47" s="95" t="s">
        <v>939</v>
      </c>
      <c r="B47" s="96" t="s">
        <v>530</v>
      </c>
      <c r="C47" s="97">
        <v>0</v>
      </c>
      <c r="D47" s="97">
        <v>28557.38</v>
      </c>
      <c r="E47" s="97">
        <v>0</v>
      </c>
      <c r="F47" s="97">
        <v>0</v>
      </c>
      <c r="G47" s="97">
        <v>0</v>
      </c>
      <c r="H47" s="97">
        <v>0</v>
      </c>
      <c r="I47" s="97">
        <v>28557.38</v>
      </c>
      <c r="J47" s="97">
        <v>0</v>
      </c>
      <c r="K47" s="97">
        <v>0</v>
      </c>
      <c r="L47" s="97">
        <v>0</v>
      </c>
    </row>
    <row r="48" spans="1:12" x14ac:dyDescent="0.35">
      <c r="A48" s="95" t="s">
        <v>940</v>
      </c>
      <c r="B48" s="96" t="s">
        <v>532</v>
      </c>
      <c r="C48" s="97">
        <v>0</v>
      </c>
      <c r="D48" s="97">
        <v>1688.7</v>
      </c>
      <c r="E48" s="97">
        <v>0</v>
      </c>
      <c r="F48" s="97">
        <v>2384.17</v>
      </c>
      <c r="G48" s="97">
        <v>1930.54</v>
      </c>
      <c r="H48" s="97">
        <v>178.86</v>
      </c>
      <c r="I48" s="97">
        <v>2052.2199999999998</v>
      </c>
      <c r="J48" s="97">
        <v>996.01</v>
      </c>
      <c r="K48" s="97">
        <v>0</v>
      </c>
      <c r="L48" s="97">
        <v>632.49</v>
      </c>
    </row>
    <row r="49" spans="1:12" x14ac:dyDescent="0.35">
      <c r="A49" s="95" t="s">
        <v>941</v>
      </c>
      <c r="B49" s="96" t="s">
        <v>942</v>
      </c>
      <c r="C49" s="97">
        <v>0</v>
      </c>
      <c r="D49" s="97">
        <v>-3244.2</v>
      </c>
      <c r="E49" s="97">
        <v>0</v>
      </c>
      <c r="F49" s="97">
        <v>-3244.2</v>
      </c>
      <c r="G49" s="97">
        <v>-117.06</v>
      </c>
      <c r="H49" s="97">
        <v>0</v>
      </c>
      <c r="I49" s="97">
        <v>-117.06</v>
      </c>
      <c r="J49" s="97">
        <v>0</v>
      </c>
      <c r="K49" s="97">
        <v>0</v>
      </c>
      <c r="L49" s="97">
        <v>-3127.14</v>
      </c>
    </row>
    <row r="50" spans="1:12" x14ac:dyDescent="0.35">
      <c r="A50" s="95" t="s">
        <v>943</v>
      </c>
      <c r="B50" s="96" t="s">
        <v>944</v>
      </c>
      <c r="C50" s="97">
        <v>0</v>
      </c>
      <c r="D50" s="97">
        <v>0</v>
      </c>
      <c r="E50" s="97">
        <v>3112.98</v>
      </c>
      <c r="F50" s="97">
        <v>0</v>
      </c>
      <c r="G50" s="97">
        <v>444.66</v>
      </c>
      <c r="H50" s="97">
        <v>0</v>
      </c>
      <c r="I50" s="97">
        <v>3557.64</v>
      </c>
      <c r="J50" s="97">
        <v>0</v>
      </c>
      <c r="K50" s="97">
        <v>3557.64</v>
      </c>
      <c r="L50" s="97">
        <v>0</v>
      </c>
    </row>
    <row r="51" spans="1:12" x14ac:dyDescent="0.35">
      <c r="A51" s="95" t="s">
        <v>945</v>
      </c>
      <c r="B51" s="96" t="s">
        <v>946</v>
      </c>
      <c r="C51" s="97">
        <v>0</v>
      </c>
      <c r="D51" s="97">
        <v>0</v>
      </c>
      <c r="E51" s="97">
        <v>4016.36</v>
      </c>
      <c r="F51" s="97">
        <v>0</v>
      </c>
      <c r="G51" s="97">
        <v>-378.91</v>
      </c>
      <c r="H51" s="97">
        <v>0</v>
      </c>
      <c r="I51" s="97">
        <v>3637.45</v>
      </c>
      <c r="J51" s="97">
        <v>0</v>
      </c>
      <c r="K51" s="97">
        <v>3637.45</v>
      </c>
      <c r="L51" s="97">
        <v>0</v>
      </c>
    </row>
    <row r="52" spans="1:12" x14ac:dyDescent="0.35">
      <c r="A52" s="95" t="s">
        <v>947</v>
      </c>
      <c r="B52" s="96" t="s">
        <v>948</v>
      </c>
      <c r="C52" s="97">
        <v>0</v>
      </c>
      <c r="D52" s="97">
        <v>0</v>
      </c>
      <c r="E52" s="97">
        <v>1307562.92</v>
      </c>
      <c r="F52" s="97">
        <v>0</v>
      </c>
      <c r="G52" s="97">
        <v>174464.98</v>
      </c>
      <c r="H52" s="97">
        <v>9255.17</v>
      </c>
      <c r="I52" s="97">
        <v>1513622.18</v>
      </c>
      <c r="J52" s="97">
        <v>40849.449999999997</v>
      </c>
      <c r="K52" s="97">
        <v>1472772.73</v>
      </c>
      <c r="L52" s="97">
        <v>0</v>
      </c>
    </row>
    <row r="53" spans="1:12" x14ac:dyDescent="0.35">
      <c r="A53" s="95" t="s">
        <v>949</v>
      </c>
      <c r="B53" s="96" t="s">
        <v>624</v>
      </c>
      <c r="C53" s="97">
        <v>0</v>
      </c>
      <c r="D53" s="97">
        <v>0</v>
      </c>
      <c r="E53" s="97">
        <v>-113.41</v>
      </c>
      <c r="F53" s="97">
        <v>0</v>
      </c>
      <c r="G53" s="97">
        <v>388.67</v>
      </c>
      <c r="H53" s="97">
        <v>266.35000000000002</v>
      </c>
      <c r="I53" s="97">
        <v>4078.46</v>
      </c>
      <c r="J53" s="97">
        <v>4069.55</v>
      </c>
      <c r="K53" s="97">
        <v>8.91</v>
      </c>
      <c r="L53" s="97">
        <v>0</v>
      </c>
    </row>
    <row r="54" spans="1:12" x14ac:dyDescent="0.35">
      <c r="A54" s="95" t="s">
        <v>950</v>
      </c>
      <c r="B54" s="96" t="s">
        <v>951</v>
      </c>
      <c r="C54" s="97">
        <v>0</v>
      </c>
      <c r="D54" s="97">
        <v>0</v>
      </c>
      <c r="E54" s="97">
        <v>2103.1999999999998</v>
      </c>
      <c r="F54" s="97">
        <v>0</v>
      </c>
      <c r="G54" s="97">
        <v>423</v>
      </c>
      <c r="H54" s="97">
        <v>0</v>
      </c>
      <c r="I54" s="97">
        <v>2526.1999999999998</v>
      </c>
      <c r="J54" s="97">
        <v>0</v>
      </c>
      <c r="K54" s="97">
        <v>2526.1999999999998</v>
      </c>
      <c r="L54" s="97">
        <v>0</v>
      </c>
    </row>
    <row r="55" spans="1:12" x14ac:dyDescent="0.35">
      <c r="A55" s="95" t="s">
        <v>952</v>
      </c>
      <c r="B55" s="96" t="s">
        <v>953</v>
      </c>
      <c r="C55" s="97">
        <v>0</v>
      </c>
      <c r="D55" s="97">
        <v>0</v>
      </c>
      <c r="E55" s="97">
        <v>104.62</v>
      </c>
      <c r="F55" s="97">
        <v>0</v>
      </c>
      <c r="G55" s="97">
        <v>0</v>
      </c>
      <c r="H55" s="97">
        <v>0</v>
      </c>
      <c r="I55" s="97">
        <v>104.62</v>
      </c>
      <c r="J55" s="97">
        <v>0</v>
      </c>
      <c r="K55" s="97">
        <v>104.62</v>
      </c>
      <c r="L55" s="97">
        <v>0</v>
      </c>
    </row>
    <row r="56" spans="1:12" x14ac:dyDescent="0.35">
      <c r="A56" s="95" t="s">
        <v>954</v>
      </c>
      <c r="B56" s="96" t="s">
        <v>650</v>
      </c>
      <c r="C56" s="97">
        <v>0</v>
      </c>
      <c r="D56" s="97">
        <v>0</v>
      </c>
      <c r="E56" s="97">
        <v>0</v>
      </c>
      <c r="F56" s="97">
        <v>0</v>
      </c>
      <c r="G56" s="97">
        <v>4.1399999999999997</v>
      </c>
      <c r="H56" s="97">
        <v>0</v>
      </c>
      <c r="I56" s="97">
        <v>4.1399999999999997</v>
      </c>
      <c r="J56" s="97">
        <v>0</v>
      </c>
      <c r="K56" s="97">
        <v>4.1399999999999997</v>
      </c>
      <c r="L56" s="97">
        <v>0</v>
      </c>
    </row>
    <row r="57" spans="1:12" x14ac:dyDescent="0.35">
      <c r="A57" s="95" t="s">
        <v>955</v>
      </c>
      <c r="B57" s="96" t="s">
        <v>867</v>
      </c>
      <c r="C57" s="97">
        <v>0</v>
      </c>
      <c r="D57" s="97">
        <v>0</v>
      </c>
      <c r="E57" s="97">
        <v>96513.61</v>
      </c>
      <c r="F57" s="97">
        <v>0</v>
      </c>
      <c r="G57" s="97">
        <v>219607.1</v>
      </c>
      <c r="H57" s="97">
        <v>35.85</v>
      </c>
      <c r="I57" s="97">
        <v>316141.96000000002</v>
      </c>
      <c r="J57" s="97">
        <v>57.1</v>
      </c>
      <c r="K57" s="97">
        <v>316084.86</v>
      </c>
      <c r="L57" s="97">
        <v>0</v>
      </c>
    </row>
    <row r="58" spans="1:12" x14ac:dyDescent="0.35">
      <c r="A58" s="95" t="s">
        <v>956</v>
      </c>
      <c r="B58" s="96" t="s">
        <v>700</v>
      </c>
      <c r="C58" s="97">
        <v>0</v>
      </c>
      <c r="D58" s="97">
        <v>0</v>
      </c>
      <c r="E58" s="97">
        <v>167610.21</v>
      </c>
      <c r="F58" s="97">
        <v>0</v>
      </c>
      <c r="G58" s="97">
        <v>17419.39</v>
      </c>
      <c r="H58" s="97">
        <v>3869.56</v>
      </c>
      <c r="I58" s="97">
        <v>188915.42</v>
      </c>
      <c r="J58" s="97">
        <v>7755.38</v>
      </c>
      <c r="K58" s="97">
        <v>181160.04</v>
      </c>
      <c r="L58" s="97">
        <v>0</v>
      </c>
    </row>
    <row r="59" spans="1:12" x14ac:dyDescent="0.35">
      <c r="A59" s="95" t="s">
        <v>957</v>
      </c>
      <c r="B59" s="96" t="s">
        <v>732</v>
      </c>
      <c r="C59" s="97">
        <v>0</v>
      </c>
      <c r="D59" s="97">
        <v>0</v>
      </c>
      <c r="E59" s="97">
        <v>61821.4</v>
      </c>
      <c r="F59" s="97">
        <v>0</v>
      </c>
      <c r="G59" s="97">
        <v>6413.7</v>
      </c>
      <c r="H59" s="97">
        <v>1337.95</v>
      </c>
      <c r="I59" s="97">
        <v>69626.92</v>
      </c>
      <c r="J59" s="97">
        <v>2729.77</v>
      </c>
      <c r="K59" s="97">
        <v>66897.149999999994</v>
      </c>
      <c r="L59" s="97">
        <v>0</v>
      </c>
    </row>
    <row r="60" spans="1:12" x14ac:dyDescent="0.35">
      <c r="A60" s="95" t="s">
        <v>958</v>
      </c>
      <c r="B60" s="96" t="s">
        <v>959</v>
      </c>
      <c r="C60" s="97">
        <v>0</v>
      </c>
      <c r="D60" s="97">
        <v>0</v>
      </c>
      <c r="E60" s="97">
        <v>12499.38</v>
      </c>
      <c r="F60" s="97">
        <v>0</v>
      </c>
      <c r="G60" s="97">
        <v>1364.36</v>
      </c>
      <c r="H60" s="97">
        <v>1930.54</v>
      </c>
      <c r="I60" s="97">
        <v>14066.14</v>
      </c>
      <c r="J60" s="97">
        <v>2132.94</v>
      </c>
      <c r="K60" s="97">
        <v>11933.2</v>
      </c>
      <c r="L60" s="97">
        <v>0</v>
      </c>
    </row>
    <row r="61" spans="1:12" x14ac:dyDescent="0.35">
      <c r="A61" s="95" t="s">
        <v>960</v>
      </c>
      <c r="B61" s="96" t="s">
        <v>860</v>
      </c>
      <c r="C61" s="97">
        <v>0</v>
      </c>
      <c r="D61" s="97">
        <v>0</v>
      </c>
      <c r="E61" s="97">
        <v>1168.96</v>
      </c>
      <c r="F61" s="97">
        <v>0</v>
      </c>
      <c r="G61" s="97">
        <v>285.8</v>
      </c>
      <c r="H61" s="97">
        <v>0</v>
      </c>
      <c r="I61" s="97">
        <v>1454.76</v>
      </c>
      <c r="J61" s="97">
        <v>0</v>
      </c>
      <c r="K61" s="97">
        <v>1454.76</v>
      </c>
      <c r="L61" s="97">
        <v>0</v>
      </c>
    </row>
    <row r="62" spans="1:12" x14ac:dyDescent="0.35">
      <c r="A62" s="95" t="s">
        <v>961</v>
      </c>
      <c r="B62" s="96" t="s">
        <v>962</v>
      </c>
      <c r="C62" s="97">
        <v>0</v>
      </c>
      <c r="D62" s="97">
        <v>0</v>
      </c>
      <c r="E62" s="97">
        <v>0</v>
      </c>
      <c r="F62" s="97">
        <v>0</v>
      </c>
      <c r="G62" s="97">
        <v>44.4</v>
      </c>
      <c r="H62" s="97">
        <v>0</v>
      </c>
      <c r="I62" s="97">
        <v>44.4</v>
      </c>
      <c r="J62" s="97">
        <v>0</v>
      </c>
      <c r="K62" s="97">
        <v>44.4</v>
      </c>
      <c r="L62" s="97">
        <v>0</v>
      </c>
    </row>
    <row r="63" spans="1:12" x14ac:dyDescent="0.35">
      <c r="A63" s="95" t="s">
        <v>963</v>
      </c>
      <c r="B63" s="96" t="s">
        <v>123</v>
      </c>
      <c r="C63" s="97">
        <v>0</v>
      </c>
      <c r="D63" s="97">
        <v>0</v>
      </c>
      <c r="E63" s="97">
        <v>1040</v>
      </c>
      <c r="F63" s="97">
        <v>0</v>
      </c>
      <c r="G63" s="97">
        <v>0</v>
      </c>
      <c r="H63" s="97">
        <v>0</v>
      </c>
      <c r="I63" s="97">
        <v>1040</v>
      </c>
      <c r="J63" s="97">
        <v>0</v>
      </c>
      <c r="K63" s="97">
        <v>1040</v>
      </c>
      <c r="L63" s="97">
        <v>0</v>
      </c>
    </row>
    <row r="64" spans="1:12" x14ac:dyDescent="0.35">
      <c r="A64" s="95" t="s">
        <v>964</v>
      </c>
      <c r="B64" s="96" t="s">
        <v>769</v>
      </c>
      <c r="C64" s="97">
        <v>0</v>
      </c>
      <c r="D64" s="97">
        <v>0</v>
      </c>
      <c r="E64" s="97">
        <v>8.26</v>
      </c>
      <c r="F64" s="97">
        <v>0</v>
      </c>
      <c r="G64" s="97">
        <v>0</v>
      </c>
      <c r="H64" s="97">
        <v>0</v>
      </c>
      <c r="I64" s="97">
        <v>8.26</v>
      </c>
      <c r="J64" s="97">
        <v>0</v>
      </c>
      <c r="K64" s="97">
        <v>8.26</v>
      </c>
      <c r="L64" s="97">
        <v>0</v>
      </c>
    </row>
    <row r="65" spans="1:12" x14ac:dyDescent="0.35">
      <c r="A65" s="95" t="s">
        <v>965</v>
      </c>
      <c r="B65" s="96" t="s">
        <v>966</v>
      </c>
      <c r="C65" s="97">
        <v>0</v>
      </c>
      <c r="D65" s="97">
        <v>0</v>
      </c>
      <c r="E65" s="97">
        <v>0</v>
      </c>
      <c r="F65" s="97">
        <v>0</v>
      </c>
      <c r="G65" s="97">
        <v>7726.27</v>
      </c>
      <c r="H65" s="97">
        <v>0</v>
      </c>
      <c r="I65" s="97">
        <v>7726.27</v>
      </c>
      <c r="J65" s="97">
        <v>0</v>
      </c>
      <c r="K65" s="97">
        <v>7726.27</v>
      </c>
      <c r="L65" s="97">
        <v>0</v>
      </c>
    </row>
    <row r="66" spans="1:12" x14ac:dyDescent="0.35">
      <c r="A66" s="95" t="s">
        <v>967</v>
      </c>
      <c r="B66" s="96" t="s">
        <v>968</v>
      </c>
      <c r="C66" s="97">
        <v>0</v>
      </c>
      <c r="D66" s="97">
        <v>0</v>
      </c>
      <c r="E66" s="97">
        <v>882.36</v>
      </c>
      <c r="F66" s="97">
        <v>0</v>
      </c>
      <c r="G66" s="97">
        <v>0.13</v>
      </c>
      <c r="H66" s="97">
        <v>0</v>
      </c>
      <c r="I66" s="97">
        <v>882.67</v>
      </c>
      <c r="J66" s="97">
        <v>0.18</v>
      </c>
      <c r="K66" s="97">
        <v>882.49</v>
      </c>
      <c r="L66" s="97">
        <v>0</v>
      </c>
    </row>
    <row r="67" spans="1:12" x14ac:dyDescent="0.35">
      <c r="A67" s="95" t="s">
        <v>969</v>
      </c>
      <c r="B67" s="96" t="s">
        <v>970</v>
      </c>
      <c r="C67" s="97">
        <v>0</v>
      </c>
      <c r="D67" s="97">
        <v>0</v>
      </c>
      <c r="E67" s="97">
        <v>2893.53</v>
      </c>
      <c r="F67" s="97">
        <v>0</v>
      </c>
      <c r="G67" s="97">
        <v>-2344.81</v>
      </c>
      <c r="H67" s="97">
        <v>0</v>
      </c>
      <c r="I67" s="97">
        <v>548.72</v>
      </c>
      <c r="J67" s="97">
        <v>0</v>
      </c>
      <c r="K67" s="97">
        <v>548.72</v>
      </c>
      <c r="L67" s="97">
        <v>0</v>
      </c>
    </row>
    <row r="68" spans="1:12" x14ac:dyDescent="0.35">
      <c r="A68" s="95" t="s">
        <v>971</v>
      </c>
      <c r="B68" s="96" t="s">
        <v>972</v>
      </c>
      <c r="C68" s="97">
        <v>0</v>
      </c>
      <c r="D68" s="97">
        <v>0</v>
      </c>
      <c r="E68" s="97">
        <v>5034.26</v>
      </c>
      <c r="F68" s="97">
        <v>0</v>
      </c>
      <c r="G68" s="97">
        <v>613.98</v>
      </c>
      <c r="H68" s="97">
        <v>0</v>
      </c>
      <c r="I68" s="97">
        <v>5648.24</v>
      </c>
      <c r="J68" s="97">
        <v>0</v>
      </c>
      <c r="K68" s="97">
        <v>5648.24</v>
      </c>
      <c r="L68" s="97">
        <v>0</v>
      </c>
    </row>
    <row r="69" spans="1:12" x14ac:dyDescent="0.35">
      <c r="A69" s="95" t="s">
        <v>973</v>
      </c>
      <c r="B69" s="96" t="s">
        <v>974</v>
      </c>
      <c r="C69" s="97">
        <v>0</v>
      </c>
      <c r="D69" s="97">
        <v>0</v>
      </c>
      <c r="E69" s="97">
        <v>0</v>
      </c>
      <c r="F69" s="97">
        <v>0</v>
      </c>
      <c r="G69" s="97">
        <v>0</v>
      </c>
      <c r="H69" s="97">
        <v>0</v>
      </c>
      <c r="I69" s="97">
        <v>0</v>
      </c>
      <c r="J69" s="97">
        <v>0</v>
      </c>
      <c r="K69" s="97">
        <v>0</v>
      </c>
      <c r="L69" s="97">
        <v>0</v>
      </c>
    </row>
    <row r="70" spans="1:12" x14ac:dyDescent="0.35">
      <c r="A70" s="95" t="s">
        <v>975</v>
      </c>
      <c r="B70" s="96" t="s">
        <v>976</v>
      </c>
      <c r="C70" s="97">
        <v>0</v>
      </c>
      <c r="D70" s="97">
        <v>0</v>
      </c>
      <c r="E70" s="97">
        <v>3648.1</v>
      </c>
      <c r="F70" s="97">
        <v>0</v>
      </c>
      <c r="G70" s="97">
        <v>461.59</v>
      </c>
      <c r="H70" s="97">
        <v>0</v>
      </c>
      <c r="I70" s="97">
        <v>4109.6899999999996</v>
      </c>
      <c r="J70" s="97">
        <v>0</v>
      </c>
      <c r="K70" s="97">
        <v>4109.6899999999996</v>
      </c>
      <c r="L70" s="97">
        <v>0</v>
      </c>
    </row>
    <row r="71" spans="1:12" x14ac:dyDescent="0.35">
      <c r="A71" s="95" t="s">
        <v>977</v>
      </c>
      <c r="B71" s="96" t="s">
        <v>978</v>
      </c>
      <c r="C71" s="97">
        <v>0</v>
      </c>
      <c r="D71" s="97">
        <v>0</v>
      </c>
      <c r="E71" s="97">
        <v>0</v>
      </c>
      <c r="F71" s="97">
        <v>0</v>
      </c>
      <c r="G71" s="97">
        <v>10697.14</v>
      </c>
      <c r="H71" s="97">
        <v>0</v>
      </c>
      <c r="I71" s="97">
        <v>10697.14</v>
      </c>
      <c r="J71" s="97">
        <v>0</v>
      </c>
      <c r="K71" s="97">
        <v>10697.14</v>
      </c>
      <c r="L71" s="97">
        <v>0</v>
      </c>
    </row>
    <row r="72" spans="1:12" x14ac:dyDescent="0.35">
      <c r="A72" s="95" t="s">
        <v>979</v>
      </c>
      <c r="B72" s="96" t="s">
        <v>980</v>
      </c>
      <c r="C72" s="97">
        <v>0</v>
      </c>
      <c r="D72" s="97">
        <v>0</v>
      </c>
      <c r="E72" s="97">
        <v>0</v>
      </c>
      <c r="F72" s="97">
        <v>0</v>
      </c>
      <c r="G72" s="97">
        <v>0</v>
      </c>
      <c r="H72" s="97">
        <v>-117.06</v>
      </c>
      <c r="I72" s="97">
        <v>0</v>
      </c>
      <c r="J72" s="97">
        <v>-117.06</v>
      </c>
      <c r="K72" s="97">
        <v>117.06</v>
      </c>
      <c r="L72" s="97">
        <v>0</v>
      </c>
    </row>
    <row r="73" spans="1:12" x14ac:dyDescent="0.35">
      <c r="A73" s="95" t="s">
        <v>981</v>
      </c>
      <c r="B73" s="96" t="s">
        <v>982</v>
      </c>
      <c r="C73" s="97">
        <v>0</v>
      </c>
      <c r="D73" s="97">
        <v>0</v>
      </c>
      <c r="E73" s="97">
        <v>0</v>
      </c>
      <c r="F73" s="97">
        <v>1069.23</v>
      </c>
      <c r="G73" s="97">
        <v>0</v>
      </c>
      <c r="H73" s="97">
        <v>134.71</v>
      </c>
      <c r="I73" s="97">
        <v>0</v>
      </c>
      <c r="J73" s="97">
        <v>1203.94</v>
      </c>
      <c r="K73" s="97">
        <v>0</v>
      </c>
      <c r="L73" s="97">
        <v>1203.94</v>
      </c>
    </row>
    <row r="74" spans="1:12" x14ac:dyDescent="0.35">
      <c r="A74" s="95" t="s">
        <v>983</v>
      </c>
      <c r="B74" s="96" t="s">
        <v>984</v>
      </c>
      <c r="C74" s="97">
        <v>0</v>
      </c>
      <c r="D74" s="97">
        <v>0</v>
      </c>
      <c r="E74" s="97">
        <v>0</v>
      </c>
      <c r="F74" s="97">
        <v>1894351.39</v>
      </c>
      <c r="G74" s="97">
        <v>0</v>
      </c>
      <c r="H74" s="97">
        <v>218926.66</v>
      </c>
      <c r="I74" s="97">
        <v>0</v>
      </c>
      <c r="J74" s="97">
        <v>2113278.0499999998</v>
      </c>
      <c r="K74" s="97">
        <v>0</v>
      </c>
      <c r="L74" s="97">
        <v>2113278.0499999998</v>
      </c>
    </row>
    <row r="75" spans="1:12" x14ac:dyDescent="0.35">
      <c r="A75" s="95" t="s">
        <v>985</v>
      </c>
      <c r="B75" s="96" t="s">
        <v>827</v>
      </c>
      <c r="C75" s="97">
        <v>0</v>
      </c>
      <c r="D75" s="97">
        <v>0</v>
      </c>
      <c r="E75" s="97">
        <v>0</v>
      </c>
      <c r="F75" s="97">
        <v>5789.78</v>
      </c>
      <c r="G75" s="97">
        <v>0</v>
      </c>
      <c r="H75" s="97">
        <v>-1728.83</v>
      </c>
      <c r="I75" s="97">
        <v>0</v>
      </c>
      <c r="J75" s="97">
        <v>4060.95</v>
      </c>
      <c r="K75" s="97">
        <v>0</v>
      </c>
      <c r="L75" s="97">
        <v>4060.95</v>
      </c>
    </row>
    <row r="76" spans="1:12" x14ac:dyDescent="0.35">
      <c r="A76" s="95" t="s">
        <v>986</v>
      </c>
      <c r="B76" s="96" t="s">
        <v>974</v>
      </c>
      <c r="C76" s="97">
        <v>0</v>
      </c>
      <c r="D76" s="97">
        <v>0</v>
      </c>
      <c r="E76" s="97">
        <v>0</v>
      </c>
      <c r="F76" s="97">
        <v>9277.44</v>
      </c>
      <c r="G76" s="97">
        <v>0</v>
      </c>
      <c r="H76" s="97">
        <v>769.66</v>
      </c>
      <c r="I76" s="97">
        <v>0</v>
      </c>
      <c r="J76" s="97">
        <v>10047.1</v>
      </c>
      <c r="K76" s="97">
        <v>0</v>
      </c>
      <c r="L76" s="97">
        <v>10047.1</v>
      </c>
    </row>
    <row r="77" spans="1:12" x14ac:dyDescent="0.35">
      <c r="A77" s="95"/>
      <c r="B77" s="96"/>
      <c r="C77" s="97"/>
      <c r="D77" s="97"/>
      <c r="E77" s="97"/>
      <c r="F77" s="97"/>
      <c r="G77" s="97"/>
      <c r="H77" s="97"/>
      <c r="I77" s="97"/>
      <c r="J77" s="97"/>
      <c r="K77" s="97"/>
      <c r="L77" s="97"/>
    </row>
    <row r="78" spans="1:12" x14ac:dyDescent="0.35">
      <c r="A78" s="95"/>
      <c r="B78" s="96"/>
      <c r="C78" s="97"/>
      <c r="D78" s="97"/>
      <c r="E78" s="97"/>
      <c r="F78" s="97"/>
      <c r="G78" s="97"/>
      <c r="H78" s="97"/>
      <c r="I78" s="97"/>
      <c r="J78" s="97"/>
      <c r="K78" s="97"/>
      <c r="L78" s="97"/>
    </row>
    <row r="79" spans="1:12" x14ac:dyDescent="0.35">
      <c r="A79" s="95"/>
      <c r="B79" s="96"/>
      <c r="C79" s="97"/>
      <c r="D79" s="97"/>
      <c r="E79" s="97"/>
      <c r="F79" s="97"/>
      <c r="G79" s="97"/>
      <c r="H79" s="97"/>
      <c r="I79" s="97"/>
      <c r="J79" s="97"/>
      <c r="K79" s="97"/>
      <c r="L79" s="97"/>
    </row>
    <row r="80" spans="1:12" x14ac:dyDescent="0.35">
      <c r="A80" s="95"/>
      <c r="B80" s="96"/>
      <c r="C80" s="97"/>
      <c r="D80" s="97"/>
      <c r="E80" s="97"/>
      <c r="F80" s="97"/>
      <c r="G80" s="97"/>
      <c r="H80" s="97"/>
      <c r="I80" s="97"/>
      <c r="J80" s="97"/>
      <c r="K80" s="97"/>
      <c r="L80" s="97"/>
    </row>
    <row r="81" spans="1:12" x14ac:dyDescent="0.35">
      <c r="A81" s="95"/>
      <c r="B81" s="96"/>
      <c r="C81" s="97"/>
      <c r="D81" s="97"/>
      <c r="E81" s="97"/>
      <c r="F81" s="97"/>
      <c r="G81" s="97"/>
      <c r="H81" s="97"/>
      <c r="I81" s="97"/>
      <c r="J81" s="97"/>
      <c r="K81" s="97"/>
      <c r="L81" s="97"/>
    </row>
    <row r="82" spans="1:12" x14ac:dyDescent="0.35">
      <c r="A82" s="95"/>
      <c r="B82" s="96"/>
      <c r="C82" s="97"/>
      <c r="D82" s="97"/>
      <c r="E82" s="97"/>
      <c r="F82" s="97"/>
      <c r="G82" s="97"/>
      <c r="H82" s="97"/>
      <c r="I82" s="97"/>
      <c r="J82" s="97"/>
      <c r="K82" s="97"/>
      <c r="L82" s="97"/>
    </row>
    <row r="83" spans="1:12" x14ac:dyDescent="0.35">
      <c r="A83" s="95"/>
      <c r="B83" s="96"/>
      <c r="C83" s="97"/>
      <c r="D83" s="97"/>
      <c r="E83" s="97"/>
      <c r="F83" s="97"/>
      <c r="G83" s="97"/>
      <c r="H83" s="97"/>
      <c r="I83" s="97"/>
      <c r="J83" s="97"/>
      <c r="K83" s="97"/>
      <c r="L83" s="97"/>
    </row>
    <row r="84" spans="1:12" x14ac:dyDescent="0.35">
      <c r="A84" s="95"/>
      <c r="B84" s="96"/>
      <c r="C84" s="97"/>
      <c r="D84" s="97"/>
      <c r="E84" s="97"/>
      <c r="F84" s="97"/>
      <c r="G84" s="97"/>
      <c r="H84" s="97"/>
      <c r="I84" s="97"/>
      <c r="J84" s="97"/>
      <c r="K84" s="97"/>
      <c r="L84" s="97"/>
    </row>
    <row r="85" spans="1:12" x14ac:dyDescent="0.35">
      <c r="A85" s="95"/>
      <c r="B85" s="96"/>
      <c r="C85" s="97"/>
      <c r="D85" s="97"/>
      <c r="E85" s="97"/>
      <c r="F85" s="97"/>
      <c r="G85" s="97"/>
      <c r="H85" s="97"/>
      <c r="I85" s="97"/>
      <c r="J85" s="97"/>
      <c r="K85" s="97"/>
      <c r="L85" s="97"/>
    </row>
    <row r="86" spans="1:12" x14ac:dyDescent="0.35">
      <c r="A86" s="95"/>
      <c r="B86" s="96"/>
      <c r="C86" s="97"/>
      <c r="D86" s="97"/>
      <c r="E86" s="97"/>
      <c r="F86" s="97"/>
      <c r="G86" s="97"/>
      <c r="H86" s="97"/>
      <c r="I86" s="97"/>
      <c r="J86" s="97"/>
      <c r="K86" s="97"/>
      <c r="L86" s="97"/>
    </row>
    <row r="87" spans="1:12" x14ac:dyDescent="0.35">
      <c r="A87" s="95"/>
      <c r="B87" s="96"/>
      <c r="C87" s="97"/>
      <c r="D87" s="97"/>
      <c r="E87" s="97"/>
      <c r="F87" s="97"/>
      <c r="G87" s="97"/>
      <c r="H87" s="97"/>
      <c r="I87" s="97"/>
      <c r="J87" s="97"/>
      <c r="K87" s="97"/>
      <c r="L87" s="97"/>
    </row>
    <row r="88" spans="1:12" x14ac:dyDescent="0.35">
      <c r="A88" s="95"/>
      <c r="B88" s="96"/>
      <c r="C88" s="97"/>
      <c r="D88" s="97"/>
      <c r="E88" s="97"/>
      <c r="F88" s="97"/>
      <c r="G88" s="97"/>
      <c r="H88" s="97"/>
      <c r="I88" s="97"/>
      <c r="J88" s="97"/>
      <c r="K88" s="97"/>
      <c r="L88" s="97"/>
    </row>
    <row r="89" spans="1:12" x14ac:dyDescent="0.35">
      <c r="A89" s="95"/>
      <c r="B89" s="96"/>
      <c r="C89" s="97"/>
      <c r="D89" s="97"/>
      <c r="E89" s="97"/>
      <c r="F89" s="97"/>
      <c r="G89" s="97"/>
      <c r="H89" s="97"/>
      <c r="I89" s="97"/>
      <c r="J89" s="97"/>
      <c r="K89" s="97"/>
      <c r="L89" s="97"/>
    </row>
    <row r="90" spans="1:12" x14ac:dyDescent="0.35">
      <c r="A90" s="95"/>
      <c r="B90" s="96"/>
      <c r="C90" s="97"/>
      <c r="D90" s="97"/>
      <c r="E90" s="97"/>
      <c r="F90" s="97"/>
      <c r="G90" s="97"/>
      <c r="H90" s="97"/>
      <c r="I90" s="97"/>
      <c r="J90" s="97"/>
      <c r="K90" s="97"/>
      <c r="L90" s="97"/>
    </row>
    <row r="91" spans="1:12" x14ac:dyDescent="0.35">
      <c r="A91" s="95"/>
      <c r="B91" s="96"/>
      <c r="C91" s="97"/>
      <c r="D91" s="97"/>
      <c r="E91" s="97"/>
      <c r="F91" s="97"/>
      <c r="G91" s="97"/>
      <c r="H91" s="97"/>
      <c r="I91" s="97"/>
      <c r="J91" s="97"/>
      <c r="K91" s="97"/>
      <c r="L91" s="97"/>
    </row>
    <row r="92" spans="1:12" x14ac:dyDescent="0.35">
      <c r="A92" s="95"/>
      <c r="B92" s="96"/>
      <c r="C92" s="97"/>
      <c r="D92" s="97"/>
      <c r="E92" s="97"/>
      <c r="F92" s="97"/>
      <c r="G92" s="97"/>
      <c r="H92" s="97"/>
      <c r="I92" s="97"/>
      <c r="J92" s="97"/>
      <c r="K92" s="97"/>
      <c r="L92" s="97"/>
    </row>
    <row r="93" spans="1:12" x14ac:dyDescent="0.35">
      <c r="A93" s="95"/>
      <c r="B93" s="96"/>
      <c r="C93" s="97"/>
      <c r="D93" s="97"/>
      <c r="E93" s="97"/>
      <c r="F93" s="97"/>
      <c r="G93" s="97"/>
      <c r="H93" s="97"/>
      <c r="I93" s="97"/>
      <c r="J93" s="97"/>
      <c r="K93" s="97"/>
      <c r="L93" s="97"/>
    </row>
    <row r="94" spans="1:12" x14ac:dyDescent="0.35">
      <c r="A94" s="95"/>
      <c r="B94" s="96"/>
      <c r="C94" s="97"/>
      <c r="D94" s="97"/>
      <c r="E94" s="97"/>
      <c r="F94" s="97"/>
      <c r="G94" s="97"/>
      <c r="H94" s="97"/>
      <c r="I94" s="97"/>
      <c r="J94" s="97"/>
      <c r="K94" s="97"/>
      <c r="L94" s="97"/>
    </row>
    <row r="95" spans="1:12" x14ac:dyDescent="0.35">
      <c r="A95" s="95"/>
      <c r="B95" s="96"/>
      <c r="C95" s="97"/>
      <c r="D95" s="97"/>
      <c r="E95" s="97"/>
      <c r="F95" s="97"/>
      <c r="G95" s="97"/>
      <c r="H95" s="97"/>
      <c r="I95" s="97"/>
      <c r="J95" s="97"/>
      <c r="K95" s="97"/>
      <c r="L95" s="97"/>
    </row>
    <row r="96" spans="1:12" x14ac:dyDescent="0.35">
      <c r="A96" s="95"/>
      <c r="B96" s="96"/>
      <c r="C96" s="97"/>
      <c r="D96" s="97"/>
      <c r="E96" s="97"/>
      <c r="F96" s="97"/>
      <c r="G96" s="97"/>
      <c r="H96" s="97"/>
      <c r="I96" s="97"/>
      <c r="J96" s="97"/>
      <c r="K96" s="97"/>
      <c r="L96" s="97"/>
    </row>
    <row r="97" spans="1:12" x14ac:dyDescent="0.35">
      <c r="A97" s="95"/>
      <c r="B97" s="96"/>
      <c r="C97" s="97"/>
      <c r="D97" s="97"/>
      <c r="E97" s="97"/>
      <c r="F97" s="97"/>
      <c r="G97" s="97"/>
      <c r="H97" s="97"/>
      <c r="I97" s="97"/>
      <c r="J97" s="97"/>
      <c r="K97" s="97"/>
      <c r="L97" s="97"/>
    </row>
    <row r="98" spans="1:12" x14ac:dyDescent="0.35">
      <c r="A98" s="95"/>
      <c r="B98" s="96"/>
      <c r="C98" s="97"/>
      <c r="D98" s="97"/>
      <c r="E98" s="97"/>
      <c r="F98" s="97"/>
      <c r="G98" s="97"/>
      <c r="H98" s="97"/>
      <c r="I98" s="97"/>
      <c r="J98" s="97"/>
      <c r="K98" s="97"/>
      <c r="L98" s="97"/>
    </row>
    <row r="99" spans="1:12" x14ac:dyDescent="0.35">
      <c r="A99" s="95"/>
      <c r="B99" s="96"/>
      <c r="C99" s="97"/>
      <c r="D99" s="97"/>
      <c r="E99" s="97"/>
      <c r="F99" s="97"/>
      <c r="G99" s="97"/>
      <c r="H99" s="97"/>
      <c r="I99" s="97"/>
      <c r="J99" s="97"/>
      <c r="K99" s="97"/>
      <c r="L99" s="97"/>
    </row>
    <row r="100" spans="1:12" x14ac:dyDescent="0.35">
      <c r="A100" s="95"/>
      <c r="B100" s="96"/>
      <c r="C100" s="97"/>
      <c r="D100" s="97"/>
      <c r="E100" s="97"/>
      <c r="F100" s="97"/>
      <c r="G100" s="97"/>
      <c r="H100" s="97"/>
      <c r="I100" s="97"/>
      <c r="J100" s="97"/>
      <c r="K100" s="97"/>
      <c r="L100" s="97"/>
    </row>
    <row r="101" spans="1:12" x14ac:dyDescent="0.35">
      <c r="A101" s="95"/>
      <c r="B101" s="96"/>
      <c r="C101" s="97"/>
      <c r="D101" s="97"/>
      <c r="E101" s="97"/>
      <c r="F101" s="97"/>
      <c r="G101" s="97"/>
      <c r="H101" s="97"/>
      <c r="I101" s="97"/>
      <c r="J101" s="97"/>
      <c r="K101" s="97"/>
      <c r="L101" s="97"/>
    </row>
    <row r="102" spans="1:12" x14ac:dyDescent="0.35">
      <c r="A102" s="95"/>
      <c r="B102" s="96"/>
      <c r="C102" s="97"/>
      <c r="D102" s="97"/>
      <c r="E102" s="97"/>
      <c r="F102" s="97"/>
      <c r="G102" s="97"/>
      <c r="H102" s="97"/>
      <c r="I102" s="97"/>
      <c r="J102" s="97"/>
      <c r="K102" s="97"/>
      <c r="L102" s="97"/>
    </row>
    <row r="103" spans="1:12" x14ac:dyDescent="0.35">
      <c r="A103" s="95"/>
      <c r="B103" s="96"/>
      <c r="C103" s="97"/>
      <c r="D103" s="97"/>
      <c r="E103" s="97"/>
      <c r="F103" s="97"/>
      <c r="G103" s="97"/>
      <c r="H103" s="97"/>
      <c r="I103" s="97"/>
      <c r="J103" s="97"/>
      <c r="K103" s="97"/>
      <c r="L103" s="97"/>
    </row>
    <row r="104" spans="1:12" x14ac:dyDescent="0.35">
      <c r="A104" s="95"/>
      <c r="B104" s="96"/>
      <c r="C104" s="97"/>
      <c r="D104" s="97"/>
      <c r="E104" s="97"/>
      <c r="F104" s="97"/>
      <c r="G104" s="97"/>
      <c r="H104" s="97"/>
      <c r="I104" s="97"/>
      <c r="J104" s="97"/>
      <c r="K104" s="97"/>
      <c r="L104" s="97"/>
    </row>
    <row r="105" spans="1:12" x14ac:dyDescent="0.35">
      <c r="A105" s="95"/>
      <c r="B105" s="96"/>
      <c r="C105" s="97"/>
      <c r="D105" s="97"/>
      <c r="E105" s="97"/>
      <c r="F105" s="97"/>
      <c r="G105" s="97"/>
      <c r="H105" s="97"/>
      <c r="I105" s="97"/>
      <c r="J105" s="97"/>
      <c r="K105" s="97"/>
      <c r="L105" s="97"/>
    </row>
    <row r="106" spans="1:12" x14ac:dyDescent="0.35">
      <c r="A106" s="95"/>
      <c r="B106" s="96"/>
      <c r="C106" s="97"/>
      <c r="D106" s="97"/>
      <c r="E106" s="97"/>
      <c r="F106" s="97"/>
      <c r="G106" s="97"/>
      <c r="H106" s="97"/>
      <c r="I106" s="97"/>
      <c r="J106" s="97"/>
      <c r="K106" s="97"/>
      <c r="L106" s="97"/>
    </row>
    <row r="107" spans="1:12" x14ac:dyDescent="0.35">
      <c r="A107" s="95"/>
      <c r="B107" s="96"/>
      <c r="C107" s="97"/>
      <c r="D107" s="97"/>
      <c r="E107" s="97"/>
      <c r="F107" s="97"/>
      <c r="G107" s="97"/>
      <c r="H107" s="97"/>
      <c r="I107" s="97"/>
      <c r="J107" s="97"/>
      <c r="K107" s="97"/>
      <c r="L107" s="97"/>
    </row>
    <row r="108" spans="1:12" x14ac:dyDescent="0.35">
      <c r="A108" s="95"/>
      <c r="B108" s="96"/>
      <c r="C108" s="97"/>
      <c r="D108" s="97"/>
      <c r="E108" s="97"/>
      <c r="F108" s="97"/>
      <c r="G108" s="97"/>
      <c r="H108" s="97"/>
      <c r="I108" s="97"/>
      <c r="J108" s="97"/>
      <c r="K108" s="97"/>
      <c r="L108" s="97"/>
    </row>
    <row r="109" spans="1:12" x14ac:dyDescent="0.35">
      <c r="A109" s="95"/>
      <c r="B109" s="96"/>
      <c r="C109" s="97"/>
      <c r="D109" s="97"/>
      <c r="E109" s="97"/>
      <c r="F109" s="97"/>
      <c r="G109" s="97"/>
      <c r="H109" s="97"/>
      <c r="I109" s="97"/>
      <c r="J109" s="97"/>
      <c r="K109" s="97"/>
      <c r="L109" s="97"/>
    </row>
    <row r="110" spans="1:12" x14ac:dyDescent="0.35">
      <c r="A110" s="95"/>
      <c r="B110" s="96"/>
      <c r="C110" s="97"/>
      <c r="D110" s="97"/>
      <c r="E110" s="97"/>
      <c r="F110" s="97"/>
      <c r="G110" s="97"/>
      <c r="H110" s="97"/>
      <c r="I110" s="97"/>
      <c r="J110" s="97"/>
      <c r="K110" s="97"/>
      <c r="L110" s="97"/>
    </row>
    <row r="111" spans="1:12" x14ac:dyDescent="0.35">
      <c r="A111" s="95"/>
      <c r="B111" s="96"/>
      <c r="C111" s="97"/>
      <c r="D111" s="97"/>
      <c r="E111" s="97"/>
      <c r="F111" s="97"/>
      <c r="G111" s="97"/>
      <c r="H111" s="97"/>
      <c r="I111" s="97"/>
      <c r="J111" s="97"/>
      <c r="K111" s="97"/>
      <c r="L111" s="97"/>
    </row>
    <row r="112" spans="1:12" x14ac:dyDescent="0.35">
      <c r="A112" s="95"/>
      <c r="B112" s="96"/>
      <c r="C112" s="97"/>
      <c r="D112" s="97"/>
      <c r="E112" s="97"/>
      <c r="F112" s="97"/>
      <c r="G112" s="97"/>
      <c r="H112" s="97"/>
      <c r="I112" s="97"/>
      <c r="J112" s="97"/>
      <c r="K112" s="97"/>
      <c r="L112" s="97"/>
    </row>
    <row r="113" spans="1:12" x14ac:dyDescent="0.35">
      <c r="A113" s="95"/>
      <c r="B113" s="96"/>
      <c r="C113" s="97"/>
      <c r="D113" s="97"/>
      <c r="E113" s="97"/>
      <c r="F113" s="97"/>
      <c r="G113" s="97"/>
      <c r="H113" s="97"/>
      <c r="I113" s="97"/>
      <c r="J113" s="97"/>
      <c r="K113" s="97"/>
      <c r="L113" s="97"/>
    </row>
    <row r="114" spans="1:12" x14ac:dyDescent="0.35">
      <c r="A114" s="95"/>
      <c r="B114" s="96"/>
      <c r="C114" s="97"/>
      <c r="D114" s="97"/>
      <c r="E114" s="97"/>
      <c r="F114" s="97"/>
      <c r="G114" s="97"/>
      <c r="H114" s="97"/>
      <c r="I114" s="97"/>
      <c r="J114" s="97"/>
      <c r="K114" s="97"/>
      <c r="L114" s="97"/>
    </row>
    <row r="115" spans="1:12" x14ac:dyDescent="0.35">
      <c r="A115" s="95"/>
      <c r="B115" s="96"/>
      <c r="C115" s="97"/>
      <c r="D115" s="97"/>
      <c r="E115" s="97"/>
      <c r="F115" s="97"/>
      <c r="G115" s="97"/>
      <c r="H115" s="97"/>
      <c r="I115" s="97"/>
      <c r="J115" s="97"/>
      <c r="K115" s="97"/>
      <c r="L115" s="97"/>
    </row>
    <row r="116" spans="1:12" x14ac:dyDescent="0.35">
      <c r="A116" s="95"/>
      <c r="B116" s="96"/>
      <c r="C116" s="97"/>
      <c r="D116" s="97"/>
      <c r="E116" s="97"/>
      <c r="F116" s="97"/>
      <c r="G116" s="97"/>
      <c r="H116" s="97"/>
      <c r="I116" s="97"/>
      <c r="J116" s="97"/>
      <c r="K116" s="97"/>
      <c r="L116" s="97"/>
    </row>
    <row r="117" spans="1:12" x14ac:dyDescent="0.35">
      <c r="A117" s="95"/>
      <c r="B117" s="96"/>
      <c r="C117" s="97"/>
      <c r="D117" s="97"/>
      <c r="E117" s="97"/>
      <c r="F117" s="97"/>
      <c r="G117" s="97"/>
      <c r="H117" s="97"/>
      <c r="I117" s="97"/>
      <c r="J117" s="97"/>
      <c r="K117" s="97"/>
      <c r="L117" s="97"/>
    </row>
    <row r="118" spans="1:12" x14ac:dyDescent="0.35">
      <c r="A118" s="95"/>
      <c r="B118" s="96"/>
      <c r="C118" s="97"/>
      <c r="D118" s="97"/>
      <c r="E118" s="97"/>
      <c r="F118" s="97"/>
      <c r="G118" s="97"/>
      <c r="H118" s="97"/>
      <c r="I118" s="97"/>
      <c r="J118" s="97"/>
      <c r="K118" s="97"/>
      <c r="L118" s="97"/>
    </row>
    <row r="119" spans="1:12" x14ac:dyDescent="0.35">
      <c r="A119" s="95"/>
      <c r="B119" s="96"/>
      <c r="C119" s="97"/>
      <c r="D119" s="97"/>
      <c r="E119" s="97"/>
      <c r="F119" s="97"/>
      <c r="G119" s="97"/>
      <c r="H119" s="97"/>
      <c r="I119" s="97"/>
      <c r="J119" s="97"/>
      <c r="K119" s="97"/>
      <c r="L119" s="97"/>
    </row>
    <row r="120" spans="1:12" x14ac:dyDescent="0.35">
      <c r="A120" s="95"/>
      <c r="B120" s="96"/>
      <c r="C120" s="97"/>
      <c r="D120" s="97"/>
      <c r="E120" s="97"/>
      <c r="F120" s="97"/>
      <c r="G120" s="97"/>
      <c r="H120" s="97"/>
      <c r="I120" s="97"/>
      <c r="J120" s="97"/>
      <c r="K120" s="97"/>
      <c r="L120" s="97"/>
    </row>
    <row r="121" spans="1:12" x14ac:dyDescent="0.35">
      <c r="A121" s="95"/>
      <c r="B121" s="96"/>
      <c r="C121" s="97"/>
      <c r="D121" s="97"/>
      <c r="E121" s="97"/>
      <c r="F121" s="97"/>
      <c r="G121" s="97"/>
      <c r="H121" s="97"/>
      <c r="I121" s="97"/>
      <c r="J121" s="97"/>
      <c r="K121" s="97"/>
      <c r="L121" s="97"/>
    </row>
    <row r="122" spans="1:12" x14ac:dyDescent="0.35">
      <c r="A122" s="95"/>
      <c r="B122" s="96"/>
      <c r="C122" s="97"/>
      <c r="D122" s="97"/>
      <c r="E122" s="97"/>
      <c r="F122" s="97"/>
      <c r="G122" s="97"/>
      <c r="H122" s="97"/>
      <c r="I122" s="97"/>
      <c r="J122" s="97"/>
      <c r="K122" s="97"/>
      <c r="L122" s="97"/>
    </row>
    <row r="123" spans="1:12" x14ac:dyDescent="0.35">
      <c r="A123" s="95"/>
      <c r="B123" s="96"/>
      <c r="C123" s="97"/>
      <c r="D123" s="97"/>
      <c r="E123" s="97"/>
      <c r="F123" s="97"/>
      <c r="G123" s="97"/>
      <c r="H123" s="97"/>
      <c r="I123" s="97"/>
      <c r="J123" s="97"/>
      <c r="K123" s="97"/>
      <c r="L123" s="97"/>
    </row>
    <row r="124" spans="1:12" x14ac:dyDescent="0.35">
      <c r="A124" s="95"/>
      <c r="B124" s="96"/>
      <c r="C124" s="97"/>
      <c r="D124" s="97"/>
      <c r="E124" s="97"/>
      <c r="F124" s="97"/>
      <c r="G124" s="97"/>
      <c r="H124" s="97"/>
      <c r="I124" s="97"/>
      <c r="J124" s="97"/>
      <c r="K124" s="97"/>
      <c r="L124" s="97"/>
    </row>
  </sheetData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tabColor rgb="FF0070C0"/>
  </sheetPr>
  <dimension ref="A1:L274"/>
  <sheetViews>
    <sheetView workbookViewId="0">
      <selection activeCell="B2" sqref="B2"/>
    </sheetView>
  </sheetViews>
  <sheetFormatPr defaultColWidth="9.1796875" defaultRowHeight="14.5" x14ac:dyDescent="0.35"/>
  <cols>
    <col min="1" max="1" width="16.54296875" style="98" customWidth="1"/>
    <col min="2" max="2" width="46.7265625" style="99" customWidth="1"/>
    <col min="3" max="12" width="15.26953125" style="100" bestFit="1" customWidth="1"/>
    <col min="13" max="16384" width="9.1796875" style="94"/>
  </cols>
  <sheetData>
    <row r="1" spans="1:12" ht="20" x14ac:dyDescent="0.35">
      <c r="A1" s="104" t="s">
        <v>235</v>
      </c>
      <c r="B1" s="105" t="s">
        <v>236</v>
      </c>
      <c r="C1" s="106" t="s">
        <v>238</v>
      </c>
      <c r="D1" s="106" t="s">
        <v>239</v>
      </c>
      <c r="E1" s="106" t="s">
        <v>240</v>
      </c>
      <c r="F1" s="106" t="s">
        <v>241</v>
      </c>
      <c r="G1" s="106" t="s">
        <v>242</v>
      </c>
      <c r="H1" s="106" t="s">
        <v>243</v>
      </c>
      <c r="I1" s="106" t="s">
        <v>244</v>
      </c>
      <c r="J1" s="106" t="s">
        <v>245</v>
      </c>
      <c r="K1" s="106" t="s">
        <v>246</v>
      </c>
      <c r="L1" s="106" t="s">
        <v>247</v>
      </c>
    </row>
    <row r="2" spans="1:12" x14ac:dyDescent="0.35">
      <c r="A2" s="95" t="s">
        <v>294</v>
      </c>
      <c r="B2" s="96" t="s">
        <v>295</v>
      </c>
      <c r="C2" s="97">
        <v>2485.4899999999998</v>
      </c>
      <c r="D2" s="97">
        <v>0</v>
      </c>
      <c r="E2" s="97">
        <v>2485.4899999999998</v>
      </c>
      <c r="F2" s="97">
        <v>0</v>
      </c>
      <c r="G2" s="97">
        <v>0</v>
      </c>
      <c r="H2" s="97">
        <v>0</v>
      </c>
      <c r="I2" s="97">
        <v>0</v>
      </c>
      <c r="J2" s="97">
        <v>0</v>
      </c>
      <c r="K2" s="97">
        <v>2485.4899999999998</v>
      </c>
      <c r="L2" s="97">
        <v>0</v>
      </c>
    </row>
    <row r="3" spans="1:12" x14ac:dyDescent="0.35">
      <c r="A3" s="95" t="s">
        <v>296</v>
      </c>
      <c r="B3" s="96" t="s">
        <v>297</v>
      </c>
      <c r="C3" s="97">
        <v>2135.5500000000002</v>
      </c>
      <c r="D3" s="97">
        <v>0</v>
      </c>
      <c r="E3" s="97">
        <v>2135.5500000000002</v>
      </c>
      <c r="F3" s="97">
        <v>0</v>
      </c>
      <c r="G3" s="97">
        <v>0</v>
      </c>
      <c r="H3" s="97">
        <v>0</v>
      </c>
      <c r="I3" s="97">
        <v>0</v>
      </c>
      <c r="J3" s="97">
        <v>0</v>
      </c>
      <c r="K3" s="97">
        <v>2135.5500000000002</v>
      </c>
      <c r="L3" s="97">
        <v>0</v>
      </c>
    </row>
    <row r="4" spans="1:12" x14ac:dyDescent="0.35">
      <c r="A4" s="95" t="s">
        <v>298</v>
      </c>
      <c r="B4" s="96" t="s">
        <v>299</v>
      </c>
      <c r="C4" s="97">
        <v>76743.69</v>
      </c>
      <c r="D4" s="97">
        <v>0</v>
      </c>
      <c r="E4" s="97">
        <v>76743.69</v>
      </c>
      <c r="F4" s="97">
        <v>0</v>
      </c>
      <c r="G4" s="97">
        <v>0</v>
      </c>
      <c r="H4" s="97">
        <v>0</v>
      </c>
      <c r="I4" s="97">
        <v>0</v>
      </c>
      <c r="J4" s="97">
        <v>0</v>
      </c>
      <c r="K4" s="97">
        <v>76743.69</v>
      </c>
      <c r="L4" s="97">
        <v>0</v>
      </c>
    </row>
    <row r="5" spans="1:12" x14ac:dyDescent="0.35">
      <c r="A5" s="95" t="s">
        <v>300</v>
      </c>
      <c r="B5" s="96" t="s">
        <v>301</v>
      </c>
      <c r="C5" s="97">
        <v>13684.32</v>
      </c>
      <c r="D5" s="97">
        <v>0</v>
      </c>
      <c r="E5" s="97">
        <v>13684.32</v>
      </c>
      <c r="F5" s="97">
        <v>0</v>
      </c>
      <c r="G5" s="97">
        <v>0</v>
      </c>
      <c r="H5" s="97">
        <v>0</v>
      </c>
      <c r="I5" s="97">
        <v>0</v>
      </c>
      <c r="J5" s="97">
        <v>0</v>
      </c>
      <c r="K5" s="97">
        <v>13684.32</v>
      </c>
      <c r="L5" s="97">
        <v>0</v>
      </c>
    </row>
    <row r="6" spans="1:12" x14ac:dyDescent="0.35">
      <c r="A6" s="95" t="s">
        <v>302</v>
      </c>
      <c r="B6" s="96" t="s">
        <v>303</v>
      </c>
      <c r="C6" s="97">
        <v>15935.35</v>
      </c>
      <c r="D6" s="97">
        <v>0</v>
      </c>
      <c r="E6" s="97">
        <v>15935.35</v>
      </c>
      <c r="F6" s="97">
        <v>0</v>
      </c>
      <c r="G6" s="97">
        <v>0</v>
      </c>
      <c r="H6" s="97">
        <v>0</v>
      </c>
      <c r="I6" s="97">
        <v>0</v>
      </c>
      <c r="J6" s="97">
        <v>0</v>
      </c>
      <c r="K6" s="97">
        <v>15935.35</v>
      </c>
      <c r="L6" s="97">
        <v>0</v>
      </c>
    </row>
    <row r="7" spans="1:12" x14ac:dyDescent="0.35">
      <c r="A7" s="95" t="s">
        <v>304</v>
      </c>
      <c r="B7" s="96" t="s">
        <v>305</v>
      </c>
      <c r="C7" s="97">
        <v>4148.34</v>
      </c>
      <c r="D7" s="97">
        <v>0</v>
      </c>
      <c r="E7" s="97">
        <v>4148.34</v>
      </c>
      <c r="F7" s="97">
        <v>0</v>
      </c>
      <c r="G7" s="97">
        <v>0</v>
      </c>
      <c r="H7" s="97">
        <v>0</v>
      </c>
      <c r="I7" s="97">
        <v>0</v>
      </c>
      <c r="J7" s="97">
        <v>0</v>
      </c>
      <c r="K7" s="97">
        <v>4148.34</v>
      </c>
      <c r="L7" s="97">
        <v>0</v>
      </c>
    </row>
    <row r="8" spans="1:12" x14ac:dyDescent="0.35">
      <c r="A8" s="95" t="s">
        <v>306</v>
      </c>
      <c r="B8" s="96" t="s">
        <v>307</v>
      </c>
      <c r="C8" s="97">
        <v>3250.31</v>
      </c>
      <c r="D8" s="97">
        <v>0</v>
      </c>
      <c r="E8" s="97">
        <v>3250.31</v>
      </c>
      <c r="F8" s="97">
        <v>0</v>
      </c>
      <c r="G8" s="97">
        <v>0</v>
      </c>
      <c r="H8" s="97">
        <v>0</v>
      </c>
      <c r="I8" s="97">
        <v>0</v>
      </c>
      <c r="J8" s="97">
        <v>0</v>
      </c>
      <c r="K8" s="97">
        <v>3250.31</v>
      </c>
      <c r="L8" s="97">
        <v>0</v>
      </c>
    </row>
    <row r="9" spans="1:12" x14ac:dyDescent="0.35">
      <c r="A9" s="95" t="s">
        <v>308</v>
      </c>
      <c r="B9" s="96" t="s">
        <v>309</v>
      </c>
      <c r="C9" s="97">
        <v>600</v>
      </c>
      <c r="D9" s="97">
        <v>0</v>
      </c>
      <c r="E9" s="97">
        <v>600</v>
      </c>
      <c r="F9" s="97">
        <v>0</v>
      </c>
      <c r="G9" s="97">
        <v>0</v>
      </c>
      <c r="H9" s="97">
        <v>0</v>
      </c>
      <c r="I9" s="97">
        <v>0</v>
      </c>
      <c r="J9" s="97">
        <v>0</v>
      </c>
      <c r="K9" s="97">
        <v>600</v>
      </c>
      <c r="L9" s="97">
        <v>0</v>
      </c>
    </row>
    <row r="10" spans="1:12" x14ac:dyDescent="0.35">
      <c r="A10" s="95" t="s">
        <v>310</v>
      </c>
      <c r="B10" s="96" t="s">
        <v>311</v>
      </c>
      <c r="C10" s="97">
        <v>350</v>
      </c>
      <c r="D10" s="97">
        <v>0</v>
      </c>
      <c r="E10" s="97">
        <v>350</v>
      </c>
      <c r="F10" s="97">
        <v>0</v>
      </c>
      <c r="G10" s="97">
        <v>0</v>
      </c>
      <c r="H10" s="97">
        <v>0</v>
      </c>
      <c r="I10" s="97">
        <v>0</v>
      </c>
      <c r="J10" s="97">
        <v>0</v>
      </c>
      <c r="K10" s="97">
        <v>350</v>
      </c>
      <c r="L10" s="97">
        <v>0</v>
      </c>
    </row>
    <row r="11" spans="1:12" x14ac:dyDescent="0.35">
      <c r="A11" s="95" t="s">
        <v>312</v>
      </c>
      <c r="B11" s="96" t="s">
        <v>313</v>
      </c>
      <c r="C11" s="97">
        <v>3642.13</v>
      </c>
      <c r="D11" s="97">
        <v>0</v>
      </c>
      <c r="E11" s="97">
        <v>4403.13</v>
      </c>
      <c r="F11" s="97">
        <v>0</v>
      </c>
      <c r="G11" s="97">
        <v>0</v>
      </c>
      <c r="H11" s="97">
        <v>0</v>
      </c>
      <c r="I11" s="97">
        <v>761</v>
      </c>
      <c r="J11" s="97">
        <v>0</v>
      </c>
      <c r="K11" s="97">
        <v>4403.13</v>
      </c>
      <c r="L11" s="97">
        <v>0</v>
      </c>
    </row>
    <row r="12" spans="1:12" x14ac:dyDescent="0.35">
      <c r="A12" s="95" t="s">
        <v>314</v>
      </c>
      <c r="B12" s="96" t="s">
        <v>315</v>
      </c>
      <c r="C12" s="97">
        <v>761</v>
      </c>
      <c r="D12" s="97">
        <v>0</v>
      </c>
      <c r="E12" s="97">
        <v>755</v>
      </c>
      <c r="F12" s="97">
        <v>0</v>
      </c>
      <c r="G12" s="97">
        <v>1634.83</v>
      </c>
      <c r="H12" s="97">
        <v>0</v>
      </c>
      <c r="I12" s="97">
        <v>2389.83</v>
      </c>
      <c r="J12" s="97">
        <v>761</v>
      </c>
      <c r="K12" s="97">
        <v>2389.83</v>
      </c>
      <c r="L12" s="97">
        <v>0</v>
      </c>
    </row>
    <row r="13" spans="1:12" x14ac:dyDescent="0.35">
      <c r="A13" s="95" t="s">
        <v>316</v>
      </c>
      <c r="B13" s="96" t="s">
        <v>317</v>
      </c>
      <c r="C13" s="97">
        <v>0</v>
      </c>
      <c r="D13" s="97">
        <v>2485.4899999999998</v>
      </c>
      <c r="E13" s="97">
        <v>0</v>
      </c>
      <c r="F13" s="97">
        <v>2485.4899999999998</v>
      </c>
      <c r="G13" s="97">
        <v>0</v>
      </c>
      <c r="H13" s="97">
        <v>0</v>
      </c>
      <c r="I13" s="97">
        <v>0</v>
      </c>
      <c r="J13" s="97">
        <v>0</v>
      </c>
      <c r="K13" s="97">
        <v>0</v>
      </c>
      <c r="L13" s="97">
        <v>2485.4899999999998</v>
      </c>
    </row>
    <row r="14" spans="1:12" x14ac:dyDescent="0.35">
      <c r="A14" s="95" t="s">
        <v>318</v>
      </c>
      <c r="B14" s="96" t="s">
        <v>319</v>
      </c>
      <c r="C14" s="97">
        <v>0</v>
      </c>
      <c r="D14" s="97">
        <v>1692.25</v>
      </c>
      <c r="E14" s="97">
        <v>0</v>
      </c>
      <c r="F14" s="97">
        <v>1948.99</v>
      </c>
      <c r="G14" s="97">
        <v>0</v>
      </c>
      <c r="H14" s="97">
        <v>23.34</v>
      </c>
      <c r="I14" s="97">
        <v>0</v>
      </c>
      <c r="J14" s="97">
        <v>280.08</v>
      </c>
      <c r="K14" s="97">
        <v>0</v>
      </c>
      <c r="L14" s="97">
        <v>1972.33</v>
      </c>
    </row>
    <row r="15" spans="1:12" x14ac:dyDescent="0.35">
      <c r="A15" s="95" t="s">
        <v>320</v>
      </c>
      <c r="B15" s="96" t="s">
        <v>321</v>
      </c>
      <c r="C15" s="97">
        <v>0</v>
      </c>
      <c r="D15" s="97">
        <v>52503.839999999997</v>
      </c>
      <c r="E15" s="97">
        <v>0</v>
      </c>
      <c r="F15" s="97">
        <v>56021.31</v>
      </c>
      <c r="G15" s="97">
        <v>0</v>
      </c>
      <c r="H15" s="97">
        <v>319.77</v>
      </c>
      <c r="I15" s="97">
        <v>0</v>
      </c>
      <c r="J15" s="97">
        <v>3837.24</v>
      </c>
      <c r="K15" s="97">
        <v>0</v>
      </c>
      <c r="L15" s="97">
        <v>56341.08</v>
      </c>
    </row>
    <row r="16" spans="1:12" x14ac:dyDescent="0.35">
      <c r="A16" s="95" t="s">
        <v>322</v>
      </c>
      <c r="B16" s="96" t="s">
        <v>323</v>
      </c>
      <c r="C16" s="97">
        <v>0</v>
      </c>
      <c r="D16" s="97">
        <v>13034.5</v>
      </c>
      <c r="E16" s="97">
        <v>0</v>
      </c>
      <c r="F16" s="97">
        <v>13481.43</v>
      </c>
      <c r="G16" s="97">
        <v>0</v>
      </c>
      <c r="H16" s="97">
        <v>40.630000000000003</v>
      </c>
      <c r="I16" s="97">
        <v>0</v>
      </c>
      <c r="J16" s="97">
        <v>487.56</v>
      </c>
      <c r="K16" s="97">
        <v>0</v>
      </c>
      <c r="L16" s="97">
        <v>13522.06</v>
      </c>
    </row>
    <row r="17" spans="1:12" x14ac:dyDescent="0.35">
      <c r="A17" s="95" t="s">
        <v>324</v>
      </c>
      <c r="B17" s="96" t="s">
        <v>325</v>
      </c>
      <c r="C17" s="97">
        <v>0</v>
      </c>
      <c r="D17" s="97">
        <v>14423.58</v>
      </c>
      <c r="E17" s="97">
        <v>0</v>
      </c>
      <c r="F17" s="97">
        <v>15935.35</v>
      </c>
      <c r="G17" s="97">
        <v>0</v>
      </c>
      <c r="H17" s="97">
        <v>0</v>
      </c>
      <c r="I17" s="97">
        <v>0</v>
      </c>
      <c r="J17" s="97">
        <v>1511.77</v>
      </c>
      <c r="K17" s="97">
        <v>0</v>
      </c>
      <c r="L17" s="97">
        <v>15935.35</v>
      </c>
    </row>
    <row r="18" spans="1:12" x14ac:dyDescent="0.35">
      <c r="A18" s="95" t="s">
        <v>326</v>
      </c>
      <c r="B18" s="96" t="s">
        <v>327</v>
      </c>
      <c r="C18" s="97">
        <v>0</v>
      </c>
      <c r="D18" s="97">
        <v>4148.34</v>
      </c>
      <c r="E18" s="97">
        <v>0</v>
      </c>
      <c r="F18" s="97">
        <v>4148.34</v>
      </c>
      <c r="G18" s="97">
        <v>0</v>
      </c>
      <c r="H18" s="97">
        <v>0</v>
      </c>
      <c r="I18" s="97">
        <v>0</v>
      </c>
      <c r="J18" s="97">
        <v>0</v>
      </c>
      <c r="K18" s="97">
        <v>0</v>
      </c>
      <c r="L18" s="97">
        <v>4148.34</v>
      </c>
    </row>
    <row r="19" spans="1:12" x14ac:dyDescent="0.35">
      <c r="A19" s="95" t="s">
        <v>328</v>
      </c>
      <c r="B19" s="96" t="s">
        <v>329</v>
      </c>
      <c r="C19" s="97">
        <v>0</v>
      </c>
      <c r="D19" s="97">
        <v>2780.7</v>
      </c>
      <c r="E19" s="97">
        <v>0</v>
      </c>
      <c r="F19" s="97">
        <v>3183.1</v>
      </c>
      <c r="G19" s="97">
        <v>0</v>
      </c>
      <c r="H19" s="97">
        <v>13.48</v>
      </c>
      <c r="I19" s="97">
        <v>0</v>
      </c>
      <c r="J19" s="97">
        <v>415.88</v>
      </c>
      <c r="K19" s="97">
        <v>0</v>
      </c>
      <c r="L19" s="97">
        <v>3196.58</v>
      </c>
    </row>
    <row r="20" spans="1:12" x14ac:dyDescent="0.35">
      <c r="A20" s="98" t="s">
        <v>330</v>
      </c>
      <c r="B20" s="99" t="s">
        <v>331</v>
      </c>
      <c r="C20" s="100">
        <v>0</v>
      </c>
      <c r="D20" s="100">
        <v>600</v>
      </c>
      <c r="E20" s="100">
        <v>0</v>
      </c>
      <c r="F20" s="100">
        <v>600</v>
      </c>
      <c r="G20" s="100">
        <v>0</v>
      </c>
      <c r="H20" s="100">
        <v>0</v>
      </c>
      <c r="I20" s="100">
        <v>0</v>
      </c>
      <c r="J20" s="100">
        <v>0</v>
      </c>
      <c r="K20" s="100">
        <v>0</v>
      </c>
      <c r="L20" s="100">
        <v>600</v>
      </c>
    </row>
    <row r="21" spans="1:12" x14ac:dyDescent="0.35">
      <c r="A21" s="98" t="s">
        <v>332</v>
      </c>
      <c r="B21" s="99" t="s">
        <v>333</v>
      </c>
      <c r="C21" s="100">
        <v>0</v>
      </c>
      <c r="D21" s="100">
        <v>350</v>
      </c>
      <c r="E21" s="100">
        <v>0</v>
      </c>
      <c r="F21" s="100">
        <v>350</v>
      </c>
      <c r="G21" s="100">
        <v>0</v>
      </c>
      <c r="H21" s="100">
        <v>0</v>
      </c>
      <c r="I21" s="100">
        <v>0</v>
      </c>
      <c r="J21" s="100">
        <v>0</v>
      </c>
      <c r="K21" s="100">
        <v>0</v>
      </c>
      <c r="L21" s="100">
        <v>350</v>
      </c>
    </row>
    <row r="22" spans="1:12" x14ac:dyDescent="0.35">
      <c r="A22" s="98" t="s">
        <v>334</v>
      </c>
      <c r="B22" s="99" t="s">
        <v>335</v>
      </c>
      <c r="C22" s="100">
        <v>0</v>
      </c>
      <c r="D22" s="100">
        <v>3194.51</v>
      </c>
      <c r="E22" s="100">
        <v>0</v>
      </c>
      <c r="F22" s="100">
        <v>3663.62</v>
      </c>
      <c r="G22" s="100">
        <v>0</v>
      </c>
      <c r="H22" s="100">
        <v>55.29</v>
      </c>
      <c r="I22" s="100">
        <v>0</v>
      </c>
      <c r="J22" s="100">
        <v>524.4</v>
      </c>
      <c r="K22" s="100">
        <v>0</v>
      </c>
      <c r="L22" s="100">
        <v>3718.91</v>
      </c>
    </row>
    <row r="23" spans="1:12" x14ac:dyDescent="0.35">
      <c r="A23" s="98" t="s">
        <v>336</v>
      </c>
      <c r="B23" s="99" t="s">
        <v>337</v>
      </c>
      <c r="C23" s="100">
        <v>0</v>
      </c>
      <c r="D23" s="100">
        <v>0</v>
      </c>
      <c r="E23" s="100">
        <v>-554.34</v>
      </c>
      <c r="F23" s="100">
        <v>0</v>
      </c>
      <c r="G23" s="100">
        <v>145881.41</v>
      </c>
      <c r="H23" s="100">
        <v>145327.07</v>
      </c>
      <c r="I23" s="100">
        <v>1516388.6</v>
      </c>
      <c r="J23" s="100">
        <v>1516388.6</v>
      </c>
      <c r="K23" s="100">
        <v>0</v>
      </c>
      <c r="L23" s="100">
        <v>0</v>
      </c>
    </row>
    <row r="24" spans="1:12" x14ac:dyDescent="0.35">
      <c r="A24" s="98" t="s">
        <v>338</v>
      </c>
      <c r="B24" s="99" t="s">
        <v>339</v>
      </c>
      <c r="C24" s="100">
        <v>0</v>
      </c>
      <c r="D24" s="100">
        <v>0</v>
      </c>
      <c r="E24" s="100">
        <v>7.77</v>
      </c>
      <c r="F24" s="100">
        <v>0</v>
      </c>
      <c r="G24" s="100">
        <v>2.12</v>
      </c>
      <c r="H24" s="100">
        <v>9.89</v>
      </c>
      <c r="I24" s="100">
        <v>9.89</v>
      </c>
      <c r="J24" s="100">
        <v>9.89</v>
      </c>
      <c r="K24" s="100">
        <v>0</v>
      </c>
      <c r="L24" s="100">
        <v>0</v>
      </c>
    </row>
    <row r="25" spans="1:12" x14ac:dyDescent="0.35">
      <c r="A25" s="98" t="s">
        <v>340</v>
      </c>
      <c r="B25" s="99" t="s">
        <v>341</v>
      </c>
      <c r="C25" s="100">
        <v>117522.02</v>
      </c>
      <c r="D25" s="100">
        <v>0</v>
      </c>
      <c r="E25" s="100">
        <v>145760.45000000001</v>
      </c>
      <c r="F25" s="100">
        <v>0</v>
      </c>
      <c r="G25" s="100">
        <v>275909.88</v>
      </c>
      <c r="H25" s="100">
        <v>296377.65999999997</v>
      </c>
      <c r="I25" s="100">
        <v>2826403.49</v>
      </c>
      <c r="J25" s="100">
        <v>2818632.84</v>
      </c>
      <c r="K25" s="100">
        <v>125292.67</v>
      </c>
      <c r="L25" s="100">
        <v>0</v>
      </c>
    </row>
    <row r="26" spans="1:12" x14ac:dyDescent="0.35">
      <c r="A26" s="98" t="s">
        <v>344</v>
      </c>
      <c r="B26" s="99" t="s">
        <v>345</v>
      </c>
      <c r="C26" s="100">
        <v>141.97999999999999</v>
      </c>
      <c r="D26" s="100">
        <v>0</v>
      </c>
      <c r="E26" s="100">
        <v>3676.06</v>
      </c>
      <c r="F26" s="100">
        <v>0</v>
      </c>
      <c r="G26" s="100">
        <v>111.78</v>
      </c>
      <c r="H26" s="100">
        <v>3676.06</v>
      </c>
      <c r="I26" s="100">
        <v>14924.47</v>
      </c>
      <c r="J26" s="100">
        <v>14954.67</v>
      </c>
      <c r="K26" s="100">
        <v>111.78</v>
      </c>
      <c r="L26" s="100">
        <v>0</v>
      </c>
    </row>
    <row r="27" spans="1:12" x14ac:dyDescent="0.35">
      <c r="A27" s="98" t="s">
        <v>346</v>
      </c>
      <c r="B27" s="99" t="s">
        <v>347</v>
      </c>
      <c r="C27" s="100">
        <v>0</v>
      </c>
      <c r="D27" s="100">
        <v>2361.0300000000002</v>
      </c>
      <c r="E27" s="100">
        <v>0</v>
      </c>
      <c r="F27" s="100">
        <v>2116.87</v>
      </c>
      <c r="G27" s="100">
        <v>276.70999999999998</v>
      </c>
      <c r="H27" s="100">
        <v>138.03</v>
      </c>
      <c r="I27" s="100">
        <v>4078.37</v>
      </c>
      <c r="J27" s="100">
        <v>3695.53</v>
      </c>
      <c r="K27" s="100">
        <v>0</v>
      </c>
      <c r="L27" s="100">
        <v>1978.19</v>
      </c>
    </row>
    <row r="28" spans="1:12" x14ac:dyDescent="0.35">
      <c r="A28" s="98" t="s">
        <v>348</v>
      </c>
      <c r="B28" s="99" t="s">
        <v>349</v>
      </c>
      <c r="C28" s="100">
        <v>0</v>
      </c>
      <c r="D28" s="100">
        <v>1565.2</v>
      </c>
      <c r="E28" s="100">
        <v>0</v>
      </c>
      <c r="F28" s="100">
        <v>892.22</v>
      </c>
      <c r="G28" s="100">
        <v>0</v>
      </c>
      <c r="H28" s="100">
        <v>256.47000000000003</v>
      </c>
      <c r="I28" s="100">
        <v>0</v>
      </c>
      <c r="J28" s="100">
        <v>-416.51</v>
      </c>
      <c r="K28" s="100">
        <v>0</v>
      </c>
      <c r="L28" s="100">
        <v>1148.69</v>
      </c>
    </row>
    <row r="29" spans="1:12" x14ac:dyDescent="0.35">
      <c r="A29" s="98" t="s">
        <v>350</v>
      </c>
      <c r="B29" s="99" t="s">
        <v>351</v>
      </c>
      <c r="C29" s="100">
        <v>3461.35</v>
      </c>
      <c r="D29" s="100">
        <v>0</v>
      </c>
      <c r="E29" s="100">
        <v>8733.44</v>
      </c>
      <c r="F29" s="100">
        <v>0</v>
      </c>
      <c r="G29" s="100">
        <v>156255.15</v>
      </c>
      <c r="H29" s="100">
        <v>153757.34</v>
      </c>
      <c r="I29" s="100">
        <v>1343587.76</v>
      </c>
      <c r="J29" s="100">
        <v>1335817.8600000001</v>
      </c>
      <c r="K29" s="100">
        <v>11231.25</v>
      </c>
      <c r="L29" s="100">
        <v>0</v>
      </c>
    </row>
    <row r="30" spans="1:12" x14ac:dyDescent="0.35">
      <c r="A30" s="98" t="s">
        <v>352</v>
      </c>
      <c r="B30" s="99" t="s">
        <v>353</v>
      </c>
      <c r="C30" s="100">
        <v>0</v>
      </c>
      <c r="D30" s="100">
        <v>0</v>
      </c>
      <c r="E30" s="100">
        <v>0</v>
      </c>
      <c r="F30" s="100">
        <v>0</v>
      </c>
      <c r="G30" s="100">
        <v>106.2</v>
      </c>
      <c r="H30" s="100">
        <v>106.2</v>
      </c>
      <c r="I30" s="100">
        <v>1723</v>
      </c>
      <c r="J30" s="100">
        <v>1723</v>
      </c>
      <c r="K30" s="100">
        <v>0</v>
      </c>
      <c r="L30" s="100">
        <v>0</v>
      </c>
    </row>
    <row r="31" spans="1:12" x14ac:dyDescent="0.35">
      <c r="A31" s="98" t="s">
        <v>354</v>
      </c>
      <c r="B31" s="99" t="s">
        <v>355</v>
      </c>
      <c r="C31" s="100">
        <v>0</v>
      </c>
      <c r="D31" s="100">
        <v>0</v>
      </c>
      <c r="E31" s="100">
        <v>0</v>
      </c>
      <c r="F31" s="100">
        <v>0</v>
      </c>
      <c r="G31" s="100">
        <v>468492.96</v>
      </c>
      <c r="H31" s="100">
        <v>468492.96</v>
      </c>
      <c r="I31" s="100">
        <v>3152710.78</v>
      </c>
      <c r="J31" s="100">
        <v>3152710.78</v>
      </c>
      <c r="K31" s="100">
        <v>0</v>
      </c>
      <c r="L31" s="100">
        <v>0</v>
      </c>
    </row>
    <row r="32" spans="1:12" x14ac:dyDescent="0.35">
      <c r="A32" s="98" t="s">
        <v>356</v>
      </c>
      <c r="B32" s="99" t="s">
        <v>357</v>
      </c>
      <c r="C32" s="100">
        <v>0</v>
      </c>
      <c r="D32" s="100">
        <v>0</v>
      </c>
      <c r="E32" s="100">
        <v>0</v>
      </c>
      <c r="F32" s="100">
        <v>0</v>
      </c>
      <c r="G32" s="100">
        <v>7000</v>
      </c>
      <c r="H32" s="100">
        <v>7000</v>
      </c>
      <c r="I32" s="100">
        <v>44427</v>
      </c>
      <c r="J32" s="100">
        <v>44427</v>
      </c>
      <c r="K32" s="100">
        <v>0</v>
      </c>
      <c r="L32" s="100">
        <v>0</v>
      </c>
    </row>
    <row r="33" spans="1:12" x14ac:dyDescent="0.35">
      <c r="A33" s="98" t="s">
        <v>360</v>
      </c>
      <c r="B33" s="99" t="s">
        <v>361</v>
      </c>
      <c r="C33" s="100">
        <v>65870.59</v>
      </c>
      <c r="D33" s="100">
        <v>0</v>
      </c>
      <c r="E33" s="100">
        <v>61786.99</v>
      </c>
      <c r="F33" s="100">
        <v>0</v>
      </c>
      <c r="G33" s="100">
        <v>69948.23</v>
      </c>
      <c r="H33" s="100">
        <v>61787.03</v>
      </c>
      <c r="I33" s="100">
        <v>680786.99</v>
      </c>
      <c r="J33" s="100">
        <v>676709.39</v>
      </c>
      <c r="K33" s="100">
        <v>69948.19</v>
      </c>
      <c r="L33" s="100">
        <v>0</v>
      </c>
    </row>
    <row r="34" spans="1:12" x14ac:dyDescent="0.35">
      <c r="A34" s="98" t="s">
        <v>362</v>
      </c>
      <c r="B34" s="99" t="s">
        <v>363</v>
      </c>
      <c r="C34" s="100">
        <v>523.16999999999996</v>
      </c>
      <c r="D34" s="100">
        <v>0</v>
      </c>
      <c r="E34" s="100">
        <v>904.97</v>
      </c>
      <c r="F34" s="100">
        <v>0</v>
      </c>
      <c r="G34" s="100">
        <v>930.05</v>
      </c>
      <c r="H34" s="100">
        <v>904.97</v>
      </c>
      <c r="I34" s="100">
        <v>9269.66</v>
      </c>
      <c r="J34" s="100">
        <v>8862.7800000000007</v>
      </c>
      <c r="K34" s="100">
        <v>930.05</v>
      </c>
      <c r="L34" s="100">
        <v>0</v>
      </c>
    </row>
    <row r="35" spans="1:12" x14ac:dyDescent="0.35">
      <c r="A35" s="98" t="s">
        <v>364</v>
      </c>
      <c r="B35" s="99" t="s">
        <v>365</v>
      </c>
      <c r="C35" s="100">
        <v>3922.65</v>
      </c>
      <c r="D35" s="100">
        <v>0</v>
      </c>
      <c r="E35" s="100">
        <v>5149.2</v>
      </c>
      <c r="F35" s="100">
        <v>0</v>
      </c>
      <c r="G35" s="100">
        <v>4986.67</v>
      </c>
      <c r="H35" s="100">
        <v>5387.05</v>
      </c>
      <c r="I35" s="100">
        <v>47295.17</v>
      </c>
      <c r="J35" s="100">
        <v>46469</v>
      </c>
      <c r="K35" s="100">
        <v>4748.82</v>
      </c>
      <c r="L35" s="100">
        <v>0</v>
      </c>
    </row>
    <row r="36" spans="1:12" x14ac:dyDescent="0.35">
      <c r="A36" s="98" t="s">
        <v>837</v>
      </c>
      <c r="B36" s="99" t="s">
        <v>838</v>
      </c>
      <c r="C36" s="100">
        <v>29.4</v>
      </c>
      <c r="D36" s="100">
        <v>0</v>
      </c>
      <c r="E36" s="100">
        <v>8.4</v>
      </c>
      <c r="F36" s="100">
        <v>0</v>
      </c>
      <c r="G36" s="100">
        <v>0</v>
      </c>
      <c r="H36" s="100">
        <v>8.4</v>
      </c>
      <c r="I36" s="100">
        <v>12.6</v>
      </c>
      <c r="J36" s="100">
        <v>42</v>
      </c>
      <c r="K36" s="100">
        <v>0</v>
      </c>
      <c r="L36" s="100">
        <v>0</v>
      </c>
    </row>
    <row r="37" spans="1:12" x14ac:dyDescent="0.35">
      <c r="A37" s="98" t="s">
        <v>366</v>
      </c>
      <c r="B37" s="99" t="s">
        <v>367</v>
      </c>
      <c r="C37" s="100">
        <v>14851.18</v>
      </c>
      <c r="D37" s="100">
        <v>0</v>
      </c>
      <c r="E37" s="100">
        <v>4325.95</v>
      </c>
      <c r="F37" s="100">
        <v>0</v>
      </c>
      <c r="G37" s="100">
        <v>42144.69</v>
      </c>
      <c r="H37" s="100">
        <v>12420.74</v>
      </c>
      <c r="I37" s="100">
        <v>211573.69</v>
      </c>
      <c r="J37" s="100">
        <v>192374.97</v>
      </c>
      <c r="K37" s="100">
        <v>34049.9</v>
      </c>
      <c r="L37" s="100">
        <v>0</v>
      </c>
    </row>
    <row r="38" spans="1:12" x14ac:dyDescent="0.35">
      <c r="A38" s="98" t="s">
        <v>368</v>
      </c>
      <c r="B38" s="99" t="s">
        <v>369</v>
      </c>
      <c r="C38" s="100">
        <v>11166.14</v>
      </c>
      <c r="D38" s="100">
        <v>0</v>
      </c>
      <c r="E38" s="100">
        <v>15283.08</v>
      </c>
      <c r="F38" s="100">
        <v>0</v>
      </c>
      <c r="G38" s="100">
        <v>0</v>
      </c>
      <c r="H38" s="100">
        <v>0</v>
      </c>
      <c r="I38" s="100">
        <v>4116.9399999999996</v>
      </c>
      <c r="J38" s="100">
        <v>0</v>
      </c>
      <c r="K38" s="100">
        <v>15283.08</v>
      </c>
      <c r="L38" s="100">
        <v>0</v>
      </c>
    </row>
    <row r="39" spans="1:12" x14ac:dyDescent="0.35">
      <c r="A39" s="98" t="s">
        <v>370</v>
      </c>
      <c r="B39" s="99" t="s">
        <v>371</v>
      </c>
      <c r="C39" s="100">
        <v>0</v>
      </c>
      <c r="D39" s="100">
        <v>0</v>
      </c>
      <c r="E39" s="100">
        <v>0</v>
      </c>
      <c r="F39" s="100">
        <v>0</v>
      </c>
      <c r="G39" s="100">
        <v>0</v>
      </c>
      <c r="H39" s="100">
        <v>0</v>
      </c>
      <c r="I39" s="100">
        <v>0</v>
      </c>
      <c r="J39" s="100">
        <v>0</v>
      </c>
      <c r="K39" s="100">
        <v>0</v>
      </c>
      <c r="L39" s="100">
        <v>0</v>
      </c>
    </row>
    <row r="40" spans="1:12" x14ac:dyDescent="0.35">
      <c r="A40" s="98" t="s">
        <v>374</v>
      </c>
      <c r="B40" s="99" t="s">
        <v>375</v>
      </c>
      <c r="C40" s="100">
        <v>33.99</v>
      </c>
      <c r="D40" s="100">
        <v>0</v>
      </c>
      <c r="E40" s="100">
        <v>13.31</v>
      </c>
      <c r="F40" s="100">
        <v>0</v>
      </c>
      <c r="G40" s="100">
        <v>0</v>
      </c>
      <c r="H40" s="100">
        <v>3.13</v>
      </c>
      <c r="I40" s="100">
        <v>-20.68</v>
      </c>
      <c r="J40" s="100">
        <v>3.13</v>
      </c>
      <c r="K40" s="100">
        <v>10.18</v>
      </c>
      <c r="L40" s="100">
        <v>0</v>
      </c>
    </row>
    <row r="41" spans="1:12" x14ac:dyDescent="0.35">
      <c r="A41" s="98" t="s">
        <v>376</v>
      </c>
      <c r="B41" s="99" t="s">
        <v>377</v>
      </c>
      <c r="C41" s="100">
        <v>3506.94</v>
      </c>
      <c r="D41" s="100">
        <v>0</v>
      </c>
      <c r="E41" s="100">
        <v>13244.75</v>
      </c>
      <c r="F41" s="100">
        <v>0</v>
      </c>
      <c r="G41" s="100">
        <v>0</v>
      </c>
      <c r="H41" s="100">
        <v>9772.08</v>
      </c>
      <c r="I41" s="100">
        <v>-3506.93</v>
      </c>
      <c r="J41" s="100">
        <v>-3472.66</v>
      </c>
      <c r="K41" s="100">
        <v>3472.67</v>
      </c>
      <c r="L41" s="100">
        <v>0</v>
      </c>
    </row>
    <row r="42" spans="1:12" x14ac:dyDescent="0.35">
      <c r="A42" s="98" t="s">
        <v>378</v>
      </c>
      <c r="B42" s="99" t="s">
        <v>379</v>
      </c>
      <c r="C42" s="100">
        <v>1086.05</v>
      </c>
      <c r="D42" s="100">
        <v>0</v>
      </c>
      <c r="E42" s="100">
        <v>1600.32</v>
      </c>
      <c r="F42" s="100">
        <v>0</v>
      </c>
      <c r="G42" s="100">
        <v>0</v>
      </c>
      <c r="H42" s="100">
        <v>-706.2</v>
      </c>
      <c r="I42" s="100">
        <v>-274.70999999999998</v>
      </c>
      <c r="J42" s="100">
        <v>-1495.18</v>
      </c>
      <c r="K42" s="100">
        <v>2306.52</v>
      </c>
      <c r="L42" s="100">
        <v>0</v>
      </c>
    </row>
    <row r="43" spans="1:12" x14ac:dyDescent="0.35">
      <c r="A43" s="98" t="s">
        <v>380</v>
      </c>
      <c r="B43" s="99" t="s">
        <v>381</v>
      </c>
      <c r="C43" s="100">
        <v>0</v>
      </c>
      <c r="D43" s="100">
        <v>0</v>
      </c>
      <c r="E43" s="100">
        <v>1331.3</v>
      </c>
      <c r="F43" s="100">
        <v>0</v>
      </c>
      <c r="G43" s="100">
        <v>0</v>
      </c>
      <c r="H43" s="100">
        <v>1331.3</v>
      </c>
      <c r="I43" s="100">
        <v>0.01</v>
      </c>
      <c r="J43" s="100">
        <v>0.01</v>
      </c>
      <c r="K43" s="100">
        <v>0</v>
      </c>
      <c r="L43" s="100">
        <v>0</v>
      </c>
    </row>
    <row r="44" spans="1:12" x14ac:dyDescent="0.35">
      <c r="A44" s="98" t="s">
        <v>382</v>
      </c>
      <c r="B44" s="99" t="s">
        <v>383</v>
      </c>
      <c r="C44" s="100">
        <v>705.68</v>
      </c>
      <c r="D44" s="100">
        <v>0</v>
      </c>
      <c r="E44" s="100">
        <v>141</v>
      </c>
      <c r="F44" s="100">
        <v>0</v>
      </c>
      <c r="G44" s="100">
        <v>0</v>
      </c>
      <c r="H44" s="100">
        <v>-47.32</v>
      </c>
      <c r="I44" s="100">
        <v>-1759.95</v>
      </c>
      <c r="J44" s="100">
        <v>-1242.5899999999999</v>
      </c>
      <c r="K44" s="100">
        <v>188.32</v>
      </c>
      <c r="L44" s="100">
        <v>0</v>
      </c>
    </row>
    <row r="45" spans="1:12" x14ac:dyDescent="0.35">
      <c r="A45" s="98" t="s">
        <v>384</v>
      </c>
      <c r="B45" s="99" t="s">
        <v>385</v>
      </c>
      <c r="C45" s="100">
        <v>24735.56</v>
      </c>
      <c r="D45" s="100">
        <v>0</v>
      </c>
      <c r="E45" s="100">
        <v>-303.31</v>
      </c>
      <c r="F45" s="100">
        <v>0</v>
      </c>
      <c r="G45" s="100">
        <v>0</v>
      </c>
      <c r="H45" s="100">
        <v>116.56</v>
      </c>
      <c r="I45" s="100">
        <v>19658.810000000001</v>
      </c>
      <c r="J45" s="100">
        <v>44814.239999999998</v>
      </c>
      <c r="K45" s="100">
        <v>-419.87</v>
      </c>
      <c r="L45" s="100">
        <v>0</v>
      </c>
    </row>
    <row r="46" spans="1:12" x14ac:dyDescent="0.35">
      <c r="A46" s="98" t="s">
        <v>386</v>
      </c>
      <c r="B46" s="99" t="s">
        <v>387</v>
      </c>
      <c r="C46" s="100">
        <v>0</v>
      </c>
      <c r="D46" s="100">
        <v>0</v>
      </c>
      <c r="E46" s="100">
        <v>54946.5</v>
      </c>
      <c r="F46" s="100">
        <v>0</v>
      </c>
      <c r="G46" s="100">
        <v>7256.66</v>
      </c>
      <c r="H46" s="100">
        <v>25097.64</v>
      </c>
      <c r="I46" s="100">
        <v>134538.91</v>
      </c>
      <c r="J46" s="100">
        <v>97433.39</v>
      </c>
      <c r="K46" s="100">
        <v>37105.519999999997</v>
      </c>
      <c r="L46" s="100">
        <v>0</v>
      </c>
    </row>
    <row r="47" spans="1:12" x14ac:dyDescent="0.35">
      <c r="A47" s="98" t="s">
        <v>390</v>
      </c>
      <c r="B47" s="99" t="s">
        <v>391</v>
      </c>
      <c r="C47" s="100">
        <v>4453.21</v>
      </c>
      <c r="D47" s="100">
        <v>0</v>
      </c>
      <c r="E47" s="100">
        <v>3702.34</v>
      </c>
      <c r="F47" s="100">
        <v>0</v>
      </c>
      <c r="G47" s="100">
        <v>80261.72</v>
      </c>
      <c r="H47" s="100">
        <v>71234.98</v>
      </c>
      <c r="I47" s="100">
        <v>677346.27</v>
      </c>
      <c r="J47" s="100">
        <v>669070.4</v>
      </c>
      <c r="K47" s="100">
        <v>12729.08</v>
      </c>
      <c r="L47" s="100">
        <v>0</v>
      </c>
    </row>
    <row r="48" spans="1:12" x14ac:dyDescent="0.35">
      <c r="A48" s="98" t="s">
        <v>392</v>
      </c>
      <c r="B48" s="99" t="s">
        <v>393</v>
      </c>
      <c r="C48" s="100">
        <v>2204.52</v>
      </c>
      <c r="D48" s="100">
        <v>0</v>
      </c>
      <c r="E48" s="100">
        <v>320.3</v>
      </c>
      <c r="F48" s="100">
        <v>0</v>
      </c>
      <c r="G48" s="100">
        <v>1871.59</v>
      </c>
      <c r="H48" s="100">
        <v>437.41</v>
      </c>
      <c r="I48" s="100">
        <v>8764.14</v>
      </c>
      <c r="J48" s="100">
        <v>9214.18</v>
      </c>
      <c r="K48" s="100">
        <v>1754.48</v>
      </c>
      <c r="L48" s="100">
        <v>0</v>
      </c>
    </row>
    <row r="49" spans="1:12" x14ac:dyDescent="0.35">
      <c r="A49" s="98" t="s">
        <v>394</v>
      </c>
      <c r="B49" s="99" t="s">
        <v>395</v>
      </c>
      <c r="C49" s="100">
        <v>0</v>
      </c>
      <c r="D49" s="100">
        <v>0</v>
      </c>
      <c r="E49" s="100">
        <v>0</v>
      </c>
      <c r="F49" s="100">
        <v>0</v>
      </c>
      <c r="G49" s="100">
        <v>626.39</v>
      </c>
      <c r="H49" s="100">
        <v>626.39</v>
      </c>
      <c r="I49" s="100">
        <v>626.39</v>
      </c>
      <c r="J49" s="100">
        <v>626.39</v>
      </c>
      <c r="K49" s="100">
        <v>0</v>
      </c>
      <c r="L49" s="100">
        <v>0</v>
      </c>
    </row>
    <row r="50" spans="1:12" x14ac:dyDescent="0.35">
      <c r="A50" s="98" t="s">
        <v>396</v>
      </c>
      <c r="B50" s="99" t="s">
        <v>397</v>
      </c>
      <c r="C50" s="100">
        <v>151.28</v>
      </c>
      <c r="D50" s="100">
        <v>0</v>
      </c>
      <c r="E50" s="100">
        <v>371.45</v>
      </c>
      <c r="F50" s="100">
        <v>0</v>
      </c>
      <c r="G50" s="100">
        <v>381.82</v>
      </c>
      <c r="H50" s="100">
        <v>371.45</v>
      </c>
      <c r="I50" s="100">
        <v>8914.25</v>
      </c>
      <c r="J50" s="100">
        <v>8683.7099999999991</v>
      </c>
      <c r="K50" s="100">
        <v>381.82</v>
      </c>
      <c r="L50" s="100">
        <v>0</v>
      </c>
    </row>
    <row r="51" spans="1:12" x14ac:dyDescent="0.35">
      <c r="A51" s="98" t="s">
        <v>398</v>
      </c>
      <c r="B51" s="99" t="s">
        <v>399</v>
      </c>
      <c r="C51" s="100">
        <v>0</v>
      </c>
      <c r="D51" s="100">
        <v>915.39</v>
      </c>
      <c r="E51" s="100">
        <v>0</v>
      </c>
      <c r="F51" s="100">
        <v>11713.44</v>
      </c>
      <c r="G51" s="100">
        <v>14430.4</v>
      </c>
      <c r="H51" s="100">
        <v>14495.51</v>
      </c>
      <c r="I51" s="100">
        <v>203251.28</v>
      </c>
      <c r="J51" s="100">
        <v>214114.44</v>
      </c>
      <c r="K51" s="100">
        <v>0</v>
      </c>
      <c r="L51" s="100">
        <v>11778.55</v>
      </c>
    </row>
    <row r="52" spans="1:12" x14ac:dyDescent="0.35">
      <c r="A52" s="98" t="s">
        <v>400</v>
      </c>
      <c r="B52" s="99" t="s">
        <v>401</v>
      </c>
      <c r="C52" s="100">
        <v>0</v>
      </c>
      <c r="D52" s="100">
        <v>395960.81</v>
      </c>
      <c r="E52" s="100">
        <v>0</v>
      </c>
      <c r="F52" s="100">
        <v>331491.18</v>
      </c>
      <c r="G52" s="100">
        <v>108965.08</v>
      </c>
      <c r="H52" s="100">
        <v>122078.26</v>
      </c>
      <c r="I52" s="100">
        <v>1293514.56</v>
      </c>
      <c r="J52" s="100">
        <v>1242158.1100000001</v>
      </c>
      <c r="K52" s="100">
        <v>0</v>
      </c>
      <c r="L52" s="100">
        <v>344604.36</v>
      </c>
    </row>
    <row r="53" spans="1:12" x14ac:dyDescent="0.35">
      <c r="A53" s="98" t="s">
        <v>402</v>
      </c>
      <c r="B53" s="99" t="s">
        <v>403</v>
      </c>
      <c r="C53" s="100">
        <v>0</v>
      </c>
      <c r="D53" s="100">
        <v>0</v>
      </c>
      <c r="E53" s="100">
        <v>0</v>
      </c>
      <c r="F53" s="100">
        <v>0</v>
      </c>
      <c r="G53" s="100">
        <v>10.72</v>
      </c>
      <c r="H53" s="100">
        <v>10.72</v>
      </c>
      <c r="I53" s="100">
        <v>130.34</v>
      </c>
      <c r="J53" s="100">
        <v>130.34</v>
      </c>
      <c r="K53" s="100">
        <v>0</v>
      </c>
      <c r="L53" s="100">
        <v>0</v>
      </c>
    </row>
    <row r="54" spans="1:12" x14ac:dyDescent="0.35">
      <c r="A54" s="98" t="s">
        <v>404</v>
      </c>
      <c r="B54" s="99" t="s">
        <v>405</v>
      </c>
      <c r="C54" s="100">
        <v>0</v>
      </c>
      <c r="D54" s="100">
        <v>0</v>
      </c>
      <c r="E54" s="100">
        <v>0</v>
      </c>
      <c r="F54" s="100">
        <v>0</v>
      </c>
      <c r="G54" s="100">
        <v>0</v>
      </c>
      <c r="H54" s="100">
        <v>475.4</v>
      </c>
      <c r="I54" s="100">
        <v>6146.63</v>
      </c>
      <c r="J54" s="100">
        <v>6622.03</v>
      </c>
      <c r="K54" s="100">
        <v>0</v>
      </c>
      <c r="L54" s="100">
        <v>475.4</v>
      </c>
    </row>
    <row r="55" spans="1:12" x14ac:dyDescent="0.35">
      <c r="A55" s="98" t="s">
        <v>406</v>
      </c>
      <c r="B55" s="99" t="s">
        <v>407</v>
      </c>
      <c r="C55" s="100">
        <v>0</v>
      </c>
      <c r="D55" s="100">
        <v>18404.84</v>
      </c>
      <c r="E55" s="100">
        <v>0</v>
      </c>
      <c r="F55" s="100">
        <v>1088.42</v>
      </c>
      <c r="G55" s="100">
        <v>215842.78</v>
      </c>
      <c r="H55" s="100">
        <v>217191.12</v>
      </c>
      <c r="I55" s="100">
        <v>247548.73</v>
      </c>
      <c r="J55" s="100">
        <v>231580.65</v>
      </c>
      <c r="K55" s="100">
        <v>0</v>
      </c>
      <c r="L55" s="100">
        <v>2436.7600000000002</v>
      </c>
    </row>
    <row r="56" spans="1:12" x14ac:dyDescent="0.35">
      <c r="A56" s="98" t="s">
        <v>408</v>
      </c>
      <c r="B56" s="99" t="s">
        <v>409</v>
      </c>
      <c r="C56" s="100">
        <v>0</v>
      </c>
      <c r="D56" s="100">
        <v>0</v>
      </c>
      <c r="E56" s="100">
        <v>0</v>
      </c>
      <c r="F56" s="100">
        <v>83575.929999999993</v>
      </c>
      <c r="G56" s="100">
        <v>28932.97</v>
      </c>
      <c r="H56" s="100">
        <v>23093.599999999999</v>
      </c>
      <c r="I56" s="100">
        <v>235014.25</v>
      </c>
      <c r="J56" s="100">
        <v>312750.81</v>
      </c>
      <c r="K56" s="100">
        <v>0</v>
      </c>
      <c r="L56" s="100">
        <v>77736.56</v>
      </c>
    </row>
    <row r="57" spans="1:12" x14ac:dyDescent="0.35">
      <c r="A57" s="98" t="s">
        <v>410</v>
      </c>
      <c r="B57" s="99" t="s">
        <v>411</v>
      </c>
      <c r="C57" s="100">
        <v>0</v>
      </c>
      <c r="D57" s="100">
        <v>2425.21</v>
      </c>
      <c r="E57" s="100">
        <v>0</v>
      </c>
      <c r="F57" s="100">
        <v>373</v>
      </c>
      <c r="G57" s="100">
        <v>0</v>
      </c>
      <c r="H57" s="100">
        <v>808</v>
      </c>
      <c r="I57" s="100">
        <v>0</v>
      </c>
      <c r="J57" s="100">
        <v>-1244.21</v>
      </c>
      <c r="K57" s="100">
        <v>0</v>
      </c>
      <c r="L57" s="100">
        <v>1181</v>
      </c>
    </row>
    <row r="58" spans="1:12" x14ac:dyDescent="0.35">
      <c r="A58" s="98" t="s">
        <v>412</v>
      </c>
      <c r="B58" s="99" t="s">
        <v>413</v>
      </c>
      <c r="C58" s="100">
        <v>0</v>
      </c>
      <c r="D58" s="100">
        <v>0</v>
      </c>
      <c r="E58" s="100">
        <v>0</v>
      </c>
      <c r="F58" s="100">
        <v>0</v>
      </c>
      <c r="G58" s="100">
        <v>0</v>
      </c>
      <c r="H58" s="100">
        <v>115.79</v>
      </c>
      <c r="I58" s="100">
        <v>0</v>
      </c>
      <c r="J58" s="100">
        <v>115.79</v>
      </c>
      <c r="K58" s="100">
        <v>0</v>
      </c>
      <c r="L58" s="100">
        <v>115.79</v>
      </c>
    </row>
    <row r="59" spans="1:12" x14ac:dyDescent="0.35">
      <c r="A59" s="98" t="s">
        <v>414</v>
      </c>
      <c r="B59" s="99" t="s">
        <v>415</v>
      </c>
      <c r="C59" s="100">
        <v>0</v>
      </c>
      <c r="D59" s="100">
        <v>2263.87</v>
      </c>
      <c r="E59" s="100">
        <v>0</v>
      </c>
      <c r="F59" s="100">
        <v>2263.87</v>
      </c>
      <c r="G59" s="100">
        <v>0</v>
      </c>
      <c r="H59" s="100">
        <v>-224.7</v>
      </c>
      <c r="I59" s="100">
        <v>0</v>
      </c>
      <c r="J59" s="100">
        <v>-224.7</v>
      </c>
      <c r="K59" s="100">
        <v>0</v>
      </c>
      <c r="L59" s="100">
        <v>2039.17</v>
      </c>
    </row>
    <row r="60" spans="1:12" x14ac:dyDescent="0.35">
      <c r="A60" s="98" t="s">
        <v>416</v>
      </c>
      <c r="B60" s="99" t="s">
        <v>417</v>
      </c>
      <c r="C60" s="100">
        <v>0</v>
      </c>
      <c r="D60" s="100">
        <v>210</v>
      </c>
      <c r="E60" s="100">
        <v>0</v>
      </c>
      <c r="F60" s="100">
        <v>0</v>
      </c>
      <c r="G60" s="100">
        <v>0</v>
      </c>
      <c r="H60" s="100">
        <v>410</v>
      </c>
      <c r="I60" s="100">
        <v>210</v>
      </c>
      <c r="J60" s="100">
        <v>410</v>
      </c>
      <c r="K60" s="100">
        <v>0</v>
      </c>
      <c r="L60" s="100">
        <v>410</v>
      </c>
    </row>
    <row r="61" spans="1:12" x14ac:dyDescent="0.35">
      <c r="A61" s="98" t="s">
        <v>418</v>
      </c>
      <c r="B61" s="99" t="s">
        <v>419</v>
      </c>
      <c r="C61" s="100">
        <v>0</v>
      </c>
      <c r="D61" s="100">
        <v>10275.200000000001</v>
      </c>
      <c r="E61" s="100">
        <v>0</v>
      </c>
      <c r="F61" s="100">
        <v>7051.84</v>
      </c>
      <c r="G61" s="100">
        <v>7430.4</v>
      </c>
      <c r="H61" s="100">
        <v>9572.56</v>
      </c>
      <c r="I61" s="100">
        <v>10275.200000000001</v>
      </c>
      <c r="J61" s="100">
        <v>9194</v>
      </c>
      <c r="K61" s="100">
        <v>0</v>
      </c>
      <c r="L61" s="100">
        <v>9194</v>
      </c>
    </row>
    <row r="62" spans="1:12" x14ac:dyDescent="0.35">
      <c r="A62" s="98" t="s">
        <v>420</v>
      </c>
      <c r="B62" s="99" t="s">
        <v>421</v>
      </c>
      <c r="C62" s="100">
        <v>0</v>
      </c>
      <c r="D62" s="100">
        <v>987.01</v>
      </c>
      <c r="E62" s="100">
        <v>0</v>
      </c>
      <c r="F62" s="100">
        <v>0</v>
      </c>
      <c r="G62" s="100">
        <v>0</v>
      </c>
      <c r="H62" s="100">
        <v>0</v>
      </c>
      <c r="I62" s="100">
        <v>0</v>
      </c>
      <c r="J62" s="100">
        <v>-987.01</v>
      </c>
      <c r="K62" s="100">
        <v>0</v>
      </c>
      <c r="L62" s="100">
        <v>0</v>
      </c>
    </row>
    <row r="63" spans="1:12" x14ac:dyDescent="0.35">
      <c r="A63" s="98" t="s">
        <v>422</v>
      </c>
      <c r="B63" s="99" t="s">
        <v>423</v>
      </c>
      <c r="C63" s="100">
        <v>0</v>
      </c>
      <c r="D63" s="100">
        <v>4876.2299999999996</v>
      </c>
      <c r="E63" s="100">
        <v>0</v>
      </c>
      <c r="F63" s="100">
        <v>3796.62</v>
      </c>
      <c r="G63" s="100">
        <v>0</v>
      </c>
      <c r="H63" s="100">
        <v>-102.26</v>
      </c>
      <c r="I63" s="100">
        <v>0</v>
      </c>
      <c r="J63" s="100">
        <v>-1181.8699999999999</v>
      </c>
      <c r="K63" s="100">
        <v>0</v>
      </c>
      <c r="L63" s="100">
        <v>3694.36</v>
      </c>
    </row>
    <row r="64" spans="1:12" x14ac:dyDescent="0.35">
      <c r="A64" s="98" t="s">
        <v>424</v>
      </c>
      <c r="B64" s="99" t="s">
        <v>425</v>
      </c>
      <c r="C64" s="100">
        <v>0</v>
      </c>
      <c r="D64" s="100">
        <v>0</v>
      </c>
      <c r="E64" s="100">
        <v>0</v>
      </c>
      <c r="F64" s="100">
        <v>0</v>
      </c>
      <c r="G64" s="100">
        <v>213778.62</v>
      </c>
      <c r="H64" s="100">
        <v>213778.62</v>
      </c>
      <c r="I64" s="100">
        <v>213778.62</v>
      </c>
      <c r="J64" s="100">
        <v>213778.62</v>
      </c>
      <c r="K64" s="100">
        <v>0</v>
      </c>
      <c r="L64" s="100">
        <v>0</v>
      </c>
    </row>
    <row r="65" spans="1:12" x14ac:dyDescent="0.35">
      <c r="A65" s="98" t="s">
        <v>839</v>
      </c>
      <c r="B65" s="99" t="s">
        <v>840</v>
      </c>
      <c r="C65" s="100">
        <v>0</v>
      </c>
      <c r="D65" s="100">
        <v>0</v>
      </c>
      <c r="E65" s="100">
        <v>0</v>
      </c>
      <c r="F65" s="100">
        <v>0</v>
      </c>
      <c r="G65" s="100">
        <v>0</v>
      </c>
      <c r="H65" s="100">
        <v>0</v>
      </c>
      <c r="I65" s="100">
        <v>4116.9399999999996</v>
      </c>
      <c r="J65" s="100">
        <v>4116.9399999999996</v>
      </c>
      <c r="K65" s="100">
        <v>0</v>
      </c>
      <c r="L65" s="100">
        <v>0</v>
      </c>
    </row>
    <row r="66" spans="1:12" x14ac:dyDescent="0.35">
      <c r="A66" s="98" t="s">
        <v>436</v>
      </c>
      <c r="B66" s="99" t="s">
        <v>437</v>
      </c>
      <c r="C66" s="100">
        <v>0</v>
      </c>
      <c r="D66" s="100">
        <v>669.71</v>
      </c>
      <c r="E66" s="100">
        <v>0</v>
      </c>
      <c r="F66" s="100">
        <v>612.64</v>
      </c>
      <c r="G66" s="100">
        <v>3816.22</v>
      </c>
      <c r="H66" s="100">
        <v>3444.72</v>
      </c>
      <c r="I66" s="100">
        <v>26279.35</v>
      </c>
      <c r="J66" s="100">
        <v>25850.78</v>
      </c>
      <c r="K66" s="100">
        <v>0</v>
      </c>
      <c r="L66" s="100">
        <v>241.14</v>
      </c>
    </row>
    <row r="67" spans="1:12" x14ac:dyDescent="0.35">
      <c r="A67" s="98" t="s">
        <v>841</v>
      </c>
      <c r="B67" s="99" t="s">
        <v>842</v>
      </c>
      <c r="C67" s="100">
        <v>0</v>
      </c>
      <c r="D67" s="100">
        <v>170</v>
      </c>
      <c r="E67" s="100">
        <v>0</v>
      </c>
      <c r="F67" s="100">
        <v>0</v>
      </c>
      <c r="G67" s="100">
        <v>0</v>
      </c>
      <c r="H67" s="100">
        <v>0</v>
      </c>
      <c r="I67" s="100">
        <v>260</v>
      </c>
      <c r="J67" s="100">
        <v>90</v>
      </c>
      <c r="K67" s="100">
        <v>0</v>
      </c>
      <c r="L67" s="100">
        <v>0</v>
      </c>
    </row>
    <row r="68" spans="1:12" x14ac:dyDescent="0.35">
      <c r="A68" s="98" t="s">
        <v>438</v>
      </c>
      <c r="B68" s="99" t="s">
        <v>439</v>
      </c>
      <c r="C68" s="100">
        <v>0</v>
      </c>
      <c r="D68" s="100">
        <v>0</v>
      </c>
      <c r="E68" s="100">
        <v>0</v>
      </c>
      <c r="F68" s="100">
        <v>30</v>
      </c>
      <c r="G68" s="100">
        <v>30</v>
      </c>
      <c r="H68" s="100">
        <v>510</v>
      </c>
      <c r="I68" s="100">
        <v>30</v>
      </c>
      <c r="J68" s="100">
        <v>540</v>
      </c>
      <c r="K68" s="100">
        <v>0</v>
      </c>
      <c r="L68" s="100">
        <v>510</v>
      </c>
    </row>
    <row r="69" spans="1:12" x14ac:dyDescent="0.35">
      <c r="A69" s="98" t="s">
        <v>440</v>
      </c>
      <c r="B69" s="99" t="s">
        <v>441</v>
      </c>
      <c r="C69" s="100">
        <v>0</v>
      </c>
      <c r="D69" s="100">
        <v>2586.3200000000002</v>
      </c>
      <c r="E69" s="100">
        <v>0</v>
      </c>
      <c r="F69" s="100">
        <v>0</v>
      </c>
      <c r="G69" s="100">
        <v>116.99</v>
      </c>
      <c r="H69" s="100">
        <v>256.99</v>
      </c>
      <c r="I69" s="100">
        <v>1404.18</v>
      </c>
      <c r="J69" s="100">
        <v>-1042.1400000000001</v>
      </c>
      <c r="K69" s="100">
        <v>0</v>
      </c>
      <c r="L69" s="100">
        <v>140</v>
      </c>
    </row>
    <row r="70" spans="1:12" x14ac:dyDescent="0.35">
      <c r="A70" s="98" t="s">
        <v>843</v>
      </c>
      <c r="B70" s="99" t="s">
        <v>844</v>
      </c>
      <c r="C70" s="100">
        <v>0</v>
      </c>
      <c r="D70" s="100">
        <v>24.33</v>
      </c>
      <c r="E70" s="100">
        <v>0</v>
      </c>
      <c r="F70" s="100">
        <v>0</v>
      </c>
      <c r="G70" s="100">
        <v>0</v>
      </c>
      <c r="H70" s="100">
        <v>0</v>
      </c>
      <c r="I70" s="100">
        <v>171.6</v>
      </c>
      <c r="J70" s="100">
        <v>147.27000000000001</v>
      </c>
      <c r="K70" s="100">
        <v>0</v>
      </c>
      <c r="L70" s="100">
        <v>0</v>
      </c>
    </row>
    <row r="71" spans="1:12" x14ac:dyDescent="0.35">
      <c r="A71" s="98" t="s">
        <v>442</v>
      </c>
      <c r="B71" s="99" t="s">
        <v>443</v>
      </c>
      <c r="C71" s="100">
        <v>0</v>
      </c>
      <c r="D71" s="100">
        <v>10643.71</v>
      </c>
      <c r="E71" s="100">
        <v>0</v>
      </c>
      <c r="F71" s="100">
        <v>11299.84</v>
      </c>
      <c r="G71" s="100">
        <v>14772.21</v>
      </c>
      <c r="H71" s="100">
        <v>13958.8</v>
      </c>
      <c r="I71" s="100">
        <v>176404.48000000001</v>
      </c>
      <c r="J71" s="100">
        <v>176247.2</v>
      </c>
      <c r="K71" s="100">
        <v>0</v>
      </c>
      <c r="L71" s="100">
        <v>10486.43</v>
      </c>
    </row>
    <row r="72" spans="1:12" x14ac:dyDescent="0.35">
      <c r="A72" s="98" t="s">
        <v>444</v>
      </c>
      <c r="B72" s="99" t="s">
        <v>445</v>
      </c>
      <c r="C72" s="100">
        <v>0</v>
      </c>
      <c r="D72" s="100">
        <v>0</v>
      </c>
      <c r="E72" s="100">
        <v>0</v>
      </c>
      <c r="F72" s="100">
        <v>0</v>
      </c>
      <c r="G72" s="100">
        <v>0</v>
      </c>
      <c r="H72" s="100">
        <v>0</v>
      </c>
      <c r="I72" s="100">
        <v>256.14999999999998</v>
      </c>
      <c r="J72" s="100">
        <v>256.14999999999998</v>
      </c>
      <c r="K72" s="100">
        <v>0</v>
      </c>
      <c r="L72" s="100">
        <v>0</v>
      </c>
    </row>
    <row r="73" spans="1:12" x14ac:dyDescent="0.35">
      <c r="A73" s="98" t="s">
        <v>845</v>
      </c>
      <c r="B73" s="99" t="s">
        <v>846</v>
      </c>
      <c r="C73" s="100">
        <v>0</v>
      </c>
      <c r="D73" s="100">
        <v>0</v>
      </c>
      <c r="E73" s="100">
        <v>0</v>
      </c>
      <c r="F73" s="100">
        <v>0</v>
      </c>
      <c r="G73" s="100">
        <v>0</v>
      </c>
      <c r="H73" s="100">
        <v>0</v>
      </c>
      <c r="I73" s="100">
        <v>38.6</v>
      </c>
      <c r="J73" s="100">
        <v>38.6</v>
      </c>
      <c r="K73" s="100">
        <v>0</v>
      </c>
      <c r="L73" s="100">
        <v>0</v>
      </c>
    </row>
    <row r="74" spans="1:12" x14ac:dyDescent="0.35">
      <c r="A74" s="98" t="s">
        <v>446</v>
      </c>
      <c r="B74" s="99" t="s">
        <v>447</v>
      </c>
      <c r="C74" s="100">
        <v>0</v>
      </c>
      <c r="D74" s="100">
        <v>0</v>
      </c>
      <c r="E74" s="100">
        <v>0</v>
      </c>
      <c r="F74" s="100">
        <v>0</v>
      </c>
      <c r="G74" s="100">
        <v>23.4</v>
      </c>
      <c r="H74" s="100">
        <v>23.4</v>
      </c>
      <c r="I74" s="100">
        <v>434.2</v>
      </c>
      <c r="J74" s="100">
        <v>434.2</v>
      </c>
      <c r="K74" s="100">
        <v>0</v>
      </c>
      <c r="L74" s="100">
        <v>0</v>
      </c>
    </row>
    <row r="75" spans="1:12" x14ac:dyDescent="0.35">
      <c r="A75" s="98" t="s">
        <v>448</v>
      </c>
      <c r="B75" s="99" t="s">
        <v>449</v>
      </c>
      <c r="C75" s="100">
        <v>0</v>
      </c>
      <c r="D75" s="100">
        <v>0</v>
      </c>
      <c r="E75" s="100">
        <v>0</v>
      </c>
      <c r="F75" s="100">
        <v>0</v>
      </c>
      <c r="G75" s="100">
        <v>372.6</v>
      </c>
      <c r="H75" s="100">
        <v>372.6</v>
      </c>
      <c r="I75" s="100">
        <v>5088.2</v>
      </c>
      <c r="J75" s="100">
        <v>5088.2</v>
      </c>
      <c r="K75" s="100">
        <v>0</v>
      </c>
      <c r="L75" s="100">
        <v>0</v>
      </c>
    </row>
    <row r="76" spans="1:12" x14ac:dyDescent="0.35">
      <c r="A76" s="98" t="s">
        <v>450</v>
      </c>
      <c r="B76" s="99" t="s">
        <v>451</v>
      </c>
      <c r="C76" s="100">
        <v>0</v>
      </c>
      <c r="D76" s="100">
        <v>1225.25</v>
      </c>
      <c r="E76" s="100">
        <v>0</v>
      </c>
      <c r="F76" s="100">
        <v>992.19</v>
      </c>
      <c r="G76" s="100">
        <v>992.19</v>
      </c>
      <c r="H76" s="100">
        <v>1029.78</v>
      </c>
      <c r="I76" s="100">
        <v>12642.18</v>
      </c>
      <c r="J76" s="100">
        <v>12446.71</v>
      </c>
      <c r="K76" s="100">
        <v>0</v>
      </c>
      <c r="L76" s="100">
        <v>1029.78</v>
      </c>
    </row>
    <row r="77" spans="1:12" x14ac:dyDescent="0.35">
      <c r="A77" s="98" t="s">
        <v>452</v>
      </c>
      <c r="B77" s="99" t="s">
        <v>453</v>
      </c>
      <c r="C77" s="100">
        <v>0</v>
      </c>
      <c r="D77" s="100">
        <v>774.29</v>
      </c>
      <c r="E77" s="100">
        <v>0</v>
      </c>
      <c r="F77" s="100">
        <v>995.82</v>
      </c>
      <c r="G77" s="100">
        <v>995.82</v>
      </c>
      <c r="H77" s="100">
        <v>880.02</v>
      </c>
      <c r="I77" s="100">
        <v>11003.58</v>
      </c>
      <c r="J77" s="100">
        <v>11109.31</v>
      </c>
      <c r="K77" s="100">
        <v>0</v>
      </c>
      <c r="L77" s="100">
        <v>880.02</v>
      </c>
    </row>
    <row r="78" spans="1:12" x14ac:dyDescent="0.35">
      <c r="A78" s="98" t="s">
        <v>454</v>
      </c>
      <c r="B78" s="99" t="s">
        <v>455</v>
      </c>
      <c r="C78" s="100">
        <v>0</v>
      </c>
      <c r="D78" s="100">
        <v>4941.3900000000003</v>
      </c>
      <c r="E78" s="100">
        <v>0</v>
      </c>
      <c r="F78" s="100">
        <v>4912.91</v>
      </c>
      <c r="G78" s="100">
        <v>4912.91</v>
      </c>
      <c r="H78" s="100">
        <v>4719.71</v>
      </c>
      <c r="I78" s="100">
        <v>58624.86</v>
      </c>
      <c r="J78" s="100">
        <v>58403.18</v>
      </c>
      <c r="K78" s="100">
        <v>0</v>
      </c>
      <c r="L78" s="100">
        <v>4719.71</v>
      </c>
    </row>
    <row r="79" spans="1:12" x14ac:dyDescent="0.35">
      <c r="A79" s="98" t="s">
        <v>456</v>
      </c>
      <c r="B79" s="99" t="s">
        <v>457</v>
      </c>
      <c r="C79" s="100">
        <v>-13926.42</v>
      </c>
      <c r="D79" s="100">
        <v>0</v>
      </c>
      <c r="E79" s="100">
        <v>0</v>
      </c>
      <c r="F79" s="100">
        <v>0</v>
      </c>
      <c r="G79" s="100">
        <v>0</v>
      </c>
      <c r="H79" s="100">
        <v>8041.95</v>
      </c>
      <c r="I79" s="100">
        <v>13926.42</v>
      </c>
      <c r="J79" s="100">
        <v>8041.95</v>
      </c>
      <c r="K79" s="100">
        <v>-8041.95</v>
      </c>
      <c r="L79" s="100">
        <v>0</v>
      </c>
    </row>
    <row r="80" spans="1:12" x14ac:dyDescent="0.35">
      <c r="A80" s="98" t="s">
        <v>458</v>
      </c>
      <c r="B80" s="99" t="s">
        <v>459</v>
      </c>
      <c r="C80" s="100">
        <v>4117.2299999999996</v>
      </c>
      <c r="D80" s="100">
        <v>0</v>
      </c>
      <c r="E80" s="100">
        <v>8335.6299999999992</v>
      </c>
      <c r="F80" s="100">
        <v>0</v>
      </c>
      <c r="G80" s="100">
        <v>3481.61</v>
      </c>
      <c r="H80" s="100">
        <v>0</v>
      </c>
      <c r="I80" s="100">
        <v>11817.24</v>
      </c>
      <c r="J80" s="100">
        <v>4117.2299999999996</v>
      </c>
      <c r="K80" s="100">
        <v>11817.24</v>
      </c>
      <c r="L80" s="100">
        <v>0</v>
      </c>
    </row>
    <row r="81" spans="1:12" x14ac:dyDescent="0.35">
      <c r="A81" s="98" t="s">
        <v>460</v>
      </c>
      <c r="B81" s="99" t="s">
        <v>461</v>
      </c>
      <c r="C81" s="100">
        <v>0</v>
      </c>
      <c r="D81" s="100">
        <v>1592.62</v>
      </c>
      <c r="E81" s="100">
        <v>0</v>
      </c>
      <c r="F81" s="100">
        <v>1433.05</v>
      </c>
      <c r="G81" s="100">
        <v>1713.05</v>
      </c>
      <c r="H81" s="100">
        <v>1621.12</v>
      </c>
      <c r="I81" s="100">
        <v>18946.22</v>
      </c>
      <c r="J81" s="100">
        <v>18694.72</v>
      </c>
      <c r="K81" s="100">
        <v>0</v>
      </c>
      <c r="L81" s="100">
        <v>1341.12</v>
      </c>
    </row>
    <row r="82" spans="1:12" x14ac:dyDescent="0.35">
      <c r="A82" s="98" t="s">
        <v>462</v>
      </c>
      <c r="B82" s="99" t="s">
        <v>463</v>
      </c>
      <c r="C82" s="100">
        <v>0</v>
      </c>
      <c r="D82" s="100">
        <v>0</v>
      </c>
      <c r="E82" s="100">
        <v>0</v>
      </c>
      <c r="F82" s="100">
        <v>0</v>
      </c>
      <c r="G82" s="100">
        <v>15571.63</v>
      </c>
      <c r="H82" s="100">
        <v>15571.63</v>
      </c>
      <c r="I82" s="100">
        <v>140136.78</v>
      </c>
      <c r="J82" s="100">
        <v>140136.78</v>
      </c>
      <c r="K82" s="100">
        <v>0</v>
      </c>
      <c r="L82" s="100">
        <v>0</v>
      </c>
    </row>
    <row r="83" spans="1:12" x14ac:dyDescent="0.35">
      <c r="A83" s="98" t="s">
        <v>464</v>
      </c>
      <c r="B83" s="99" t="s">
        <v>465</v>
      </c>
      <c r="C83" s="100">
        <v>0</v>
      </c>
      <c r="D83" s="100">
        <v>0</v>
      </c>
      <c r="E83" s="100">
        <v>0</v>
      </c>
      <c r="F83" s="100">
        <v>0</v>
      </c>
      <c r="G83" s="100">
        <v>9645.23</v>
      </c>
      <c r="H83" s="100">
        <v>9645.23</v>
      </c>
      <c r="I83" s="100">
        <v>87983.360000000001</v>
      </c>
      <c r="J83" s="100">
        <v>87983.360000000001</v>
      </c>
      <c r="K83" s="100">
        <v>0</v>
      </c>
      <c r="L83" s="100">
        <v>0</v>
      </c>
    </row>
    <row r="84" spans="1:12" x14ac:dyDescent="0.35">
      <c r="A84" s="98" t="s">
        <v>466</v>
      </c>
      <c r="B84" s="99" t="s">
        <v>467</v>
      </c>
      <c r="C84" s="100">
        <v>0</v>
      </c>
      <c r="D84" s="100">
        <v>0</v>
      </c>
      <c r="E84" s="100">
        <v>0</v>
      </c>
      <c r="F84" s="100">
        <v>0</v>
      </c>
      <c r="G84" s="100">
        <v>11754.27</v>
      </c>
      <c r="H84" s="100">
        <v>11754.27</v>
      </c>
      <c r="I84" s="100">
        <v>118653.34</v>
      </c>
      <c r="J84" s="100">
        <v>118653.34</v>
      </c>
      <c r="K84" s="100">
        <v>0</v>
      </c>
      <c r="L84" s="100">
        <v>0</v>
      </c>
    </row>
    <row r="85" spans="1:12" x14ac:dyDescent="0.35">
      <c r="A85" s="98" t="s">
        <v>468</v>
      </c>
      <c r="B85" s="99" t="s">
        <v>469</v>
      </c>
      <c r="C85" s="100">
        <v>0</v>
      </c>
      <c r="D85" s="100">
        <v>0</v>
      </c>
      <c r="E85" s="100">
        <v>0</v>
      </c>
      <c r="F85" s="100">
        <v>0</v>
      </c>
      <c r="G85" s="100">
        <v>4804.51</v>
      </c>
      <c r="H85" s="100">
        <v>4804.51</v>
      </c>
      <c r="I85" s="100">
        <v>64691.58</v>
      </c>
      <c r="J85" s="100">
        <v>64691.58</v>
      </c>
      <c r="K85" s="100">
        <v>0</v>
      </c>
      <c r="L85" s="100">
        <v>0</v>
      </c>
    </row>
    <row r="86" spans="1:12" x14ac:dyDescent="0.35">
      <c r="A86" s="98" t="s">
        <v>470</v>
      </c>
      <c r="B86" s="99" t="s">
        <v>471</v>
      </c>
      <c r="C86" s="100">
        <v>0</v>
      </c>
      <c r="D86" s="100">
        <v>0</v>
      </c>
      <c r="E86" s="100">
        <v>0</v>
      </c>
      <c r="F86" s="100">
        <v>0</v>
      </c>
      <c r="G86" s="100">
        <v>184.13</v>
      </c>
      <c r="H86" s="100">
        <v>184.13</v>
      </c>
      <c r="I86" s="100">
        <v>10310.57</v>
      </c>
      <c r="J86" s="100">
        <v>10310.57</v>
      </c>
      <c r="K86" s="100">
        <v>0</v>
      </c>
      <c r="L86" s="100">
        <v>0</v>
      </c>
    </row>
    <row r="87" spans="1:12" x14ac:dyDescent="0.35">
      <c r="A87" s="98" t="s">
        <v>472</v>
      </c>
      <c r="B87" s="99" t="s">
        <v>473</v>
      </c>
      <c r="C87" s="100">
        <v>0</v>
      </c>
      <c r="D87" s="100">
        <v>40.630000000000003</v>
      </c>
      <c r="E87" s="100">
        <v>0</v>
      </c>
      <c r="F87" s="100">
        <v>0</v>
      </c>
      <c r="G87" s="100">
        <v>0</v>
      </c>
      <c r="H87" s="100">
        <v>51.53</v>
      </c>
      <c r="I87" s="100">
        <v>40.630000000000003</v>
      </c>
      <c r="J87" s="100">
        <v>51.53</v>
      </c>
      <c r="K87" s="100">
        <v>0</v>
      </c>
      <c r="L87" s="100">
        <v>51.53</v>
      </c>
    </row>
    <row r="88" spans="1:12" x14ac:dyDescent="0.35">
      <c r="A88" s="98" t="s">
        <v>847</v>
      </c>
      <c r="B88" s="99" t="s">
        <v>848</v>
      </c>
      <c r="C88" s="100">
        <v>0</v>
      </c>
      <c r="D88" s="100">
        <v>0</v>
      </c>
      <c r="E88" s="100">
        <v>0</v>
      </c>
      <c r="F88" s="100">
        <v>0</v>
      </c>
      <c r="G88" s="100">
        <v>0</v>
      </c>
      <c r="H88" s="100">
        <v>0</v>
      </c>
      <c r="I88" s="100">
        <v>55.68</v>
      </c>
      <c r="J88" s="100">
        <v>55.68</v>
      </c>
      <c r="K88" s="100">
        <v>0</v>
      </c>
      <c r="L88" s="100">
        <v>0</v>
      </c>
    </row>
    <row r="89" spans="1:12" x14ac:dyDescent="0.35">
      <c r="A89" s="98" t="s">
        <v>474</v>
      </c>
      <c r="B89" s="99" t="s">
        <v>475</v>
      </c>
      <c r="C89" s="100">
        <v>291184.32</v>
      </c>
      <c r="D89" s="100">
        <v>0</v>
      </c>
      <c r="E89" s="100">
        <v>433281.4</v>
      </c>
      <c r="F89" s="100">
        <v>0</v>
      </c>
      <c r="G89" s="100">
        <v>0</v>
      </c>
      <c r="H89" s="100">
        <v>166937.46</v>
      </c>
      <c r="I89" s="100">
        <v>244193.24</v>
      </c>
      <c r="J89" s="100">
        <v>269033.62</v>
      </c>
      <c r="K89" s="100">
        <v>266343.94</v>
      </c>
      <c r="L89" s="100">
        <v>0</v>
      </c>
    </row>
    <row r="90" spans="1:12" x14ac:dyDescent="0.35">
      <c r="A90" s="98" t="s">
        <v>476</v>
      </c>
      <c r="B90" s="99" t="s">
        <v>477</v>
      </c>
      <c r="C90" s="100">
        <v>0</v>
      </c>
      <c r="D90" s="100">
        <v>0</v>
      </c>
      <c r="E90" s="100">
        <v>0</v>
      </c>
      <c r="F90" s="100">
        <v>0</v>
      </c>
      <c r="G90" s="100">
        <v>63650</v>
      </c>
      <c r="H90" s="100">
        <v>63650</v>
      </c>
      <c r="I90" s="100">
        <v>605085</v>
      </c>
      <c r="J90" s="100">
        <v>605085</v>
      </c>
      <c r="K90" s="100">
        <v>0</v>
      </c>
      <c r="L90" s="100">
        <v>0</v>
      </c>
    </row>
    <row r="91" spans="1:12" x14ac:dyDescent="0.35">
      <c r="A91" s="98" t="s">
        <v>478</v>
      </c>
      <c r="B91" s="99" t="s">
        <v>479</v>
      </c>
      <c r="C91" s="100">
        <v>618.27</v>
      </c>
      <c r="D91" s="100">
        <v>0</v>
      </c>
      <c r="E91" s="100">
        <v>6020.11</v>
      </c>
      <c r="F91" s="100">
        <v>0</v>
      </c>
      <c r="G91" s="100">
        <v>565.52</v>
      </c>
      <c r="H91" s="100">
        <v>6020.11</v>
      </c>
      <c r="I91" s="100">
        <v>7560.88</v>
      </c>
      <c r="J91" s="100">
        <v>7613.63</v>
      </c>
      <c r="K91" s="100">
        <v>565.52</v>
      </c>
      <c r="L91" s="100">
        <v>0</v>
      </c>
    </row>
    <row r="92" spans="1:12" x14ac:dyDescent="0.35">
      <c r="A92" s="98" t="s">
        <v>480</v>
      </c>
      <c r="B92" s="99" t="s">
        <v>481</v>
      </c>
      <c r="C92" s="100">
        <v>0</v>
      </c>
      <c r="D92" s="100">
        <v>0</v>
      </c>
      <c r="E92" s="100">
        <v>0</v>
      </c>
      <c r="F92" s="100">
        <v>0</v>
      </c>
      <c r="G92" s="100">
        <v>0</v>
      </c>
      <c r="H92" s="100">
        <v>0</v>
      </c>
      <c r="I92" s="100">
        <v>0</v>
      </c>
      <c r="J92" s="100">
        <v>0</v>
      </c>
      <c r="K92" s="100">
        <v>0</v>
      </c>
      <c r="L92" s="100">
        <v>0</v>
      </c>
    </row>
    <row r="93" spans="1:12" x14ac:dyDescent="0.35">
      <c r="A93" s="98" t="s">
        <v>482</v>
      </c>
      <c r="B93" s="99" t="s">
        <v>483</v>
      </c>
      <c r="C93" s="100">
        <v>0</v>
      </c>
      <c r="D93" s="100">
        <v>0</v>
      </c>
      <c r="E93" s="100">
        <v>0</v>
      </c>
      <c r="F93" s="100">
        <v>0</v>
      </c>
      <c r="G93" s="100">
        <v>0</v>
      </c>
      <c r="H93" s="100">
        <v>0</v>
      </c>
      <c r="I93" s="100">
        <v>0</v>
      </c>
      <c r="J93" s="100">
        <v>0</v>
      </c>
      <c r="K93" s="100">
        <v>0</v>
      </c>
      <c r="L93" s="100">
        <v>0</v>
      </c>
    </row>
    <row r="94" spans="1:12" x14ac:dyDescent="0.35">
      <c r="A94" s="98" t="s">
        <v>484</v>
      </c>
      <c r="B94" s="99" t="s">
        <v>485</v>
      </c>
      <c r="C94" s="100">
        <v>0</v>
      </c>
      <c r="D94" s="100">
        <v>0</v>
      </c>
      <c r="E94" s="100">
        <v>0</v>
      </c>
      <c r="F94" s="100">
        <v>0</v>
      </c>
      <c r="G94" s="100">
        <v>309591.98</v>
      </c>
      <c r="H94" s="100">
        <v>309591.98</v>
      </c>
      <c r="I94" s="100">
        <v>1974252.46</v>
      </c>
      <c r="J94" s="100">
        <v>1974252.46</v>
      </c>
      <c r="K94" s="100">
        <v>0</v>
      </c>
      <c r="L94" s="100">
        <v>0</v>
      </c>
    </row>
    <row r="95" spans="1:12" x14ac:dyDescent="0.35">
      <c r="A95" s="98" t="s">
        <v>486</v>
      </c>
      <c r="B95" s="99" t="s">
        <v>487</v>
      </c>
      <c r="C95" s="100">
        <v>0</v>
      </c>
      <c r="D95" s="100">
        <v>0</v>
      </c>
      <c r="E95" s="100">
        <v>0</v>
      </c>
      <c r="F95" s="100">
        <v>0</v>
      </c>
      <c r="G95" s="100">
        <v>0</v>
      </c>
      <c r="H95" s="100">
        <v>0</v>
      </c>
      <c r="I95" s="100">
        <v>215.07</v>
      </c>
      <c r="J95" s="100">
        <v>215.07</v>
      </c>
      <c r="K95" s="100">
        <v>0</v>
      </c>
      <c r="L95" s="100">
        <v>0</v>
      </c>
    </row>
    <row r="96" spans="1:12" x14ac:dyDescent="0.35">
      <c r="A96" s="98" t="s">
        <v>488</v>
      </c>
      <c r="B96" s="99" t="s">
        <v>489</v>
      </c>
      <c r="C96" s="100">
        <v>0</v>
      </c>
      <c r="D96" s="100">
        <v>0</v>
      </c>
      <c r="E96" s="100">
        <v>-1758.28</v>
      </c>
      <c r="F96" s="100">
        <v>0</v>
      </c>
      <c r="G96" s="100">
        <v>10232.23</v>
      </c>
      <c r="H96" s="100">
        <v>8473.9500000000007</v>
      </c>
      <c r="I96" s="100">
        <v>34464.65</v>
      </c>
      <c r="J96" s="100">
        <v>34464.65</v>
      </c>
      <c r="K96" s="100">
        <v>0</v>
      </c>
      <c r="L96" s="100">
        <v>0</v>
      </c>
    </row>
    <row r="97" spans="1:12" x14ac:dyDescent="0.35">
      <c r="A97" s="98" t="s">
        <v>492</v>
      </c>
      <c r="B97" s="99" t="s">
        <v>493</v>
      </c>
      <c r="C97" s="100">
        <v>0</v>
      </c>
      <c r="D97" s="100">
        <v>0</v>
      </c>
      <c r="E97" s="100">
        <v>0</v>
      </c>
      <c r="F97" s="100">
        <v>0</v>
      </c>
      <c r="G97" s="100">
        <v>0</v>
      </c>
      <c r="H97" s="100">
        <v>0</v>
      </c>
      <c r="I97" s="100">
        <v>56</v>
      </c>
      <c r="J97" s="100">
        <v>56</v>
      </c>
      <c r="K97" s="100">
        <v>0</v>
      </c>
      <c r="L97" s="100">
        <v>0</v>
      </c>
    </row>
    <row r="98" spans="1:12" x14ac:dyDescent="0.35">
      <c r="A98" s="98" t="s">
        <v>494</v>
      </c>
      <c r="B98" s="99" t="s">
        <v>495</v>
      </c>
      <c r="C98" s="100">
        <v>0</v>
      </c>
      <c r="D98" s="100">
        <v>448.54</v>
      </c>
      <c r="E98" s="100">
        <v>0</v>
      </c>
      <c r="F98" s="100">
        <v>508.63</v>
      </c>
      <c r="G98" s="100">
        <v>508.63</v>
      </c>
      <c r="H98" s="100">
        <v>353</v>
      </c>
      <c r="I98" s="100">
        <v>5786.85</v>
      </c>
      <c r="J98" s="100">
        <v>5691.31</v>
      </c>
      <c r="K98" s="100">
        <v>0</v>
      </c>
      <c r="L98" s="100">
        <v>353</v>
      </c>
    </row>
    <row r="99" spans="1:12" x14ac:dyDescent="0.35">
      <c r="A99" s="98" t="s">
        <v>496</v>
      </c>
      <c r="B99" s="99" t="s">
        <v>489</v>
      </c>
      <c r="C99" s="100">
        <v>0</v>
      </c>
      <c r="D99" s="100">
        <v>6258.96</v>
      </c>
      <c r="E99" s="100">
        <v>0</v>
      </c>
      <c r="F99" s="100">
        <v>0</v>
      </c>
      <c r="G99" s="100">
        <v>0</v>
      </c>
      <c r="H99" s="100">
        <v>8473.9500000000007</v>
      </c>
      <c r="I99" s="100">
        <v>0</v>
      </c>
      <c r="J99" s="100">
        <v>2214.9899999999998</v>
      </c>
      <c r="K99" s="100">
        <v>0</v>
      </c>
      <c r="L99" s="100">
        <v>8473.9500000000007</v>
      </c>
    </row>
    <row r="100" spans="1:12" x14ac:dyDescent="0.35">
      <c r="A100" s="98" t="s">
        <v>497</v>
      </c>
      <c r="B100" s="99" t="s">
        <v>498</v>
      </c>
      <c r="C100" s="100">
        <v>0</v>
      </c>
      <c r="D100" s="100">
        <v>0</v>
      </c>
      <c r="E100" s="100">
        <v>0</v>
      </c>
      <c r="F100" s="100">
        <v>0</v>
      </c>
      <c r="G100" s="100">
        <v>0</v>
      </c>
      <c r="H100" s="100">
        <v>684.1</v>
      </c>
      <c r="I100" s="100">
        <v>369.79</v>
      </c>
      <c r="J100" s="100">
        <v>1053.8900000000001</v>
      </c>
      <c r="K100" s="100">
        <v>0</v>
      </c>
      <c r="L100" s="100">
        <v>684.1</v>
      </c>
    </row>
    <row r="101" spans="1:12" x14ac:dyDescent="0.35">
      <c r="A101" s="98" t="s">
        <v>499</v>
      </c>
      <c r="B101" s="99" t="s">
        <v>500</v>
      </c>
      <c r="C101" s="100">
        <v>0</v>
      </c>
      <c r="D101" s="100">
        <v>0</v>
      </c>
      <c r="E101" s="100">
        <v>206.65</v>
      </c>
      <c r="F101" s="100">
        <v>0</v>
      </c>
      <c r="G101" s="100">
        <v>0</v>
      </c>
      <c r="H101" s="100">
        <v>0</v>
      </c>
      <c r="I101" s="100">
        <v>206.65</v>
      </c>
      <c r="J101" s="100">
        <v>0</v>
      </c>
      <c r="K101" s="100">
        <v>206.65</v>
      </c>
      <c r="L101" s="100">
        <v>0</v>
      </c>
    </row>
    <row r="102" spans="1:12" x14ac:dyDescent="0.35">
      <c r="A102" s="98" t="s">
        <v>501</v>
      </c>
      <c r="B102" s="99" t="s">
        <v>502</v>
      </c>
      <c r="C102" s="100">
        <v>3000</v>
      </c>
      <c r="D102" s="100">
        <v>0</v>
      </c>
      <c r="E102" s="100">
        <v>250</v>
      </c>
      <c r="F102" s="100">
        <v>0</v>
      </c>
      <c r="G102" s="100">
        <v>3000</v>
      </c>
      <c r="H102" s="100">
        <v>250</v>
      </c>
      <c r="I102" s="100">
        <v>3000</v>
      </c>
      <c r="J102" s="100">
        <v>3000</v>
      </c>
      <c r="K102" s="100">
        <v>3000</v>
      </c>
      <c r="L102" s="100">
        <v>0</v>
      </c>
    </row>
    <row r="103" spans="1:12" x14ac:dyDescent="0.35">
      <c r="A103" s="98" t="s">
        <v>503</v>
      </c>
      <c r="B103" s="99" t="s">
        <v>504</v>
      </c>
      <c r="C103" s="100">
        <v>12000</v>
      </c>
      <c r="D103" s="100">
        <v>0</v>
      </c>
      <c r="E103" s="100">
        <v>12000</v>
      </c>
      <c r="F103" s="100">
        <v>0</v>
      </c>
      <c r="G103" s="100">
        <v>0</v>
      </c>
      <c r="H103" s="100">
        <v>3000</v>
      </c>
      <c r="I103" s="100">
        <v>0</v>
      </c>
      <c r="J103" s="100">
        <v>3000</v>
      </c>
      <c r="K103" s="100">
        <v>9000</v>
      </c>
      <c r="L103" s="100">
        <v>0</v>
      </c>
    </row>
    <row r="104" spans="1:12" x14ac:dyDescent="0.35">
      <c r="A104" s="98" t="s">
        <v>505</v>
      </c>
      <c r="B104" s="99" t="s">
        <v>506</v>
      </c>
      <c r="C104" s="100">
        <v>0</v>
      </c>
      <c r="D104" s="100">
        <v>0</v>
      </c>
      <c r="E104" s="100">
        <v>3262.55</v>
      </c>
      <c r="F104" s="100">
        <v>0</v>
      </c>
      <c r="G104" s="100">
        <v>0</v>
      </c>
      <c r="H104" s="100">
        <v>3262.55</v>
      </c>
      <c r="I104" s="100">
        <v>38692.120000000003</v>
      </c>
      <c r="J104" s="100">
        <v>38692.120000000003</v>
      </c>
      <c r="K104" s="100">
        <v>0</v>
      </c>
      <c r="L104" s="100">
        <v>0</v>
      </c>
    </row>
    <row r="105" spans="1:12" x14ac:dyDescent="0.35">
      <c r="A105" s="98" t="s">
        <v>507</v>
      </c>
      <c r="B105" s="99" t="s">
        <v>508</v>
      </c>
      <c r="C105" s="100">
        <v>0</v>
      </c>
      <c r="D105" s="100">
        <v>0</v>
      </c>
      <c r="E105" s="100">
        <v>0</v>
      </c>
      <c r="F105" s="100">
        <v>0</v>
      </c>
      <c r="G105" s="100">
        <v>0</v>
      </c>
      <c r="H105" s="100">
        <v>0</v>
      </c>
      <c r="I105" s="100">
        <v>215.07</v>
      </c>
      <c r="J105" s="100">
        <v>215.07</v>
      </c>
      <c r="K105" s="100">
        <v>0</v>
      </c>
      <c r="L105" s="100">
        <v>0</v>
      </c>
    </row>
    <row r="106" spans="1:12" x14ac:dyDescent="0.35">
      <c r="A106" s="98" t="s">
        <v>509</v>
      </c>
      <c r="B106" s="99" t="s">
        <v>510</v>
      </c>
      <c r="C106" s="100">
        <v>0</v>
      </c>
      <c r="D106" s="100">
        <v>0</v>
      </c>
      <c r="E106" s="100">
        <v>0</v>
      </c>
      <c r="F106" s="100">
        <v>0</v>
      </c>
      <c r="G106" s="100">
        <v>228924.14</v>
      </c>
      <c r="H106" s="100">
        <v>228924.14</v>
      </c>
      <c r="I106" s="100">
        <v>2069526.1</v>
      </c>
      <c r="J106" s="100">
        <v>2069526.1</v>
      </c>
      <c r="K106" s="100">
        <v>0</v>
      </c>
      <c r="L106" s="100">
        <v>0</v>
      </c>
    </row>
    <row r="107" spans="1:12" x14ac:dyDescent="0.35">
      <c r="A107" s="98" t="s">
        <v>511</v>
      </c>
      <c r="B107" s="99" t="s">
        <v>512</v>
      </c>
      <c r="C107" s="100">
        <v>0</v>
      </c>
      <c r="D107" s="100">
        <v>0</v>
      </c>
      <c r="E107" s="100">
        <v>0</v>
      </c>
      <c r="F107" s="100">
        <v>0</v>
      </c>
      <c r="G107" s="100">
        <v>130036.04</v>
      </c>
      <c r="H107" s="100">
        <v>130036.04</v>
      </c>
      <c r="I107" s="100">
        <v>1302869.21</v>
      </c>
      <c r="J107" s="100">
        <v>1302869.21</v>
      </c>
      <c r="K107" s="100">
        <v>0</v>
      </c>
      <c r="L107" s="100">
        <v>0</v>
      </c>
    </row>
    <row r="108" spans="1:12" x14ac:dyDescent="0.35">
      <c r="A108" s="98" t="s">
        <v>513</v>
      </c>
      <c r="B108" s="99" t="s">
        <v>151</v>
      </c>
      <c r="C108" s="100">
        <v>0</v>
      </c>
      <c r="D108" s="100">
        <v>5000</v>
      </c>
      <c r="E108" s="100">
        <v>0</v>
      </c>
      <c r="F108" s="100">
        <v>5000</v>
      </c>
      <c r="G108" s="100">
        <v>0</v>
      </c>
      <c r="H108" s="100">
        <v>0</v>
      </c>
      <c r="I108" s="100">
        <v>0</v>
      </c>
      <c r="J108" s="100">
        <v>0</v>
      </c>
      <c r="K108" s="100">
        <v>0</v>
      </c>
      <c r="L108" s="100">
        <v>5000</v>
      </c>
    </row>
    <row r="109" spans="1:12" x14ac:dyDescent="0.35">
      <c r="A109" s="98" t="s">
        <v>514</v>
      </c>
      <c r="B109" s="99" t="s">
        <v>515</v>
      </c>
      <c r="C109" s="100">
        <v>0</v>
      </c>
      <c r="D109" s="100">
        <v>22000</v>
      </c>
      <c r="E109" s="100">
        <v>0</v>
      </c>
      <c r="F109" s="100">
        <v>22000</v>
      </c>
      <c r="G109" s="100">
        <v>0</v>
      </c>
      <c r="H109" s="100">
        <v>0</v>
      </c>
      <c r="I109" s="100">
        <v>0</v>
      </c>
      <c r="J109" s="100">
        <v>0</v>
      </c>
      <c r="K109" s="100">
        <v>0</v>
      </c>
      <c r="L109" s="100">
        <v>22000</v>
      </c>
    </row>
    <row r="110" spans="1:12" x14ac:dyDescent="0.35">
      <c r="A110" s="98" t="s">
        <v>516</v>
      </c>
      <c r="B110" s="99" t="s">
        <v>157</v>
      </c>
      <c r="C110" s="100">
        <v>0</v>
      </c>
      <c r="D110" s="100">
        <v>500</v>
      </c>
      <c r="E110" s="100">
        <v>0</v>
      </c>
      <c r="F110" s="100">
        <v>500</v>
      </c>
      <c r="G110" s="100">
        <v>0</v>
      </c>
      <c r="H110" s="100">
        <v>0</v>
      </c>
      <c r="I110" s="100">
        <v>0</v>
      </c>
      <c r="J110" s="100">
        <v>0</v>
      </c>
      <c r="K110" s="100">
        <v>0</v>
      </c>
      <c r="L110" s="100">
        <v>500</v>
      </c>
    </row>
    <row r="111" spans="1:12" x14ac:dyDescent="0.35">
      <c r="A111" s="98" t="s">
        <v>517</v>
      </c>
      <c r="B111" s="99" t="s">
        <v>518</v>
      </c>
      <c r="C111" s="100">
        <v>0</v>
      </c>
      <c r="D111" s="100">
        <v>5477.89</v>
      </c>
      <c r="E111" s="100">
        <v>0</v>
      </c>
      <c r="F111" s="100">
        <v>5477.89</v>
      </c>
      <c r="G111" s="100">
        <v>0</v>
      </c>
      <c r="H111" s="100">
        <v>0</v>
      </c>
      <c r="I111" s="100">
        <v>0</v>
      </c>
      <c r="J111" s="100">
        <v>0</v>
      </c>
      <c r="K111" s="100">
        <v>0</v>
      </c>
      <c r="L111" s="100">
        <v>5477.89</v>
      </c>
    </row>
    <row r="112" spans="1:12" x14ac:dyDescent="0.35">
      <c r="A112" s="98" t="s">
        <v>519</v>
      </c>
      <c r="B112" s="99" t="s">
        <v>520</v>
      </c>
      <c r="C112" s="100">
        <v>0</v>
      </c>
      <c r="D112" s="100">
        <v>7940.48</v>
      </c>
      <c r="E112" s="100">
        <v>0</v>
      </c>
      <c r="F112" s="100">
        <v>7940.48</v>
      </c>
      <c r="G112" s="100">
        <v>0</v>
      </c>
      <c r="H112" s="100">
        <v>0</v>
      </c>
      <c r="I112" s="100">
        <v>0</v>
      </c>
      <c r="J112" s="100">
        <v>0</v>
      </c>
      <c r="K112" s="100">
        <v>0</v>
      </c>
      <c r="L112" s="100">
        <v>7940.48</v>
      </c>
    </row>
    <row r="113" spans="1:12" x14ac:dyDescent="0.35">
      <c r="A113" s="98" t="s">
        <v>521</v>
      </c>
      <c r="B113" s="99" t="s">
        <v>522</v>
      </c>
      <c r="C113" s="100">
        <v>0</v>
      </c>
      <c r="D113" s="100">
        <v>9896.73</v>
      </c>
      <c r="E113" s="100">
        <v>0</v>
      </c>
      <c r="F113" s="100">
        <v>9896.73</v>
      </c>
      <c r="G113" s="100">
        <v>0</v>
      </c>
      <c r="H113" s="100">
        <v>0</v>
      </c>
      <c r="I113" s="100">
        <v>0</v>
      </c>
      <c r="J113" s="100">
        <v>0</v>
      </c>
      <c r="K113" s="100">
        <v>0</v>
      </c>
      <c r="L113" s="100">
        <v>9896.73</v>
      </c>
    </row>
    <row r="114" spans="1:12" x14ac:dyDescent="0.35">
      <c r="A114" s="98" t="s">
        <v>523</v>
      </c>
      <c r="B114" s="99" t="s">
        <v>524</v>
      </c>
      <c r="C114" s="100">
        <v>0</v>
      </c>
      <c r="D114" s="100">
        <v>15808.58</v>
      </c>
      <c r="E114" s="100">
        <v>0</v>
      </c>
      <c r="F114" s="100">
        <v>15808.58</v>
      </c>
      <c r="G114" s="100">
        <v>0</v>
      </c>
      <c r="H114" s="100">
        <v>0</v>
      </c>
      <c r="I114" s="100">
        <v>0</v>
      </c>
      <c r="J114" s="100">
        <v>0</v>
      </c>
      <c r="K114" s="100">
        <v>0</v>
      </c>
      <c r="L114" s="100">
        <v>15808.58</v>
      </c>
    </row>
    <row r="115" spans="1:12" x14ac:dyDescent="0.35">
      <c r="A115" s="98" t="s">
        <v>525</v>
      </c>
      <c r="B115" s="99" t="s">
        <v>526</v>
      </c>
      <c r="C115" s="100">
        <v>0</v>
      </c>
      <c r="D115" s="100">
        <v>0</v>
      </c>
      <c r="E115" s="100">
        <v>0</v>
      </c>
      <c r="F115" s="100">
        <v>46542.559999999998</v>
      </c>
      <c r="G115" s="100">
        <v>0</v>
      </c>
      <c r="H115" s="100">
        <v>0</v>
      </c>
      <c r="I115" s="100">
        <v>0</v>
      </c>
      <c r="J115" s="100">
        <v>46542.559999999998</v>
      </c>
      <c r="K115" s="100">
        <v>0</v>
      </c>
      <c r="L115" s="100">
        <v>46542.559999999998</v>
      </c>
    </row>
    <row r="116" spans="1:12" x14ac:dyDescent="0.35">
      <c r="A116" s="98" t="s">
        <v>529</v>
      </c>
      <c r="B116" s="99" t="s">
        <v>530</v>
      </c>
      <c r="C116" s="100">
        <v>0</v>
      </c>
      <c r="D116" s="100">
        <v>46542.559999999998</v>
      </c>
      <c r="E116" s="100">
        <v>0</v>
      </c>
      <c r="F116" s="100">
        <v>0</v>
      </c>
      <c r="G116" s="100">
        <v>0</v>
      </c>
      <c r="H116" s="100">
        <v>0</v>
      </c>
      <c r="I116" s="100">
        <v>46542.559999999998</v>
      </c>
      <c r="J116" s="100">
        <v>0</v>
      </c>
      <c r="K116" s="100">
        <v>0</v>
      </c>
      <c r="L116" s="100">
        <v>0</v>
      </c>
    </row>
    <row r="117" spans="1:12" x14ac:dyDescent="0.35">
      <c r="A117" s="98" t="s">
        <v>531</v>
      </c>
      <c r="B117" s="99" t="s">
        <v>532</v>
      </c>
      <c r="C117" s="100">
        <v>0</v>
      </c>
      <c r="D117" s="100">
        <v>6656.11</v>
      </c>
      <c r="E117" s="100">
        <v>0</v>
      </c>
      <c r="F117" s="100">
        <v>7475.21</v>
      </c>
      <c r="G117" s="100">
        <v>0</v>
      </c>
      <c r="H117" s="100">
        <v>77.31</v>
      </c>
      <c r="I117" s="100">
        <v>0</v>
      </c>
      <c r="J117" s="100">
        <v>896.41</v>
      </c>
      <c r="K117" s="100">
        <v>0</v>
      </c>
      <c r="L117" s="100">
        <v>7552.52</v>
      </c>
    </row>
    <row r="118" spans="1:12" x14ac:dyDescent="0.35">
      <c r="A118" s="98" t="s">
        <v>533</v>
      </c>
      <c r="B118" s="99" t="s">
        <v>534</v>
      </c>
      <c r="C118" s="100">
        <v>0</v>
      </c>
      <c r="D118" s="100">
        <v>-3531.43</v>
      </c>
      <c r="E118" s="100">
        <v>0</v>
      </c>
      <c r="F118" s="100">
        <v>-3851.92</v>
      </c>
      <c r="G118" s="100">
        <v>21.06</v>
      </c>
      <c r="H118" s="100">
        <v>0</v>
      </c>
      <c r="I118" s="100">
        <v>341.55</v>
      </c>
      <c r="J118" s="100">
        <v>0</v>
      </c>
      <c r="K118" s="100">
        <v>0</v>
      </c>
      <c r="L118" s="100">
        <v>-3872.98</v>
      </c>
    </row>
    <row r="119" spans="1:12" x14ac:dyDescent="0.35">
      <c r="A119" s="98" t="s">
        <v>535</v>
      </c>
      <c r="B119" s="99" t="s">
        <v>536</v>
      </c>
      <c r="C119" s="100">
        <v>0</v>
      </c>
      <c r="D119" s="100">
        <v>-1990.84</v>
      </c>
      <c r="E119" s="100">
        <v>0</v>
      </c>
      <c r="F119" s="100">
        <v>-1990.84</v>
      </c>
      <c r="G119" s="100">
        <v>0</v>
      </c>
      <c r="H119" s="100">
        <v>0</v>
      </c>
      <c r="I119" s="100">
        <v>0</v>
      </c>
      <c r="J119" s="100">
        <v>0</v>
      </c>
      <c r="K119" s="100">
        <v>0</v>
      </c>
      <c r="L119" s="100">
        <v>-1990.84</v>
      </c>
    </row>
    <row r="120" spans="1:12" x14ac:dyDescent="0.35">
      <c r="A120" s="98" t="s">
        <v>537</v>
      </c>
      <c r="B120" s="99" t="s">
        <v>538</v>
      </c>
      <c r="C120" s="100">
        <v>0</v>
      </c>
      <c r="D120" s="100">
        <v>-4038.54</v>
      </c>
      <c r="E120" s="100">
        <v>0</v>
      </c>
      <c r="F120" s="100">
        <v>-4038.54</v>
      </c>
      <c r="G120" s="100">
        <v>3244.2</v>
      </c>
      <c r="H120" s="100">
        <v>4038.54</v>
      </c>
      <c r="I120" s="100">
        <v>3244.2</v>
      </c>
      <c r="J120" s="100">
        <v>4038.54</v>
      </c>
      <c r="K120" s="100">
        <v>0</v>
      </c>
      <c r="L120" s="100">
        <v>-3244.2</v>
      </c>
    </row>
    <row r="121" spans="1:12" x14ac:dyDescent="0.35">
      <c r="A121" s="98" t="s">
        <v>539</v>
      </c>
      <c r="B121" s="99" t="s">
        <v>540</v>
      </c>
      <c r="C121" s="100">
        <v>0</v>
      </c>
      <c r="D121" s="100">
        <v>0</v>
      </c>
      <c r="E121" s="100">
        <v>617.04</v>
      </c>
      <c r="F121" s="100">
        <v>0</v>
      </c>
      <c r="G121" s="100">
        <v>38.44</v>
      </c>
      <c r="H121" s="100">
        <v>0</v>
      </c>
      <c r="I121" s="100">
        <v>655.48</v>
      </c>
      <c r="J121" s="100">
        <v>0</v>
      </c>
      <c r="K121" s="100">
        <v>655.48</v>
      </c>
      <c r="L121" s="100">
        <v>0</v>
      </c>
    </row>
    <row r="122" spans="1:12" x14ac:dyDescent="0.35">
      <c r="A122" s="98" t="s">
        <v>541</v>
      </c>
      <c r="B122" s="99" t="s">
        <v>542</v>
      </c>
      <c r="C122" s="100">
        <v>0</v>
      </c>
      <c r="D122" s="100">
        <v>0</v>
      </c>
      <c r="E122" s="100">
        <v>176.49</v>
      </c>
      <c r="F122" s="100">
        <v>0</v>
      </c>
      <c r="G122" s="100">
        <v>7</v>
      </c>
      <c r="H122" s="100">
        <v>0</v>
      </c>
      <c r="I122" s="100">
        <v>183.49</v>
      </c>
      <c r="J122" s="100">
        <v>0</v>
      </c>
      <c r="K122" s="100">
        <v>183.49</v>
      </c>
      <c r="L122" s="100">
        <v>0</v>
      </c>
    </row>
    <row r="123" spans="1:12" x14ac:dyDescent="0.35">
      <c r="A123" s="98" t="s">
        <v>543</v>
      </c>
      <c r="B123" s="99" t="s">
        <v>544</v>
      </c>
      <c r="C123" s="100">
        <v>0</v>
      </c>
      <c r="D123" s="100">
        <v>0</v>
      </c>
      <c r="E123" s="100">
        <v>0</v>
      </c>
      <c r="F123" s="100">
        <v>0</v>
      </c>
      <c r="G123" s="100">
        <v>0</v>
      </c>
      <c r="H123" s="100">
        <v>0</v>
      </c>
      <c r="I123" s="100">
        <v>0</v>
      </c>
      <c r="J123" s="100">
        <v>0</v>
      </c>
      <c r="K123" s="100">
        <v>0</v>
      </c>
      <c r="L123" s="100">
        <v>0</v>
      </c>
    </row>
    <row r="124" spans="1:12" x14ac:dyDescent="0.35">
      <c r="A124" s="98" t="s">
        <v>547</v>
      </c>
      <c r="B124" s="99" t="s">
        <v>548</v>
      </c>
      <c r="C124" s="100">
        <v>0</v>
      </c>
      <c r="D124" s="100">
        <v>0</v>
      </c>
      <c r="E124" s="100">
        <v>580.4</v>
      </c>
      <c r="F124" s="100">
        <v>0</v>
      </c>
      <c r="G124" s="100">
        <v>44.58</v>
      </c>
      <c r="H124" s="100">
        <v>0</v>
      </c>
      <c r="I124" s="100">
        <v>624.98</v>
      </c>
      <c r="J124" s="100">
        <v>0</v>
      </c>
      <c r="K124" s="100">
        <v>624.98</v>
      </c>
      <c r="L124" s="100">
        <v>0</v>
      </c>
    </row>
    <row r="125" spans="1:12" x14ac:dyDescent="0.35">
      <c r="A125" s="98" t="s">
        <v>549</v>
      </c>
      <c r="B125" s="99" t="s">
        <v>550</v>
      </c>
      <c r="C125" s="100">
        <v>0</v>
      </c>
      <c r="D125" s="100">
        <v>0</v>
      </c>
      <c r="E125" s="100">
        <v>4.66</v>
      </c>
      <c r="F125" s="100">
        <v>0</v>
      </c>
      <c r="G125" s="100">
        <v>0</v>
      </c>
      <c r="H125" s="100">
        <v>0</v>
      </c>
      <c r="I125" s="100">
        <v>4.66</v>
      </c>
      <c r="J125" s="100">
        <v>0</v>
      </c>
      <c r="K125" s="100">
        <v>4.66</v>
      </c>
      <c r="L125" s="100">
        <v>0</v>
      </c>
    </row>
    <row r="126" spans="1:12" x14ac:dyDescent="0.35">
      <c r="A126" s="98" t="s">
        <v>551</v>
      </c>
      <c r="B126" s="99" t="s">
        <v>552</v>
      </c>
      <c r="C126" s="100">
        <v>0</v>
      </c>
      <c r="D126" s="100">
        <v>0</v>
      </c>
      <c r="E126" s="100">
        <v>94.52</v>
      </c>
      <c r="F126" s="100">
        <v>0</v>
      </c>
      <c r="G126" s="100">
        <v>0</v>
      </c>
      <c r="H126" s="100">
        <v>0</v>
      </c>
      <c r="I126" s="100">
        <v>94.52</v>
      </c>
      <c r="J126" s="100">
        <v>0</v>
      </c>
      <c r="K126" s="100">
        <v>94.52</v>
      </c>
      <c r="L126" s="100">
        <v>0</v>
      </c>
    </row>
    <row r="127" spans="1:12" x14ac:dyDescent="0.35">
      <c r="A127" s="98" t="s">
        <v>553</v>
      </c>
      <c r="B127" s="99" t="s">
        <v>554</v>
      </c>
      <c r="C127" s="100">
        <v>0</v>
      </c>
      <c r="D127" s="100">
        <v>0</v>
      </c>
      <c r="E127" s="100">
        <v>57.23</v>
      </c>
      <c r="F127" s="100">
        <v>0</v>
      </c>
      <c r="G127" s="100">
        <v>0</v>
      </c>
      <c r="H127" s="100">
        <v>0</v>
      </c>
      <c r="I127" s="100">
        <v>57.23</v>
      </c>
      <c r="J127" s="100">
        <v>0</v>
      </c>
      <c r="K127" s="100">
        <v>57.23</v>
      </c>
      <c r="L127" s="100">
        <v>0</v>
      </c>
    </row>
    <row r="128" spans="1:12" x14ac:dyDescent="0.35">
      <c r="A128" s="98" t="s">
        <v>555</v>
      </c>
      <c r="B128" s="99" t="s">
        <v>556</v>
      </c>
      <c r="C128" s="100">
        <v>0</v>
      </c>
      <c r="D128" s="100">
        <v>0</v>
      </c>
      <c r="E128" s="100">
        <v>158.03</v>
      </c>
      <c r="F128" s="100">
        <v>0</v>
      </c>
      <c r="G128" s="100">
        <v>91.06</v>
      </c>
      <c r="H128" s="100">
        <v>0</v>
      </c>
      <c r="I128" s="100">
        <v>249.09</v>
      </c>
      <c r="J128" s="100">
        <v>0</v>
      </c>
      <c r="K128" s="100">
        <v>249.09</v>
      </c>
      <c r="L128" s="100">
        <v>0</v>
      </c>
    </row>
    <row r="129" spans="1:12" x14ac:dyDescent="0.35">
      <c r="A129" s="98" t="s">
        <v>557</v>
      </c>
      <c r="B129" s="99" t="s">
        <v>558</v>
      </c>
      <c r="C129" s="100">
        <v>0</v>
      </c>
      <c r="D129" s="100">
        <v>0</v>
      </c>
      <c r="E129" s="100">
        <v>235.33</v>
      </c>
      <c r="F129" s="100">
        <v>0</v>
      </c>
      <c r="G129" s="100">
        <v>34.43</v>
      </c>
      <c r="H129" s="100">
        <v>0</v>
      </c>
      <c r="I129" s="100">
        <v>269.76</v>
      </c>
      <c r="J129" s="100">
        <v>0</v>
      </c>
      <c r="K129" s="100">
        <v>269.76</v>
      </c>
      <c r="L129" s="100">
        <v>0</v>
      </c>
    </row>
    <row r="130" spans="1:12" x14ac:dyDescent="0.35">
      <c r="A130" s="98" t="s">
        <v>559</v>
      </c>
      <c r="B130" s="99" t="s">
        <v>560</v>
      </c>
      <c r="C130" s="100">
        <v>0</v>
      </c>
      <c r="D130" s="100">
        <v>0</v>
      </c>
      <c r="E130" s="100">
        <v>6592.59</v>
      </c>
      <c r="F130" s="100">
        <v>0</v>
      </c>
      <c r="G130" s="100">
        <v>688.55</v>
      </c>
      <c r="H130" s="100">
        <v>0</v>
      </c>
      <c r="I130" s="100">
        <v>7281.14</v>
      </c>
      <c r="J130" s="100">
        <v>0</v>
      </c>
      <c r="K130" s="100">
        <v>7281.14</v>
      </c>
      <c r="L130" s="100">
        <v>0</v>
      </c>
    </row>
    <row r="131" spans="1:12" x14ac:dyDescent="0.35">
      <c r="A131" s="98" t="s">
        <v>561</v>
      </c>
      <c r="B131" s="99" t="s">
        <v>562</v>
      </c>
      <c r="C131" s="100">
        <v>0</v>
      </c>
      <c r="D131" s="100">
        <v>0</v>
      </c>
      <c r="E131" s="100">
        <v>140.21</v>
      </c>
      <c r="F131" s="100">
        <v>0</v>
      </c>
      <c r="G131" s="100">
        <v>21</v>
      </c>
      <c r="H131" s="100">
        <v>0</v>
      </c>
      <c r="I131" s="100">
        <v>161.21</v>
      </c>
      <c r="J131" s="100">
        <v>0</v>
      </c>
      <c r="K131" s="100">
        <v>161.21</v>
      </c>
      <c r="L131" s="100">
        <v>0</v>
      </c>
    </row>
    <row r="132" spans="1:12" x14ac:dyDescent="0.35">
      <c r="A132" s="98" t="s">
        <v>563</v>
      </c>
      <c r="B132" s="99" t="s">
        <v>564</v>
      </c>
      <c r="C132" s="100">
        <v>0</v>
      </c>
      <c r="D132" s="100">
        <v>0</v>
      </c>
      <c r="E132" s="100">
        <v>676609.86</v>
      </c>
      <c r="F132" s="100">
        <v>0</v>
      </c>
      <c r="G132" s="100">
        <v>76809.990000000005</v>
      </c>
      <c r="H132" s="100">
        <v>106.12</v>
      </c>
      <c r="I132" s="100">
        <v>754633.77</v>
      </c>
      <c r="J132" s="100">
        <v>1320.04</v>
      </c>
      <c r="K132" s="100">
        <v>753313.73</v>
      </c>
      <c r="L132" s="100">
        <v>0</v>
      </c>
    </row>
    <row r="133" spans="1:12" x14ac:dyDescent="0.35">
      <c r="A133" s="98" t="s">
        <v>565</v>
      </c>
      <c r="B133" s="99" t="s">
        <v>566</v>
      </c>
      <c r="C133" s="100">
        <v>0</v>
      </c>
      <c r="D133" s="100">
        <v>0</v>
      </c>
      <c r="E133" s="100">
        <v>530401.18999999994</v>
      </c>
      <c r="F133" s="100">
        <v>0</v>
      </c>
      <c r="G133" s="100">
        <v>73761.69</v>
      </c>
      <c r="H133" s="100">
        <v>0</v>
      </c>
      <c r="I133" s="100">
        <v>604162.88</v>
      </c>
      <c r="J133" s="100">
        <v>0</v>
      </c>
      <c r="K133" s="100">
        <v>604162.88</v>
      </c>
      <c r="L133" s="100">
        <v>0</v>
      </c>
    </row>
    <row r="134" spans="1:12" x14ac:dyDescent="0.35">
      <c r="A134" s="98" t="s">
        <v>567</v>
      </c>
      <c r="B134" s="99" t="s">
        <v>568</v>
      </c>
      <c r="C134" s="100">
        <v>0</v>
      </c>
      <c r="D134" s="100">
        <v>0</v>
      </c>
      <c r="E134" s="100">
        <v>119286.93</v>
      </c>
      <c r="F134" s="100">
        <v>0</v>
      </c>
      <c r="G134" s="100">
        <v>15165.54</v>
      </c>
      <c r="H134" s="100">
        <v>0</v>
      </c>
      <c r="I134" s="100">
        <v>134452.47</v>
      </c>
      <c r="J134" s="100">
        <v>0</v>
      </c>
      <c r="K134" s="100">
        <v>134452.47</v>
      </c>
      <c r="L134" s="100">
        <v>0</v>
      </c>
    </row>
    <row r="135" spans="1:12" x14ac:dyDescent="0.35">
      <c r="A135" s="98" t="s">
        <v>569</v>
      </c>
      <c r="B135" s="99" t="s">
        <v>570</v>
      </c>
      <c r="C135" s="100">
        <v>0</v>
      </c>
      <c r="D135" s="100">
        <v>0</v>
      </c>
      <c r="E135" s="100">
        <v>5907.83</v>
      </c>
      <c r="F135" s="100">
        <v>0</v>
      </c>
      <c r="G135" s="100">
        <v>34.479999999999997</v>
      </c>
      <c r="H135" s="100">
        <v>0</v>
      </c>
      <c r="I135" s="100">
        <v>5942.31</v>
      </c>
      <c r="J135" s="100">
        <v>0</v>
      </c>
      <c r="K135" s="100">
        <v>5942.31</v>
      </c>
      <c r="L135" s="100">
        <v>0</v>
      </c>
    </row>
    <row r="136" spans="1:12" x14ac:dyDescent="0.35">
      <c r="A136" s="98" t="s">
        <v>573</v>
      </c>
      <c r="B136" s="99" t="s">
        <v>574</v>
      </c>
      <c r="C136" s="100">
        <v>0</v>
      </c>
      <c r="D136" s="100">
        <v>0</v>
      </c>
      <c r="E136" s="100">
        <v>7300.2</v>
      </c>
      <c r="F136" s="100">
        <v>0</v>
      </c>
      <c r="G136" s="100">
        <v>50.74</v>
      </c>
      <c r="H136" s="100">
        <v>0</v>
      </c>
      <c r="I136" s="100">
        <v>7350.94</v>
      </c>
      <c r="J136" s="100">
        <v>0</v>
      </c>
      <c r="K136" s="100">
        <v>7350.94</v>
      </c>
      <c r="L136" s="100">
        <v>0</v>
      </c>
    </row>
    <row r="137" spans="1:12" x14ac:dyDescent="0.35">
      <c r="A137" s="98" t="s">
        <v>575</v>
      </c>
      <c r="B137" s="99" t="s">
        <v>576</v>
      </c>
      <c r="C137" s="100">
        <v>0</v>
      </c>
      <c r="D137" s="100">
        <v>0</v>
      </c>
      <c r="E137" s="100">
        <v>2872.17</v>
      </c>
      <c r="F137" s="100">
        <v>0</v>
      </c>
      <c r="G137" s="100">
        <v>307.05</v>
      </c>
      <c r="H137" s="100">
        <v>0</v>
      </c>
      <c r="I137" s="100">
        <v>3179.22</v>
      </c>
      <c r="J137" s="100">
        <v>0</v>
      </c>
      <c r="K137" s="100">
        <v>3179.22</v>
      </c>
      <c r="L137" s="100">
        <v>0</v>
      </c>
    </row>
    <row r="138" spans="1:12" x14ac:dyDescent="0.35">
      <c r="A138" s="98" t="s">
        <v>577</v>
      </c>
      <c r="B138" s="99" t="s">
        <v>578</v>
      </c>
      <c r="C138" s="100">
        <v>0</v>
      </c>
      <c r="D138" s="100">
        <v>0</v>
      </c>
      <c r="E138" s="100">
        <v>20.85</v>
      </c>
      <c r="F138" s="100">
        <v>0</v>
      </c>
      <c r="G138" s="100">
        <v>3</v>
      </c>
      <c r="H138" s="100">
        <v>0</v>
      </c>
      <c r="I138" s="100">
        <v>23.85</v>
      </c>
      <c r="J138" s="100">
        <v>0</v>
      </c>
      <c r="K138" s="100">
        <v>23.85</v>
      </c>
      <c r="L138" s="100">
        <v>0</v>
      </c>
    </row>
    <row r="139" spans="1:12" x14ac:dyDescent="0.35">
      <c r="A139" s="98" t="s">
        <v>579</v>
      </c>
      <c r="B139" s="99" t="s">
        <v>580</v>
      </c>
      <c r="C139" s="100">
        <v>0</v>
      </c>
      <c r="D139" s="100">
        <v>0</v>
      </c>
      <c r="E139" s="100">
        <v>11.54</v>
      </c>
      <c r="F139" s="100">
        <v>0</v>
      </c>
      <c r="G139" s="100">
        <v>0</v>
      </c>
      <c r="H139" s="100">
        <v>0</v>
      </c>
      <c r="I139" s="100">
        <v>11.54</v>
      </c>
      <c r="J139" s="100">
        <v>0</v>
      </c>
      <c r="K139" s="100">
        <v>11.54</v>
      </c>
      <c r="L139" s="100">
        <v>0</v>
      </c>
    </row>
    <row r="140" spans="1:12" x14ac:dyDescent="0.35">
      <c r="A140" s="98" t="s">
        <v>581</v>
      </c>
      <c r="B140" s="99" t="s">
        <v>582</v>
      </c>
      <c r="C140" s="100">
        <v>0</v>
      </c>
      <c r="D140" s="100">
        <v>0</v>
      </c>
      <c r="E140" s="100">
        <v>-18739.009999999998</v>
      </c>
      <c r="F140" s="100">
        <v>0</v>
      </c>
      <c r="G140" s="100">
        <v>-2154.3000000000002</v>
      </c>
      <c r="H140" s="100">
        <v>0</v>
      </c>
      <c r="I140" s="100">
        <v>-20893.310000000001</v>
      </c>
      <c r="J140" s="100">
        <v>0</v>
      </c>
      <c r="K140" s="100">
        <v>-20893.310000000001</v>
      </c>
      <c r="L140" s="100">
        <v>0</v>
      </c>
    </row>
    <row r="141" spans="1:12" x14ac:dyDescent="0.35">
      <c r="A141" s="98" t="s">
        <v>583</v>
      </c>
      <c r="B141" s="99" t="s">
        <v>584</v>
      </c>
      <c r="C141" s="100">
        <v>0</v>
      </c>
      <c r="D141" s="100">
        <v>0</v>
      </c>
      <c r="E141" s="100">
        <v>-15987.26</v>
      </c>
      <c r="F141" s="100">
        <v>0</v>
      </c>
      <c r="G141" s="100">
        <v>-1318.37</v>
      </c>
      <c r="H141" s="100">
        <v>0</v>
      </c>
      <c r="I141" s="100">
        <v>-17305.63</v>
      </c>
      <c r="J141" s="100">
        <v>0</v>
      </c>
      <c r="K141" s="100">
        <v>-17305.63</v>
      </c>
      <c r="L141" s="100">
        <v>0</v>
      </c>
    </row>
    <row r="142" spans="1:12" x14ac:dyDescent="0.35">
      <c r="A142" s="98" t="s">
        <v>585</v>
      </c>
      <c r="B142" s="99" t="s">
        <v>586</v>
      </c>
      <c r="C142" s="100">
        <v>0</v>
      </c>
      <c r="D142" s="100">
        <v>0</v>
      </c>
      <c r="E142" s="100">
        <v>-7851.23</v>
      </c>
      <c r="F142" s="100">
        <v>0</v>
      </c>
      <c r="G142" s="100">
        <v>-567.25</v>
      </c>
      <c r="H142" s="100">
        <v>0</v>
      </c>
      <c r="I142" s="100">
        <v>-8418.48</v>
      </c>
      <c r="J142" s="100">
        <v>0</v>
      </c>
      <c r="K142" s="100">
        <v>-8418.48</v>
      </c>
      <c r="L142" s="100">
        <v>0</v>
      </c>
    </row>
    <row r="143" spans="1:12" x14ac:dyDescent="0.35">
      <c r="A143" s="98" t="s">
        <v>587</v>
      </c>
      <c r="B143" s="99" t="s">
        <v>588</v>
      </c>
      <c r="C143" s="100">
        <v>0</v>
      </c>
      <c r="D143" s="100">
        <v>0</v>
      </c>
      <c r="E143" s="100">
        <v>-4666.2299999999996</v>
      </c>
      <c r="F143" s="100">
        <v>0</v>
      </c>
      <c r="G143" s="100">
        <v>-382.68</v>
      </c>
      <c r="H143" s="100">
        <v>0</v>
      </c>
      <c r="I143" s="100">
        <v>-5048.91</v>
      </c>
      <c r="J143" s="100">
        <v>0</v>
      </c>
      <c r="K143" s="100">
        <v>-5048.91</v>
      </c>
      <c r="L143" s="100">
        <v>0</v>
      </c>
    </row>
    <row r="144" spans="1:12" x14ac:dyDescent="0.35">
      <c r="A144" s="98" t="s">
        <v>589</v>
      </c>
      <c r="B144" s="99" t="s">
        <v>590</v>
      </c>
      <c r="C144" s="100">
        <v>0</v>
      </c>
      <c r="D144" s="100">
        <v>0</v>
      </c>
      <c r="E144" s="100">
        <v>0</v>
      </c>
      <c r="F144" s="100">
        <v>0</v>
      </c>
      <c r="G144" s="100">
        <v>0.6</v>
      </c>
      <c r="H144" s="100">
        <v>0</v>
      </c>
      <c r="I144" s="100">
        <v>0.6</v>
      </c>
      <c r="J144" s="100">
        <v>0</v>
      </c>
      <c r="K144" s="100">
        <v>0.6</v>
      </c>
      <c r="L144" s="100">
        <v>0</v>
      </c>
    </row>
    <row r="145" spans="1:12" x14ac:dyDescent="0.35">
      <c r="A145" s="98" t="s">
        <v>591</v>
      </c>
      <c r="B145" s="99" t="s">
        <v>592</v>
      </c>
      <c r="C145" s="100">
        <v>0</v>
      </c>
      <c r="D145" s="100">
        <v>0</v>
      </c>
      <c r="E145" s="100">
        <v>0</v>
      </c>
      <c r="F145" s="100">
        <v>0</v>
      </c>
      <c r="G145" s="100">
        <v>2.5299999999999998</v>
      </c>
      <c r="H145" s="100">
        <v>0</v>
      </c>
      <c r="I145" s="100">
        <v>2.5299999999999998</v>
      </c>
      <c r="J145" s="100">
        <v>0</v>
      </c>
      <c r="K145" s="100">
        <v>2.5299999999999998</v>
      </c>
      <c r="L145" s="100">
        <v>0</v>
      </c>
    </row>
    <row r="146" spans="1:12" x14ac:dyDescent="0.35">
      <c r="A146" s="98" t="s">
        <v>593</v>
      </c>
      <c r="B146" s="99" t="s">
        <v>594</v>
      </c>
      <c r="C146" s="100">
        <v>0</v>
      </c>
      <c r="D146" s="100">
        <v>0</v>
      </c>
      <c r="E146" s="100">
        <v>-2062.1999999999998</v>
      </c>
      <c r="F146" s="100">
        <v>0</v>
      </c>
      <c r="G146" s="100">
        <v>-684.53</v>
      </c>
      <c r="H146" s="100">
        <v>0</v>
      </c>
      <c r="I146" s="100">
        <v>-2746.73</v>
      </c>
      <c r="J146" s="100">
        <v>0</v>
      </c>
      <c r="K146" s="100">
        <v>-2746.73</v>
      </c>
      <c r="L146" s="100">
        <v>0</v>
      </c>
    </row>
    <row r="147" spans="1:12" x14ac:dyDescent="0.35">
      <c r="A147" s="98" t="s">
        <v>595</v>
      </c>
      <c r="B147" s="99" t="s">
        <v>596</v>
      </c>
      <c r="C147" s="100">
        <v>0</v>
      </c>
      <c r="D147" s="100">
        <v>0</v>
      </c>
      <c r="E147" s="100">
        <v>-2096.6999999999998</v>
      </c>
      <c r="F147" s="100">
        <v>0</v>
      </c>
      <c r="G147" s="100">
        <v>-339.22</v>
      </c>
      <c r="H147" s="100">
        <v>0</v>
      </c>
      <c r="I147" s="100">
        <v>-2435.92</v>
      </c>
      <c r="J147" s="100">
        <v>0</v>
      </c>
      <c r="K147" s="100">
        <v>-2435.92</v>
      </c>
      <c r="L147" s="100">
        <v>0</v>
      </c>
    </row>
    <row r="148" spans="1:12" x14ac:dyDescent="0.35">
      <c r="A148" s="98" t="s">
        <v>597</v>
      </c>
      <c r="B148" s="99" t="s">
        <v>598</v>
      </c>
      <c r="C148" s="100">
        <v>0</v>
      </c>
      <c r="D148" s="100">
        <v>0</v>
      </c>
      <c r="E148" s="100">
        <v>-2013.93</v>
      </c>
      <c r="F148" s="100">
        <v>0</v>
      </c>
      <c r="G148" s="100">
        <v>-185.27</v>
      </c>
      <c r="H148" s="100">
        <v>0</v>
      </c>
      <c r="I148" s="100">
        <v>-2199.1999999999998</v>
      </c>
      <c r="J148" s="100">
        <v>0</v>
      </c>
      <c r="K148" s="100">
        <v>-2199.1999999999998</v>
      </c>
      <c r="L148" s="100">
        <v>0</v>
      </c>
    </row>
    <row r="149" spans="1:12" x14ac:dyDescent="0.35">
      <c r="A149" s="98" t="s">
        <v>599</v>
      </c>
      <c r="B149" s="99" t="s">
        <v>600</v>
      </c>
      <c r="C149" s="100">
        <v>0</v>
      </c>
      <c r="D149" s="100">
        <v>0</v>
      </c>
      <c r="E149" s="100">
        <v>-342.35</v>
      </c>
      <c r="F149" s="100">
        <v>0</v>
      </c>
      <c r="G149" s="100">
        <v>-3.05</v>
      </c>
      <c r="H149" s="100">
        <v>0</v>
      </c>
      <c r="I149" s="100">
        <v>-345.4</v>
      </c>
      <c r="J149" s="100">
        <v>0</v>
      </c>
      <c r="K149" s="100">
        <v>-345.4</v>
      </c>
      <c r="L149" s="100">
        <v>0</v>
      </c>
    </row>
    <row r="150" spans="1:12" x14ac:dyDescent="0.35">
      <c r="A150" s="98" t="s">
        <v>601</v>
      </c>
      <c r="B150" s="99" t="s">
        <v>602</v>
      </c>
      <c r="C150" s="100">
        <v>0</v>
      </c>
      <c r="D150" s="100">
        <v>0</v>
      </c>
      <c r="E150" s="100">
        <v>-15.17</v>
      </c>
      <c r="F150" s="100">
        <v>0</v>
      </c>
      <c r="G150" s="100">
        <v>0</v>
      </c>
      <c r="H150" s="100">
        <v>0</v>
      </c>
      <c r="I150" s="100">
        <v>-15.17</v>
      </c>
      <c r="J150" s="100">
        <v>0</v>
      </c>
      <c r="K150" s="100">
        <v>-15.17</v>
      </c>
      <c r="L150" s="100">
        <v>0</v>
      </c>
    </row>
    <row r="151" spans="1:12" x14ac:dyDescent="0.35">
      <c r="A151" s="98" t="s">
        <v>603</v>
      </c>
      <c r="B151" s="99" t="s">
        <v>604</v>
      </c>
      <c r="C151" s="100">
        <v>0</v>
      </c>
      <c r="D151" s="100">
        <v>0</v>
      </c>
      <c r="E151" s="100">
        <v>-1744.19</v>
      </c>
      <c r="F151" s="100">
        <v>0</v>
      </c>
      <c r="G151" s="100">
        <v>-184.74</v>
      </c>
      <c r="H151" s="100">
        <v>0</v>
      </c>
      <c r="I151" s="100">
        <v>-1928.93</v>
      </c>
      <c r="J151" s="100">
        <v>0</v>
      </c>
      <c r="K151" s="100">
        <v>-1928.93</v>
      </c>
      <c r="L151" s="100">
        <v>0</v>
      </c>
    </row>
    <row r="152" spans="1:12" x14ac:dyDescent="0.35">
      <c r="A152" s="98" t="s">
        <v>605</v>
      </c>
      <c r="B152" s="99" t="s">
        <v>606</v>
      </c>
      <c r="C152" s="100">
        <v>0</v>
      </c>
      <c r="D152" s="100">
        <v>0</v>
      </c>
      <c r="E152" s="100">
        <v>-88638.67</v>
      </c>
      <c r="F152" s="100">
        <v>0</v>
      </c>
      <c r="G152" s="100">
        <v>-6977.09</v>
      </c>
      <c r="H152" s="100">
        <v>0</v>
      </c>
      <c r="I152" s="100">
        <v>-95615.76</v>
      </c>
      <c r="J152" s="100">
        <v>0</v>
      </c>
      <c r="K152" s="100">
        <v>-95615.76</v>
      </c>
      <c r="L152" s="100">
        <v>0</v>
      </c>
    </row>
    <row r="153" spans="1:12" x14ac:dyDescent="0.35">
      <c r="A153" s="98" t="s">
        <v>607</v>
      </c>
      <c r="B153" s="99" t="s">
        <v>608</v>
      </c>
      <c r="C153" s="100">
        <v>0</v>
      </c>
      <c r="D153" s="100">
        <v>0</v>
      </c>
      <c r="E153" s="100">
        <v>-20996.51</v>
      </c>
      <c r="F153" s="100">
        <v>0</v>
      </c>
      <c r="G153" s="100">
        <v>-507.16</v>
      </c>
      <c r="H153" s="100">
        <v>0</v>
      </c>
      <c r="I153" s="100">
        <v>-21503.67</v>
      </c>
      <c r="J153" s="100">
        <v>0</v>
      </c>
      <c r="K153" s="100">
        <v>-21503.67</v>
      </c>
      <c r="L153" s="100">
        <v>0</v>
      </c>
    </row>
    <row r="154" spans="1:12" x14ac:dyDescent="0.35">
      <c r="A154" s="98" t="s">
        <v>609</v>
      </c>
      <c r="B154" s="99" t="s">
        <v>610</v>
      </c>
      <c r="C154" s="100">
        <v>0</v>
      </c>
      <c r="D154" s="100">
        <v>0</v>
      </c>
      <c r="E154" s="100">
        <v>-1319.02</v>
      </c>
      <c r="F154" s="100">
        <v>0</v>
      </c>
      <c r="G154" s="100">
        <v>-115.27</v>
      </c>
      <c r="H154" s="100">
        <v>0</v>
      </c>
      <c r="I154" s="100">
        <v>-1434.29</v>
      </c>
      <c r="J154" s="100">
        <v>0</v>
      </c>
      <c r="K154" s="100">
        <v>-1434.29</v>
      </c>
      <c r="L154" s="100">
        <v>0</v>
      </c>
    </row>
    <row r="155" spans="1:12" x14ac:dyDescent="0.35">
      <c r="A155" s="98" t="s">
        <v>611</v>
      </c>
      <c r="B155" s="99" t="s">
        <v>612</v>
      </c>
      <c r="C155" s="100">
        <v>0</v>
      </c>
      <c r="D155" s="100">
        <v>0</v>
      </c>
      <c r="E155" s="100">
        <v>-31094.73</v>
      </c>
      <c r="F155" s="100">
        <v>0</v>
      </c>
      <c r="G155" s="100">
        <v>352.69</v>
      </c>
      <c r="H155" s="100">
        <v>0</v>
      </c>
      <c r="I155" s="100">
        <v>-30742.04</v>
      </c>
      <c r="J155" s="100">
        <v>0</v>
      </c>
      <c r="K155" s="100">
        <v>-30742.04</v>
      </c>
      <c r="L155" s="100">
        <v>0</v>
      </c>
    </row>
    <row r="156" spans="1:12" x14ac:dyDescent="0.35">
      <c r="A156" s="98" t="s">
        <v>613</v>
      </c>
      <c r="B156" s="99" t="s">
        <v>614</v>
      </c>
      <c r="C156" s="100">
        <v>0</v>
      </c>
      <c r="D156" s="100">
        <v>0</v>
      </c>
      <c r="E156" s="100">
        <v>-395.19</v>
      </c>
      <c r="F156" s="100">
        <v>0</v>
      </c>
      <c r="G156" s="100">
        <v>22.23</v>
      </c>
      <c r="H156" s="100">
        <v>0</v>
      </c>
      <c r="I156" s="100">
        <v>-372.96</v>
      </c>
      <c r="J156" s="100">
        <v>0</v>
      </c>
      <c r="K156" s="100">
        <v>-372.96</v>
      </c>
      <c r="L156" s="100">
        <v>0</v>
      </c>
    </row>
    <row r="157" spans="1:12" x14ac:dyDescent="0.35">
      <c r="A157" s="98" t="s">
        <v>615</v>
      </c>
      <c r="B157" s="99" t="s">
        <v>616</v>
      </c>
      <c r="C157" s="100">
        <v>0</v>
      </c>
      <c r="D157" s="100">
        <v>0</v>
      </c>
      <c r="E157" s="100">
        <v>-907.94</v>
      </c>
      <c r="F157" s="100">
        <v>0</v>
      </c>
      <c r="G157" s="100">
        <v>-82.79</v>
      </c>
      <c r="H157" s="100">
        <v>0</v>
      </c>
      <c r="I157" s="100">
        <v>-990.73</v>
      </c>
      <c r="J157" s="100">
        <v>0</v>
      </c>
      <c r="K157" s="100">
        <v>-990.73</v>
      </c>
      <c r="L157" s="100">
        <v>0</v>
      </c>
    </row>
    <row r="158" spans="1:12" x14ac:dyDescent="0.35">
      <c r="A158" s="98" t="s">
        <v>619</v>
      </c>
      <c r="B158" s="99" t="s">
        <v>620</v>
      </c>
      <c r="C158" s="100">
        <v>0</v>
      </c>
      <c r="D158" s="100">
        <v>0</v>
      </c>
      <c r="E158" s="100">
        <v>28.08</v>
      </c>
      <c r="F158" s="100">
        <v>0</v>
      </c>
      <c r="G158" s="100">
        <v>0</v>
      </c>
      <c r="H158" s="100">
        <v>0</v>
      </c>
      <c r="I158" s="100">
        <v>28.08</v>
      </c>
      <c r="J158" s="100">
        <v>0</v>
      </c>
      <c r="K158" s="100">
        <v>28.08</v>
      </c>
      <c r="L158" s="100">
        <v>0</v>
      </c>
    </row>
    <row r="159" spans="1:12" x14ac:dyDescent="0.35">
      <c r="A159" s="98" t="s">
        <v>623</v>
      </c>
      <c r="B159" s="99" t="s">
        <v>624</v>
      </c>
      <c r="C159" s="100">
        <v>0</v>
      </c>
      <c r="D159" s="100">
        <v>0</v>
      </c>
      <c r="E159" s="100">
        <v>-117.73</v>
      </c>
      <c r="F159" s="100">
        <v>0</v>
      </c>
      <c r="G159" s="100">
        <v>261.99</v>
      </c>
      <c r="H159" s="100">
        <v>276.70999999999998</v>
      </c>
      <c r="I159" s="100">
        <v>3945.92</v>
      </c>
      <c r="J159" s="100">
        <v>4078.37</v>
      </c>
      <c r="K159" s="100">
        <v>-132.44999999999999</v>
      </c>
      <c r="L159" s="100">
        <v>0</v>
      </c>
    </row>
    <row r="160" spans="1:12" x14ac:dyDescent="0.35">
      <c r="A160" s="98" t="s">
        <v>625</v>
      </c>
      <c r="B160" s="99" t="s">
        <v>626</v>
      </c>
      <c r="C160" s="100">
        <v>0</v>
      </c>
      <c r="D160" s="100">
        <v>0</v>
      </c>
      <c r="E160" s="100">
        <v>443.7</v>
      </c>
      <c r="F160" s="100">
        <v>0</v>
      </c>
      <c r="G160" s="100">
        <v>-318.8</v>
      </c>
      <c r="H160" s="100">
        <v>0</v>
      </c>
      <c r="I160" s="100">
        <v>124.9</v>
      </c>
      <c r="J160" s="100">
        <v>0</v>
      </c>
      <c r="K160" s="100">
        <v>124.9</v>
      </c>
      <c r="L160" s="100">
        <v>0</v>
      </c>
    </row>
    <row r="161" spans="1:12" x14ac:dyDescent="0.35">
      <c r="A161" s="98" t="s">
        <v>627</v>
      </c>
      <c r="B161" s="99" t="s">
        <v>628</v>
      </c>
      <c r="C161" s="100">
        <v>0</v>
      </c>
      <c r="D161" s="100">
        <v>0</v>
      </c>
      <c r="E161" s="100">
        <v>-556.72</v>
      </c>
      <c r="F161" s="100">
        <v>0</v>
      </c>
      <c r="G161" s="100">
        <v>187.58</v>
      </c>
      <c r="H161" s="100">
        <v>0</v>
      </c>
      <c r="I161" s="100">
        <v>-369.14</v>
      </c>
      <c r="J161" s="100">
        <v>0</v>
      </c>
      <c r="K161" s="100">
        <v>-369.14</v>
      </c>
      <c r="L161" s="100">
        <v>0</v>
      </c>
    </row>
    <row r="162" spans="1:12" x14ac:dyDescent="0.35">
      <c r="A162" s="98" t="s">
        <v>629</v>
      </c>
      <c r="B162" s="99" t="s">
        <v>630</v>
      </c>
      <c r="C162" s="100">
        <v>0</v>
      </c>
      <c r="D162" s="100">
        <v>0</v>
      </c>
      <c r="E162" s="100">
        <v>-1.31</v>
      </c>
      <c r="F162" s="100">
        <v>0</v>
      </c>
      <c r="G162" s="100">
        <v>4.5</v>
      </c>
      <c r="H162" s="100">
        <v>0</v>
      </c>
      <c r="I162" s="100">
        <v>3.19</v>
      </c>
      <c r="J162" s="100">
        <v>0</v>
      </c>
      <c r="K162" s="100">
        <v>3.19</v>
      </c>
      <c r="L162" s="100">
        <v>0</v>
      </c>
    </row>
    <row r="163" spans="1:12" x14ac:dyDescent="0.35">
      <c r="A163" s="98" t="s">
        <v>631</v>
      </c>
      <c r="B163" s="99" t="s">
        <v>632</v>
      </c>
      <c r="C163" s="100">
        <v>0</v>
      </c>
      <c r="D163" s="100">
        <v>0</v>
      </c>
      <c r="E163" s="100">
        <v>-12.1</v>
      </c>
      <c r="F163" s="100">
        <v>0</v>
      </c>
      <c r="G163" s="100">
        <v>2.76</v>
      </c>
      <c r="H163" s="100">
        <v>0</v>
      </c>
      <c r="I163" s="100">
        <v>-9.34</v>
      </c>
      <c r="J163" s="100">
        <v>0</v>
      </c>
      <c r="K163" s="100">
        <v>-9.34</v>
      </c>
      <c r="L163" s="100">
        <v>0</v>
      </c>
    </row>
    <row r="164" spans="1:12" x14ac:dyDescent="0.35">
      <c r="A164" s="98" t="s">
        <v>633</v>
      </c>
      <c r="B164" s="99" t="s">
        <v>634</v>
      </c>
      <c r="C164" s="100">
        <v>0</v>
      </c>
      <c r="D164" s="100">
        <v>0</v>
      </c>
      <c r="E164" s="100">
        <v>-613.91</v>
      </c>
      <c r="F164" s="100">
        <v>0</v>
      </c>
      <c r="G164" s="100">
        <v>19.82</v>
      </c>
      <c r="H164" s="100">
        <v>0</v>
      </c>
      <c r="I164" s="100">
        <v>-594.09</v>
      </c>
      <c r="J164" s="100">
        <v>0</v>
      </c>
      <c r="K164" s="100">
        <v>-594.09</v>
      </c>
      <c r="L164" s="100">
        <v>0</v>
      </c>
    </row>
    <row r="165" spans="1:12" x14ac:dyDescent="0.35">
      <c r="A165" s="98" t="s">
        <v>635</v>
      </c>
      <c r="B165" s="99" t="s">
        <v>636</v>
      </c>
      <c r="C165" s="100">
        <v>0</v>
      </c>
      <c r="D165" s="100">
        <v>0</v>
      </c>
      <c r="E165" s="100">
        <v>-75.78</v>
      </c>
      <c r="F165" s="100">
        <v>0</v>
      </c>
      <c r="G165" s="100">
        <v>289.89999999999998</v>
      </c>
      <c r="H165" s="100">
        <v>0</v>
      </c>
      <c r="I165" s="100">
        <v>214.12</v>
      </c>
      <c r="J165" s="100">
        <v>0</v>
      </c>
      <c r="K165" s="100">
        <v>214.12</v>
      </c>
      <c r="L165" s="100">
        <v>0</v>
      </c>
    </row>
    <row r="166" spans="1:12" x14ac:dyDescent="0.35">
      <c r="A166" s="98" t="s">
        <v>637</v>
      </c>
      <c r="B166" s="99" t="s">
        <v>638</v>
      </c>
      <c r="C166" s="100">
        <v>0</v>
      </c>
      <c r="D166" s="100">
        <v>0</v>
      </c>
      <c r="E166" s="100">
        <v>15.83</v>
      </c>
      <c r="F166" s="100">
        <v>0</v>
      </c>
      <c r="G166" s="100">
        <v>-38.520000000000003</v>
      </c>
      <c r="H166" s="100">
        <v>0</v>
      </c>
      <c r="I166" s="100">
        <v>-22.69</v>
      </c>
      <c r="J166" s="100">
        <v>0</v>
      </c>
      <c r="K166" s="100">
        <v>-22.69</v>
      </c>
      <c r="L166" s="100">
        <v>0</v>
      </c>
    </row>
    <row r="167" spans="1:12" x14ac:dyDescent="0.35">
      <c r="A167" s="98" t="s">
        <v>639</v>
      </c>
      <c r="B167" s="99" t="s">
        <v>640</v>
      </c>
      <c r="C167" s="100">
        <v>0</v>
      </c>
      <c r="D167" s="100">
        <v>0</v>
      </c>
      <c r="E167" s="100">
        <v>0.88</v>
      </c>
      <c r="F167" s="100">
        <v>0</v>
      </c>
      <c r="G167" s="100">
        <v>-14.73</v>
      </c>
      <c r="H167" s="100">
        <v>0</v>
      </c>
      <c r="I167" s="100">
        <v>-13.85</v>
      </c>
      <c r="J167" s="100">
        <v>0</v>
      </c>
      <c r="K167" s="100">
        <v>-13.85</v>
      </c>
      <c r="L167" s="100">
        <v>0</v>
      </c>
    </row>
    <row r="168" spans="1:12" x14ac:dyDescent="0.35">
      <c r="A168" s="98" t="s">
        <v>641</v>
      </c>
      <c r="B168" s="99" t="s">
        <v>642</v>
      </c>
      <c r="C168" s="100">
        <v>0</v>
      </c>
      <c r="D168" s="100">
        <v>0</v>
      </c>
      <c r="E168" s="100">
        <v>443.6</v>
      </c>
      <c r="F168" s="100">
        <v>0</v>
      </c>
      <c r="G168" s="100">
        <v>0</v>
      </c>
      <c r="H168" s="100">
        <v>0</v>
      </c>
      <c r="I168" s="100">
        <v>443.6</v>
      </c>
      <c r="J168" s="100">
        <v>0</v>
      </c>
      <c r="K168" s="100">
        <v>443.6</v>
      </c>
      <c r="L168" s="100">
        <v>0</v>
      </c>
    </row>
    <row r="169" spans="1:12" x14ac:dyDescent="0.35">
      <c r="A169" s="98" t="s">
        <v>643</v>
      </c>
      <c r="B169" s="99" t="s">
        <v>644</v>
      </c>
      <c r="C169" s="100">
        <v>0</v>
      </c>
      <c r="D169" s="100">
        <v>0</v>
      </c>
      <c r="E169" s="100">
        <v>280</v>
      </c>
      <c r="F169" s="100">
        <v>0</v>
      </c>
      <c r="G169" s="100">
        <v>0</v>
      </c>
      <c r="H169" s="100">
        <v>0</v>
      </c>
      <c r="I169" s="100">
        <v>280</v>
      </c>
      <c r="J169" s="100">
        <v>0</v>
      </c>
      <c r="K169" s="100">
        <v>280</v>
      </c>
      <c r="L169" s="100">
        <v>0</v>
      </c>
    </row>
    <row r="170" spans="1:12" x14ac:dyDescent="0.35">
      <c r="A170" s="98" t="s">
        <v>645</v>
      </c>
      <c r="B170" s="99" t="s">
        <v>646</v>
      </c>
      <c r="C170" s="100">
        <v>0</v>
      </c>
      <c r="D170" s="100">
        <v>0</v>
      </c>
      <c r="E170" s="100">
        <v>219</v>
      </c>
      <c r="F170" s="100">
        <v>0</v>
      </c>
      <c r="G170" s="100">
        <v>265</v>
      </c>
      <c r="H170" s="100">
        <v>0</v>
      </c>
      <c r="I170" s="100">
        <v>484</v>
      </c>
      <c r="J170" s="100">
        <v>0</v>
      </c>
      <c r="K170" s="100">
        <v>484</v>
      </c>
      <c r="L170" s="100">
        <v>0</v>
      </c>
    </row>
    <row r="171" spans="1:12" x14ac:dyDescent="0.35">
      <c r="A171" s="98" t="s">
        <v>647</v>
      </c>
      <c r="B171" s="99" t="s">
        <v>648</v>
      </c>
      <c r="C171" s="100">
        <v>0</v>
      </c>
      <c r="D171" s="100">
        <v>0</v>
      </c>
      <c r="E171" s="100">
        <v>219.14</v>
      </c>
      <c r="F171" s="100">
        <v>0</v>
      </c>
      <c r="G171" s="100">
        <v>0</v>
      </c>
      <c r="H171" s="100">
        <v>0</v>
      </c>
      <c r="I171" s="100">
        <v>219.14</v>
      </c>
      <c r="J171" s="100">
        <v>0</v>
      </c>
      <c r="K171" s="100">
        <v>219.14</v>
      </c>
      <c r="L171" s="100">
        <v>0</v>
      </c>
    </row>
    <row r="172" spans="1:12" x14ac:dyDescent="0.35">
      <c r="A172" s="98" t="s">
        <v>649</v>
      </c>
      <c r="B172" s="99" t="s">
        <v>650</v>
      </c>
      <c r="C172" s="100">
        <v>0</v>
      </c>
      <c r="D172" s="100">
        <v>0</v>
      </c>
      <c r="E172" s="100">
        <v>0</v>
      </c>
      <c r="F172" s="100">
        <v>0</v>
      </c>
      <c r="G172" s="100">
        <v>0</v>
      </c>
      <c r="H172" s="100">
        <v>0</v>
      </c>
      <c r="I172" s="100">
        <v>0</v>
      </c>
      <c r="J172" s="100">
        <v>0</v>
      </c>
      <c r="K172" s="100">
        <v>0</v>
      </c>
      <c r="L172" s="100">
        <v>0</v>
      </c>
    </row>
    <row r="173" spans="1:12" x14ac:dyDescent="0.35">
      <c r="A173" s="98" t="s">
        <v>651</v>
      </c>
      <c r="B173" s="99" t="s">
        <v>652</v>
      </c>
      <c r="C173" s="100">
        <v>0</v>
      </c>
      <c r="D173" s="100">
        <v>0</v>
      </c>
      <c r="E173" s="100">
        <v>105.41</v>
      </c>
      <c r="F173" s="100">
        <v>0</v>
      </c>
      <c r="G173" s="100">
        <v>7.96</v>
      </c>
      <c r="H173" s="100">
        <v>0</v>
      </c>
      <c r="I173" s="100">
        <v>113.37</v>
      </c>
      <c r="J173" s="100">
        <v>0</v>
      </c>
      <c r="K173" s="100">
        <v>113.37</v>
      </c>
      <c r="L173" s="100">
        <v>0</v>
      </c>
    </row>
    <row r="174" spans="1:12" x14ac:dyDescent="0.35">
      <c r="A174" s="98" t="s">
        <v>653</v>
      </c>
      <c r="B174" s="99" t="s">
        <v>654</v>
      </c>
      <c r="C174" s="100">
        <v>0</v>
      </c>
      <c r="D174" s="100">
        <v>0</v>
      </c>
      <c r="E174" s="100">
        <v>671</v>
      </c>
      <c r="F174" s="100">
        <v>0</v>
      </c>
      <c r="G174" s="100">
        <v>61</v>
      </c>
      <c r="H174" s="100">
        <v>0</v>
      </c>
      <c r="I174" s="100">
        <v>732</v>
      </c>
      <c r="J174" s="100">
        <v>0</v>
      </c>
      <c r="K174" s="100">
        <v>732</v>
      </c>
      <c r="L174" s="100">
        <v>0</v>
      </c>
    </row>
    <row r="175" spans="1:12" x14ac:dyDescent="0.35">
      <c r="A175" s="98" t="s">
        <v>655</v>
      </c>
      <c r="B175" s="99" t="s">
        <v>656</v>
      </c>
      <c r="C175" s="100">
        <v>0</v>
      </c>
      <c r="D175" s="100">
        <v>0</v>
      </c>
      <c r="E175" s="100">
        <v>269.45</v>
      </c>
      <c r="F175" s="100">
        <v>0</v>
      </c>
      <c r="G175" s="100">
        <v>22.3</v>
      </c>
      <c r="H175" s="100">
        <v>0</v>
      </c>
      <c r="I175" s="100">
        <v>291.75</v>
      </c>
      <c r="J175" s="100">
        <v>0</v>
      </c>
      <c r="K175" s="100">
        <v>291.75</v>
      </c>
      <c r="L175" s="100">
        <v>0</v>
      </c>
    </row>
    <row r="176" spans="1:12" x14ac:dyDescent="0.35">
      <c r="A176" s="98" t="s">
        <v>657</v>
      </c>
      <c r="B176" s="99" t="s">
        <v>658</v>
      </c>
      <c r="C176" s="100">
        <v>0</v>
      </c>
      <c r="D176" s="100">
        <v>0</v>
      </c>
      <c r="E176" s="100">
        <v>96.67</v>
      </c>
      <c r="F176" s="100">
        <v>0</v>
      </c>
      <c r="G176" s="100">
        <v>7.02</v>
      </c>
      <c r="H176" s="100">
        <v>0</v>
      </c>
      <c r="I176" s="100">
        <v>103.69</v>
      </c>
      <c r="J176" s="100">
        <v>0</v>
      </c>
      <c r="K176" s="100">
        <v>103.69</v>
      </c>
      <c r="L176" s="100">
        <v>0</v>
      </c>
    </row>
    <row r="177" spans="1:12" x14ac:dyDescent="0.35">
      <c r="A177" s="98" t="s">
        <v>659</v>
      </c>
      <c r="B177" s="99" t="s">
        <v>660</v>
      </c>
      <c r="C177" s="100">
        <v>0</v>
      </c>
      <c r="D177" s="100">
        <v>0</v>
      </c>
      <c r="E177" s="100">
        <v>98</v>
      </c>
      <c r="F177" s="100">
        <v>0</v>
      </c>
      <c r="G177" s="100">
        <v>0</v>
      </c>
      <c r="H177" s="100">
        <v>0</v>
      </c>
      <c r="I177" s="100">
        <v>98</v>
      </c>
      <c r="J177" s="100">
        <v>0</v>
      </c>
      <c r="K177" s="100">
        <v>98</v>
      </c>
      <c r="L177" s="100">
        <v>0</v>
      </c>
    </row>
    <row r="178" spans="1:12" x14ac:dyDescent="0.35">
      <c r="A178" s="98" t="s">
        <v>661</v>
      </c>
      <c r="B178" s="99" t="s">
        <v>662</v>
      </c>
      <c r="C178" s="100">
        <v>0</v>
      </c>
      <c r="D178" s="100">
        <v>0</v>
      </c>
      <c r="E178" s="100">
        <v>74.75</v>
      </c>
      <c r="F178" s="100">
        <v>0</v>
      </c>
      <c r="G178" s="100">
        <v>0</v>
      </c>
      <c r="H178" s="100">
        <v>0</v>
      </c>
      <c r="I178" s="100">
        <v>74.75</v>
      </c>
      <c r="J178" s="100">
        <v>0</v>
      </c>
      <c r="K178" s="100">
        <v>74.75</v>
      </c>
      <c r="L178" s="100">
        <v>0</v>
      </c>
    </row>
    <row r="179" spans="1:12" x14ac:dyDescent="0.35">
      <c r="A179" s="98" t="s">
        <v>663</v>
      </c>
      <c r="B179" s="99" t="s">
        <v>664</v>
      </c>
      <c r="C179" s="100">
        <v>0</v>
      </c>
      <c r="D179" s="100">
        <v>0</v>
      </c>
      <c r="E179" s="100">
        <v>0</v>
      </c>
      <c r="F179" s="100">
        <v>0</v>
      </c>
      <c r="G179" s="100">
        <v>213778.62</v>
      </c>
      <c r="H179" s="100">
        <v>0</v>
      </c>
      <c r="I179" s="100">
        <v>213778.62</v>
      </c>
      <c r="J179" s="100">
        <v>0</v>
      </c>
      <c r="K179" s="100">
        <v>213778.62</v>
      </c>
      <c r="L179" s="100">
        <v>0</v>
      </c>
    </row>
    <row r="180" spans="1:12" x14ac:dyDescent="0.35">
      <c r="A180" s="98" t="s">
        <v>665</v>
      </c>
      <c r="B180" s="99" t="s">
        <v>666</v>
      </c>
      <c r="C180" s="100">
        <v>0</v>
      </c>
      <c r="D180" s="100">
        <v>0</v>
      </c>
      <c r="E180" s="100">
        <v>362.05</v>
      </c>
      <c r="F180" s="100">
        <v>0</v>
      </c>
      <c r="G180" s="100">
        <v>179.94</v>
      </c>
      <c r="H180" s="100">
        <v>0</v>
      </c>
      <c r="I180" s="100">
        <v>541.99</v>
      </c>
      <c r="J180" s="100">
        <v>0</v>
      </c>
      <c r="K180" s="100">
        <v>541.99</v>
      </c>
      <c r="L180" s="100">
        <v>0</v>
      </c>
    </row>
    <row r="181" spans="1:12" x14ac:dyDescent="0.35">
      <c r="A181" s="98" t="s">
        <v>669</v>
      </c>
      <c r="B181" s="99" t="s">
        <v>670</v>
      </c>
      <c r="C181" s="100">
        <v>0</v>
      </c>
      <c r="D181" s="100">
        <v>0</v>
      </c>
      <c r="E181" s="100">
        <v>303.33999999999997</v>
      </c>
      <c r="F181" s="100">
        <v>0</v>
      </c>
      <c r="G181" s="100">
        <v>0</v>
      </c>
      <c r="H181" s="100">
        <v>0</v>
      </c>
      <c r="I181" s="100">
        <v>303.33999999999997</v>
      </c>
      <c r="J181" s="100">
        <v>0</v>
      </c>
      <c r="K181" s="100">
        <v>303.33999999999997</v>
      </c>
      <c r="L181" s="100">
        <v>0</v>
      </c>
    </row>
    <row r="182" spans="1:12" x14ac:dyDescent="0.35">
      <c r="A182" s="98" t="s">
        <v>671</v>
      </c>
      <c r="B182" s="99" t="s">
        <v>672</v>
      </c>
      <c r="C182" s="100">
        <v>0</v>
      </c>
      <c r="D182" s="100">
        <v>0</v>
      </c>
      <c r="E182" s="100">
        <v>-16.87</v>
      </c>
      <c r="F182" s="100">
        <v>0</v>
      </c>
      <c r="G182" s="100">
        <v>-0.53</v>
      </c>
      <c r="H182" s="100">
        <v>0</v>
      </c>
      <c r="I182" s="100">
        <v>-17.399999999999999</v>
      </c>
      <c r="J182" s="100">
        <v>0</v>
      </c>
      <c r="K182" s="100">
        <v>-17.399999999999999</v>
      </c>
      <c r="L182" s="100">
        <v>0</v>
      </c>
    </row>
    <row r="183" spans="1:12" x14ac:dyDescent="0.35">
      <c r="A183" s="98" t="s">
        <v>673</v>
      </c>
      <c r="B183" s="99" t="s">
        <v>674</v>
      </c>
      <c r="C183" s="100">
        <v>0</v>
      </c>
      <c r="D183" s="100">
        <v>0</v>
      </c>
      <c r="E183" s="100">
        <v>237.15</v>
      </c>
      <c r="F183" s="100">
        <v>0</v>
      </c>
      <c r="G183" s="100">
        <v>26.24</v>
      </c>
      <c r="H183" s="100">
        <v>0</v>
      </c>
      <c r="I183" s="100">
        <v>263.39</v>
      </c>
      <c r="J183" s="100">
        <v>0</v>
      </c>
      <c r="K183" s="100">
        <v>263.39</v>
      </c>
      <c r="L183" s="100">
        <v>0</v>
      </c>
    </row>
    <row r="184" spans="1:12" x14ac:dyDescent="0.35">
      <c r="A184" s="98" t="s">
        <v>675</v>
      </c>
      <c r="B184" s="99" t="s">
        <v>676</v>
      </c>
      <c r="C184" s="100">
        <v>0</v>
      </c>
      <c r="D184" s="100">
        <v>0</v>
      </c>
      <c r="E184" s="100">
        <v>2750</v>
      </c>
      <c r="F184" s="100">
        <v>0</v>
      </c>
      <c r="G184" s="100">
        <v>250</v>
      </c>
      <c r="H184" s="100">
        <v>0</v>
      </c>
      <c r="I184" s="100">
        <v>3000</v>
      </c>
      <c r="J184" s="100">
        <v>0</v>
      </c>
      <c r="K184" s="100">
        <v>3000</v>
      </c>
      <c r="L184" s="100">
        <v>0</v>
      </c>
    </row>
    <row r="185" spans="1:12" x14ac:dyDescent="0.35">
      <c r="A185" s="98" t="s">
        <v>677</v>
      </c>
      <c r="B185" s="99" t="s">
        <v>678</v>
      </c>
      <c r="C185" s="100">
        <v>0</v>
      </c>
      <c r="D185" s="100">
        <v>0</v>
      </c>
      <c r="E185" s="100">
        <v>29342.71</v>
      </c>
      <c r="F185" s="100">
        <v>0</v>
      </c>
      <c r="G185" s="100">
        <v>2709.2</v>
      </c>
      <c r="H185" s="100">
        <v>0</v>
      </c>
      <c r="I185" s="100">
        <v>32051.91</v>
      </c>
      <c r="J185" s="100">
        <v>0</v>
      </c>
      <c r="K185" s="100">
        <v>32051.91</v>
      </c>
      <c r="L185" s="100">
        <v>0</v>
      </c>
    </row>
    <row r="186" spans="1:12" x14ac:dyDescent="0.35">
      <c r="A186" s="98" t="s">
        <v>679</v>
      </c>
      <c r="B186" s="99" t="s">
        <v>680</v>
      </c>
      <c r="C186" s="100">
        <v>0</v>
      </c>
      <c r="D186" s="100">
        <v>0</v>
      </c>
      <c r="E186" s="100">
        <v>6086.85</v>
      </c>
      <c r="F186" s="100">
        <v>0</v>
      </c>
      <c r="G186" s="100">
        <v>553.35</v>
      </c>
      <c r="H186" s="100">
        <v>0</v>
      </c>
      <c r="I186" s="100">
        <v>6640.2</v>
      </c>
      <c r="J186" s="100">
        <v>0</v>
      </c>
      <c r="K186" s="100">
        <v>6640.2</v>
      </c>
      <c r="L186" s="100">
        <v>0</v>
      </c>
    </row>
    <row r="187" spans="1:12" x14ac:dyDescent="0.35">
      <c r="A187" s="98" t="s">
        <v>683</v>
      </c>
      <c r="B187" s="99" t="s">
        <v>684</v>
      </c>
      <c r="C187" s="100">
        <v>0</v>
      </c>
      <c r="D187" s="100">
        <v>0</v>
      </c>
      <c r="E187" s="100">
        <v>352.04</v>
      </c>
      <c r="F187" s="100">
        <v>0</v>
      </c>
      <c r="G187" s="100">
        <v>28.11</v>
      </c>
      <c r="H187" s="100">
        <v>0</v>
      </c>
      <c r="I187" s="100">
        <v>380.15</v>
      </c>
      <c r="J187" s="100">
        <v>0</v>
      </c>
      <c r="K187" s="100">
        <v>380.15</v>
      </c>
      <c r="L187" s="100">
        <v>0</v>
      </c>
    </row>
    <row r="188" spans="1:12" x14ac:dyDescent="0.35">
      <c r="A188" s="98" t="s">
        <v>685</v>
      </c>
      <c r="B188" s="99" t="s">
        <v>686</v>
      </c>
      <c r="C188" s="100">
        <v>0</v>
      </c>
      <c r="D188" s="100">
        <v>0</v>
      </c>
      <c r="E188" s="100">
        <v>1007.1</v>
      </c>
      <c r="F188" s="100">
        <v>0</v>
      </c>
      <c r="G188" s="100">
        <v>0</v>
      </c>
      <c r="H188" s="100">
        <v>0</v>
      </c>
      <c r="I188" s="100">
        <v>1007.1</v>
      </c>
      <c r="J188" s="100">
        <v>0</v>
      </c>
      <c r="K188" s="100">
        <v>1007.1</v>
      </c>
      <c r="L188" s="100">
        <v>0</v>
      </c>
    </row>
    <row r="189" spans="1:12" x14ac:dyDescent="0.35">
      <c r="A189" s="98" t="s">
        <v>687</v>
      </c>
      <c r="B189" s="99" t="s">
        <v>688</v>
      </c>
      <c r="C189" s="100">
        <v>0</v>
      </c>
      <c r="D189" s="100">
        <v>0</v>
      </c>
      <c r="E189" s="100">
        <v>585</v>
      </c>
      <c r="F189" s="100">
        <v>0</v>
      </c>
      <c r="G189" s="100">
        <v>0</v>
      </c>
      <c r="H189" s="100">
        <v>0</v>
      </c>
      <c r="I189" s="100">
        <v>585</v>
      </c>
      <c r="J189" s="100">
        <v>0</v>
      </c>
      <c r="K189" s="100">
        <v>585</v>
      </c>
      <c r="L189" s="100">
        <v>0</v>
      </c>
    </row>
    <row r="190" spans="1:12" x14ac:dyDescent="0.35">
      <c r="A190" s="98" t="s">
        <v>689</v>
      </c>
      <c r="B190" s="99" t="s">
        <v>690</v>
      </c>
      <c r="C190" s="100">
        <v>0</v>
      </c>
      <c r="D190" s="100">
        <v>0</v>
      </c>
      <c r="E190" s="100">
        <v>-868.17</v>
      </c>
      <c r="F190" s="100">
        <v>0</v>
      </c>
      <c r="G190" s="100">
        <v>-102.26</v>
      </c>
      <c r="H190" s="100">
        <v>0</v>
      </c>
      <c r="I190" s="100">
        <v>-970.43</v>
      </c>
      <c r="J190" s="100">
        <v>0</v>
      </c>
      <c r="K190" s="100">
        <v>-970.43</v>
      </c>
      <c r="L190" s="100">
        <v>0</v>
      </c>
    </row>
    <row r="191" spans="1:12" x14ac:dyDescent="0.35">
      <c r="A191" s="98" t="s">
        <v>849</v>
      </c>
      <c r="B191" s="99" t="s">
        <v>850</v>
      </c>
      <c r="C191" s="100">
        <v>0</v>
      </c>
      <c r="D191" s="100">
        <v>0</v>
      </c>
      <c r="E191" s="100">
        <v>-105.72</v>
      </c>
      <c r="F191" s="100">
        <v>0</v>
      </c>
      <c r="G191" s="100">
        <v>0</v>
      </c>
      <c r="H191" s="100">
        <v>0</v>
      </c>
      <c r="I191" s="100">
        <v>-105.72</v>
      </c>
      <c r="J191" s="100">
        <v>0</v>
      </c>
      <c r="K191" s="100">
        <v>-105.72</v>
      </c>
      <c r="L191" s="100">
        <v>0</v>
      </c>
    </row>
    <row r="192" spans="1:12" x14ac:dyDescent="0.35">
      <c r="A192" s="98" t="s">
        <v>693</v>
      </c>
      <c r="B192" s="99" t="s">
        <v>694</v>
      </c>
      <c r="C192" s="100">
        <v>0</v>
      </c>
      <c r="D192" s="100">
        <v>0</v>
      </c>
      <c r="E192" s="100">
        <v>1026.0999999999999</v>
      </c>
      <c r="F192" s="100">
        <v>0</v>
      </c>
      <c r="G192" s="100">
        <v>29</v>
      </c>
      <c r="H192" s="100">
        <v>0</v>
      </c>
      <c r="I192" s="100">
        <v>1055.0999999999999</v>
      </c>
      <c r="J192" s="100">
        <v>0</v>
      </c>
      <c r="K192" s="100">
        <v>1055.0999999999999</v>
      </c>
      <c r="L192" s="100">
        <v>0</v>
      </c>
    </row>
    <row r="193" spans="1:12" x14ac:dyDescent="0.35">
      <c r="A193" s="98" t="s">
        <v>695</v>
      </c>
      <c r="B193" s="99" t="s">
        <v>696</v>
      </c>
      <c r="C193" s="100">
        <v>0</v>
      </c>
      <c r="D193" s="100">
        <v>0</v>
      </c>
      <c r="E193" s="100">
        <v>41.39</v>
      </c>
      <c r="F193" s="100">
        <v>0</v>
      </c>
      <c r="G193" s="100">
        <v>23.42</v>
      </c>
      <c r="H193" s="100">
        <v>0</v>
      </c>
      <c r="I193" s="100">
        <v>64.81</v>
      </c>
      <c r="J193" s="100">
        <v>0</v>
      </c>
      <c r="K193" s="100">
        <v>64.81</v>
      </c>
      <c r="L193" s="100">
        <v>0</v>
      </c>
    </row>
    <row r="194" spans="1:12" x14ac:dyDescent="0.35">
      <c r="A194" s="98" t="s">
        <v>697</v>
      </c>
      <c r="B194" s="99" t="s">
        <v>698</v>
      </c>
      <c r="C194" s="100">
        <v>0</v>
      </c>
      <c r="D194" s="100">
        <v>0</v>
      </c>
      <c r="E194" s="100">
        <v>344.2</v>
      </c>
      <c r="F194" s="100">
        <v>0</v>
      </c>
      <c r="G194" s="100">
        <v>140</v>
      </c>
      <c r="H194" s="100">
        <v>0</v>
      </c>
      <c r="I194" s="100">
        <v>484.2</v>
      </c>
      <c r="J194" s="100">
        <v>0</v>
      </c>
      <c r="K194" s="100">
        <v>484.2</v>
      </c>
      <c r="L194" s="100">
        <v>0</v>
      </c>
    </row>
    <row r="195" spans="1:12" x14ac:dyDescent="0.35">
      <c r="A195" s="98" t="s">
        <v>851</v>
      </c>
      <c r="B195" s="99" t="s">
        <v>852</v>
      </c>
      <c r="C195" s="100">
        <v>0</v>
      </c>
      <c r="D195" s="100">
        <v>0</v>
      </c>
      <c r="E195" s="100">
        <v>-105.72</v>
      </c>
      <c r="F195" s="100">
        <v>0</v>
      </c>
      <c r="G195" s="100">
        <v>0</v>
      </c>
      <c r="H195" s="100">
        <v>0</v>
      </c>
      <c r="I195" s="100">
        <v>-105.72</v>
      </c>
      <c r="J195" s="100">
        <v>0</v>
      </c>
      <c r="K195" s="100">
        <v>-105.72</v>
      </c>
      <c r="L195" s="100">
        <v>0</v>
      </c>
    </row>
    <row r="196" spans="1:12" x14ac:dyDescent="0.35">
      <c r="A196" s="98" t="s">
        <v>699</v>
      </c>
      <c r="B196" s="99" t="s">
        <v>700</v>
      </c>
      <c r="C196" s="100">
        <v>0</v>
      </c>
      <c r="D196" s="100">
        <v>0</v>
      </c>
      <c r="E196" s="100">
        <v>114266.66</v>
      </c>
      <c r="F196" s="100">
        <v>0</v>
      </c>
      <c r="G196" s="100">
        <v>9963.32</v>
      </c>
      <c r="H196" s="100">
        <v>0</v>
      </c>
      <c r="I196" s="100">
        <v>124229.98</v>
      </c>
      <c r="J196" s="100">
        <v>0</v>
      </c>
      <c r="K196" s="100">
        <v>124229.98</v>
      </c>
      <c r="L196" s="100">
        <v>0</v>
      </c>
    </row>
    <row r="197" spans="1:12" x14ac:dyDescent="0.35">
      <c r="A197" s="98" t="s">
        <v>701</v>
      </c>
      <c r="B197" s="99" t="s">
        <v>702</v>
      </c>
      <c r="C197" s="100">
        <v>0</v>
      </c>
      <c r="D197" s="100">
        <v>0</v>
      </c>
      <c r="E197" s="100">
        <v>4266.53</v>
      </c>
      <c r="F197" s="100">
        <v>0</v>
      </c>
      <c r="G197" s="100">
        <v>314.64999999999998</v>
      </c>
      <c r="H197" s="100">
        <v>0</v>
      </c>
      <c r="I197" s="100">
        <v>4581.18</v>
      </c>
      <c r="J197" s="100">
        <v>0</v>
      </c>
      <c r="K197" s="100">
        <v>4581.18</v>
      </c>
      <c r="L197" s="100">
        <v>0</v>
      </c>
    </row>
    <row r="198" spans="1:12" x14ac:dyDescent="0.35">
      <c r="A198" s="98" t="s">
        <v>703</v>
      </c>
      <c r="B198" s="99" t="s">
        <v>704</v>
      </c>
      <c r="C198" s="100">
        <v>0</v>
      </c>
      <c r="D198" s="100">
        <v>0</v>
      </c>
      <c r="E198" s="100">
        <v>3617.46</v>
      </c>
      <c r="F198" s="100">
        <v>0</v>
      </c>
      <c r="G198" s="100">
        <v>223.3</v>
      </c>
      <c r="H198" s="100">
        <v>0</v>
      </c>
      <c r="I198" s="100">
        <v>3840.76</v>
      </c>
      <c r="J198" s="100">
        <v>0</v>
      </c>
      <c r="K198" s="100">
        <v>3840.76</v>
      </c>
      <c r="L198" s="100">
        <v>0</v>
      </c>
    </row>
    <row r="199" spans="1:12" x14ac:dyDescent="0.35">
      <c r="A199" s="98" t="s">
        <v>707</v>
      </c>
      <c r="B199" s="99" t="s">
        <v>708</v>
      </c>
      <c r="C199" s="100">
        <v>0</v>
      </c>
      <c r="D199" s="100">
        <v>0</v>
      </c>
      <c r="E199" s="100">
        <v>3842.84</v>
      </c>
      <c r="F199" s="100">
        <v>0</v>
      </c>
      <c r="G199" s="100">
        <v>82.8</v>
      </c>
      <c r="H199" s="100">
        <v>0</v>
      </c>
      <c r="I199" s="100">
        <v>3925.64</v>
      </c>
      <c r="J199" s="100">
        <v>0</v>
      </c>
      <c r="K199" s="100">
        <v>3925.64</v>
      </c>
      <c r="L199" s="100">
        <v>0</v>
      </c>
    </row>
    <row r="200" spans="1:12" x14ac:dyDescent="0.35">
      <c r="A200" s="98" t="s">
        <v>709</v>
      </c>
      <c r="B200" s="99" t="s">
        <v>710</v>
      </c>
      <c r="C200" s="100">
        <v>0</v>
      </c>
      <c r="D200" s="100">
        <v>0</v>
      </c>
      <c r="E200" s="100">
        <v>1154.58</v>
      </c>
      <c r="F200" s="100">
        <v>0</v>
      </c>
      <c r="G200" s="100">
        <v>15.31</v>
      </c>
      <c r="H200" s="100">
        <v>0</v>
      </c>
      <c r="I200" s="100">
        <v>1169.8900000000001</v>
      </c>
      <c r="J200" s="100">
        <v>0</v>
      </c>
      <c r="K200" s="100">
        <v>1169.8900000000001</v>
      </c>
      <c r="L200" s="100">
        <v>0</v>
      </c>
    </row>
    <row r="201" spans="1:12" x14ac:dyDescent="0.35">
      <c r="A201" s="98" t="s">
        <v>711</v>
      </c>
      <c r="B201" s="99" t="s">
        <v>712</v>
      </c>
      <c r="C201" s="100">
        <v>0</v>
      </c>
      <c r="D201" s="100">
        <v>0</v>
      </c>
      <c r="E201" s="100">
        <v>2451.59</v>
      </c>
      <c r="F201" s="100">
        <v>0</v>
      </c>
      <c r="G201" s="100">
        <v>259.45999999999998</v>
      </c>
      <c r="H201" s="100">
        <v>0</v>
      </c>
      <c r="I201" s="100">
        <v>2711.05</v>
      </c>
      <c r="J201" s="100">
        <v>0</v>
      </c>
      <c r="K201" s="100">
        <v>2711.05</v>
      </c>
      <c r="L201" s="100">
        <v>0</v>
      </c>
    </row>
    <row r="202" spans="1:12" x14ac:dyDescent="0.35">
      <c r="A202" s="98" t="s">
        <v>713</v>
      </c>
      <c r="B202" s="99" t="s">
        <v>714</v>
      </c>
      <c r="C202" s="100">
        <v>0</v>
      </c>
      <c r="D202" s="100">
        <v>0</v>
      </c>
      <c r="E202" s="100">
        <v>4861.1899999999996</v>
      </c>
      <c r="F202" s="100">
        <v>0</v>
      </c>
      <c r="G202" s="100">
        <v>537.07000000000005</v>
      </c>
      <c r="H202" s="100">
        <v>0</v>
      </c>
      <c r="I202" s="100">
        <v>5398.26</v>
      </c>
      <c r="J202" s="100">
        <v>0</v>
      </c>
      <c r="K202" s="100">
        <v>5398.26</v>
      </c>
      <c r="L202" s="100">
        <v>0</v>
      </c>
    </row>
    <row r="203" spans="1:12" x14ac:dyDescent="0.35">
      <c r="A203" s="98" t="s">
        <v>715</v>
      </c>
      <c r="B203" s="99" t="s">
        <v>716</v>
      </c>
      <c r="C203" s="100">
        <v>0</v>
      </c>
      <c r="D203" s="100">
        <v>0</v>
      </c>
      <c r="E203" s="100">
        <v>3572.8</v>
      </c>
      <c r="F203" s="100">
        <v>0</v>
      </c>
      <c r="G203" s="100">
        <v>371.6</v>
      </c>
      <c r="H203" s="100">
        <v>0</v>
      </c>
      <c r="I203" s="100">
        <v>3944.4</v>
      </c>
      <c r="J203" s="100">
        <v>0</v>
      </c>
      <c r="K203" s="100">
        <v>3944.4</v>
      </c>
      <c r="L203" s="100">
        <v>0</v>
      </c>
    </row>
    <row r="204" spans="1:12" x14ac:dyDescent="0.35">
      <c r="A204" s="98" t="s">
        <v>717</v>
      </c>
      <c r="B204" s="99" t="s">
        <v>718</v>
      </c>
      <c r="C204" s="100">
        <v>0</v>
      </c>
      <c r="D204" s="100">
        <v>0</v>
      </c>
      <c r="E204" s="100">
        <v>3826.1</v>
      </c>
      <c r="F204" s="100">
        <v>0</v>
      </c>
      <c r="G204" s="100">
        <v>442.3</v>
      </c>
      <c r="H204" s="100">
        <v>0</v>
      </c>
      <c r="I204" s="100">
        <v>4268.3999999999996</v>
      </c>
      <c r="J204" s="100">
        <v>0</v>
      </c>
      <c r="K204" s="100">
        <v>4268.3999999999996</v>
      </c>
      <c r="L204" s="100">
        <v>0</v>
      </c>
    </row>
    <row r="205" spans="1:12" x14ac:dyDescent="0.35">
      <c r="A205" s="98" t="s">
        <v>719</v>
      </c>
      <c r="B205" s="99" t="s">
        <v>720</v>
      </c>
      <c r="C205" s="100">
        <v>0</v>
      </c>
      <c r="D205" s="100">
        <v>0</v>
      </c>
      <c r="E205" s="100">
        <v>9569.58</v>
      </c>
      <c r="F205" s="100">
        <v>0</v>
      </c>
      <c r="G205" s="100">
        <v>860.15</v>
      </c>
      <c r="H205" s="100">
        <v>0</v>
      </c>
      <c r="I205" s="100">
        <v>10429.73</v>
      </c>
      <c r="J205" s="100">
        <v>0</v>
      </c>
      <c r="K205" s="100">
        <v>10429.73</v>
      </c>
      <c r="L205" s="100">
        <v>0</v>
      </c>
    </row>
    <row r="206" spans="1:12" x14ac:dyDescent="0.35">
      <c r="A206" s="98" t="s">
        <v>721</v>
      </c>
      <c r="B206" s="99" t="s">
        <v>722</v>
      </c>
      <c r="C206" s="100">
        <v>0</v>
      </c>
      <c r="D206" s="100">
        <v>0</v>
      </c>
      <c r="E206" s="100">
        <v>800</v>
      </c>
      <c r="F206" s="100">
        <v>0</v>
      </c>
      <c r="G206" s="100">
        <v>0</v>
      </c>
      <c r="H206" s="100">
        <v>0</v>
      </c>
      <c r="I206" s="100">
        <v>800</v>
      </c>
      <c r="J206" s="100">
        <v>0</v>
      </c>
      <c r="K206" s="100">
        <v>800</v>
      </c>
      <c r="L206" s="100">
        <v>0</v>
      </c>
    </row>
    <row r="207" spans="1:12" x14ac:dyDescent="0.35">
      <c r="A207" s="98" t="s">
        <v>723</v>
      </c>
      <c r="B207" s="99" t="s">
        <v>724</v>
      </c>
      <c r="C207" s="100">
        <v>0</v>
      </c>
      <c r="D207" s="100">
        <v>0</v>
      </c>
      <c r="E207" s="100">
        <v>1000</v>
      </c>
      <c r="F207" s="100">
        <v>0</v>
      </c>
      <c r="G207" s="100">
        <v>0</v>
      </c>
      <c r="H207" s="100">
        <v>0</v>
      </c>
      <c r="I207" s="100">
        <v>1000</v>
      </c>
      <c r="J207" s="100">
        <v>0</v>
      </c>
      <c r="K207" s="100">
        <v>1000</v>
      </c>
      <c r="L207" s="100">
        <v>0</v>
      </c>
    </row>
    <row r="208" spans="1:12" x14ac:dyDescent="0.35">
      <c r="A208" s="98" t="s">
        <v>725</v>
      </c>
      <c r="B208" s="99" t="s">
        <v>726</v>
      </c>
      <c r="C208" s="100">
        <v>0</v>
      </c>
      <c r="D208" s="100">
        <v>0</v>
      </c>
      <c r="E208" s="100">
        <v>-1517.8</v>
      </c>
      <c r="F208" s="100">
        <v>0</v>
      </c>
      <c r="G208" s="100">
        <v>599.11</v>
      </c>
      <c r="H208" s="100">
        <v>0</v>
      </c>
      <c r="I208" s="100">
        <v>-918.69</v>
      </c>
      <c r="J208" s="100">
        <v>0</v>
      </c>
      <c r="K208" s="100">
        <v>-918.69</v>
      </c>
      <c r="L208" s="100">
        <v>0</v>
      </c>
    </row>
    <row r="209" spans="1:12" x14ac:dyDescent="0.35">
      <c r="A209" s="98" t="s">
        <v>727</v>
      </c>
      <c r="B209" s="99" t="s">
        <v>728</v>
      </c>
      <c r="C209" s="100">
        <v>0</v>
      </c>
      <c r="D209" s="100">
        <v>0</v>
      </c>
      <c r="E209" s="100">
        <v>-2280</v>
      </c>
      <c r="F209" s="100">
        <v>0</v>
      </c>
      <c r="G209" s="100">
        <v>7080</v>
      </c>
      <c r="H209" s="100">
        <v>5600</v>
      </c>
      <c r="I209" s="100">
        <v>6800</v>
      </c>
      <c r="J209" s="100">
        <v>7600</v>
      </c>
      <c r="K209" s="100">
        <v>-800</v>
      </c>
      <c r="L209" s="100">
        <v>0</v>
      </c>
    </row>
    <row r="210" spans="1:12" x14ac:dyDescent="0.35">
      <c r="A210" s="98" t="s">
        <v>853</v>
      </c>
      <c r="B210" s="99" t="s">
        <v>854</v>
      </c>
      <c r="C210" s="100">
        <v>0</v>
      </c>
      <c r="D210" s="100">
        <v>0</v>
      </c>
      <c r="E210" s="100">
        <v>-730.04</v>
      </c>
      <c r="F210" s="100">
        <v>0</v>
      </c>
      <c r="G210" s="100">
        <v>0</v>
      </c>
      <c r="H210" s="100">
        <v>0</v>
      </c>
      <c r="I210" s="100">
        <v>-730.04</v>
      </c>
      <c r="J210" s="100">
        <v>0</v>
      </c>
      <c r="K210" s="100">
        <v>-730.04</v>
      </c>
      <c r="L210" s="100">
        <v>0</v>
      </c>
    </row>
    <row r="211" spans="1:12" x14ac:dyDescent="0.35">
      <c r="A211" s="98" t="s">
        <v>729</v>
      </c>
      <c r="B211" s="99" t="s">
        <v>730</v>
      </c>
      <c r="C211" s="100">
        <v>0</v>
      </c>
      <c r="D211" s="100">
        <v>0</v>
      </c>
      <c r="E211" s="100">
        <v>-3469.87</v>
      </c>
      <c r="F211" s="100">
        <v>0</v>
      </c>
      <c r="G211" s="100">
        <v>350.82</v>
      </c>
      <c r="H211" s="100">
        <v>0</v>
      </c>
      <c r="I211" s="100">
        <v>940.32</v>
      </c>
      <c r="J211" s="100">
        <v>4059.37</v>
      </c>
      <c r="K211" s="100">
        <v>-3119.05</v>
      </c>
      <c r="L211" s="100">
        <v>0</v>
      </c>
    </row>
    <row r="212" spans="1:12" x14ac:dyDescent="0.35">
      <c r="A212" s="98" t="s">
        <v>731</v>
      </c>
      <c r="B212" s="99" t="s">
        <v>732</v>
      </c>
      <c r="C212" s="100">
        <v>0</v>
      </c>
      <c r="D212" s="100">
        <v>0</v>
      </c>
      <c r="E212" s="100">
        <v>35796.449999999997</v>
      </c>
      <c r="F212" s="100">
        <v>0</v>
      </c>
      <c r="G212" s="100">
        <v>3127.1</v>
      </c>
      <c r="H212" s="100">
        <v>0</v>
      </c>
      <c r="I212" s="100">
        <v>38923.550000000003</v>
      </c>
      <c r="J212" s="100">
        <v>0</v>
      </c>
      <c r="K212" s="100">
        <v>38923.550000000003</v>
      </c>
      <c r="L212" s="100">
        <v>0</v>
      </c>
    </row>
    <row r="213" spans="1:12" x14ac:dyDescent="0.35">
      <c r="A213" s="98" t="s">
        <v>733</v>
      </c>
      <c r="B213" s="99" t="s">
        <v>734</v>
      </c>
      <c r="C213" s="100">
        <v>0</v>
      </c>
      <c r="D213" s="100">
        <v>0</v>
      </c>
      <c r="E213" s="100">
        <v>14147.54</v>
      </c>
      <c r="F213" s="100">
        <v>0</v>
      </c>
      <c r="G213" s="100">
        <v>1240.98</v>
      </c>
      <c r="H213" s="100">
        <v>0</v>
      </c>
      <c r="I213" s="100">
        <v>15388.52</v>
      </c>
      <c r="J213" s="100">
        <v>0</v>
      </c>
      <c r="K213" s="100">
        <v>15388.52</v>
      </c>
      <c r="L213" s="100">
        <v>0</v>
      </c>
    </row>
    <row r="214" spans="1:12" x14ac:dyDescent="0.35">
      <c r="A214" s="98" t="s">
        <v>735</v>
      </c>
      <c r="B214" s="99" t="s">
        <v>736</v>
      </c>
      <c r="C214" s="100">
        <v>0</v>
      </c>
      <c r="D214" s="100">
        <v>0</v>
      </c>
      <c r="E214" s="100">
        <v>3311.87</v>
      </c>
      <c r="F214" s="100">
        <v>0</v>
      </c>
      <c r="G214" s="100">
        <v>310.39999999999998</v>
      </c>
      <c r="H214" s="100">
        <v>0</v>
      </c>
      <c r="I214" s="100">
        <v>3622.27</v>
      </c>
      <c r="J214" s="100">
        <v>0</v>
      </c>
      <c r="K214" s="100">
        <v>3622.27</v>
      </c>
      <c r="L214" s="100">
        <v>0</v>
      </c>
    </row>
    <row r="215" spans="1:12" x14ac:dyDescent="0.35">
      <c r="A215" s="98" t="s">
        <v>737</v>
      </c>
      <c r="B215" s="99" t="s">
        <v>738</v>
      </c>
      <c r="C215" s="100">
        <v>0</v>
      </c>
      <c r="D215" s="100">
        <v>0</v>
      </c>
      <c r="E215" s="100">
        <v>1314.24</v>
      </c>
      <c r="F215" s="100">
        <v>0</v>
      </c>
      <c r="G215" s="100">
        <v>123.18</v>
      </c>
      <c r="H215" s="100">
        <v>0</v>
      </c>
      <c r="I215" s="100">
        <v>1437.42</v>
      </c>
      <c r="J215" s="100">
        <v>0</v>
      </c>
      <c r="K215" s="100">
        <v>1437.42</v>
      </c>
      <c r="L215" s="100">
        <v>0</v>
      </c>
    </row>
    <row r="216" spans="1:12" x14ac:dyDescent="0.35">
      <c r="A216" s="98" t="s">
        <v>739</v>
      </c>
      <c r="B216" s="99" t="s">
        <v>740</v>
      </c>
      <c r="C216" s="100">
        <v>0</v>
      </c>
      <c r="D216" s="100">
        <v>0</v>
      </c>
      <c r="E216" s="100">
        <v>-383.03</v>
      </c>
      <c r="F216" s="100">
        <v>0</v>
      </c>
      <c r="G216" s="100">
        <v>149.47999999999999</v>
      </c>
      <c r="H216" s="100">
        <v>0</v>
      </c>
      <c r="I216" s="100">
        <v>-233.55</v>
      </c>
      <c r="J216" s="100">
        <v>0</v>
      </c>
      <c r="K216" s="100">
        <v>-233.55</v>
      </c>
      <c r="L216" s="100">
        <v>0</v>
      </c>
    </row>
    <row r="217" spans="1:12" x14ac:dyDescent="0.35">
      <c r="A217" s="98" t="s">
        <v>741</v>
      </c>
      <c r="B217" s="99" t="s">
        <v>742</v>
      </c>
      <c r="C217" s="100">
        <v>0</v>
      </c>
      <c r="D217" s="100">
        <v>0</v>
      </c>
      <c r="E217" s="100">
        <v>-151.38</v>
      </c>
      <c r="F217" s="100">
        <v>0</v>
      </c>
      <c r="G217" s="100">
        <v>59.41</v>
      </c>
      <c r="H217" s="100">
        <v>0</v>
      </c>
      <c r="I217" s="100">
        <v>-91.97</v>
      </c>
      <c r="J217" s="100">
        <v>0</v>
      </c>
      <c r="K217" s="100">
        <v>-91.97</v>
      </c>
      <c r="L217" s="100">
        <v>0</v>
      </c>
    </row>
    <row r="218" spans="1:12" x14ac:dyDescent="0.35">
      <c r="A218" s="98" t="s">
        <v>743</v>
      </c>
      <c r="B218" s="99" t="s">
        <v>744</v>
      </c>
      <c r="C218" s="100">
        <v>0</v>
      </c>
      <c r="D218" s="100">
        <v>0</v>
      </c>
      <c r="E218" s="100">
        <v>-675.36</v>
      </c>
      <c r="F218" s="100">
        <v>0</v>
      </c>
      <c r="G218" s="100">
        <v>1784.56</v>
      </c>
      <c r="H218" s="100">
        <v>1310.4000000000001</v>
      </c>
      <c r="I218" s="100">
        <v>1714</v>
      </c>
      <c r="J218" s="100">
        <v>1915.2</v>
      </c>
      <c r="K218" s="100">
        <v>-201.2</v>
      </c>
      <c r="L218" s="100">
        <v>0</v>
      </c>
    </row>
    <row r="219" spans="1:12" x14ac:dyDescent="0.35">
      <c r="A219" s="98" t="s">
        <v>745</v>
      </c>
      <c r="B219" s="99" t="s">
        <v>746</v>
      </c>
      <c r="C219" s="100">
        <v>0</v>
      </c>
      <c r="D219" s="100">
        <v>0</v>
      </c>
      <c r="E219" s="100">
        <v>-268</v>
      </c>
      <c r="F219" s="100">
        <v>0</v>
      </c>
      <c r="G219" s="100">
        <v>708</v>
      </c>
      <c r="H219" s="100">
        <v>520</v>
      </c>
      <c r="I219" s="100">
        <v>680</v>
      </c>
      <c r="J219" s="100">
        <v>760</v>
      </c>
      <c r="K219" s="100">
        <v>-80</v>
      </c>
      <c r="L219" s="100">
        <v>0</v>
      </c>
    </row>
    <row r="220" spans="1:12" x14ac:dyDescent="0.35">
      <c r="A220" s="98" t="s">
        <v>855</v>
      </c>
      <c r="B220" s="99" t="s">
        <v>856</v>
      </c>
      <c r="C220" s="100">
        <v>0</v>
      </c>
      <c r="D220" s="100">
        <v>0</v>
      </c>
      <c r="E220" s="100">
        <v>-183.97</v>
      </c>
      <c r="F220" s="100">
        <v>0</v>
      </c>
      <c r="G220" s="100">
        <v>0</v>
      </c>
      <c r="H220" s="100">
        <v>0</v>
      </c>
      <c r="I220" s="100">
        <v>-183.97</v>
      </c>
      <c r="J220" s="100">
        <v>0</v>
      </c>
      <c r="K220" s="100">
        <v>-183.97</v>
      </c>
      <c r="L220" s="100">
        <v>0</v>
      </c>
    </row>
    <row r="221" spans="1:12" x14ac:dyDescent="0.35">
      <c r="A221" s="98" t="s">
        <v>857</v>
      </c>
      <c r="B221" s="99" t="s">
        <v>858</v>
      </c>
      <c r="C221" s="100">
        <v>0</v>
      </c>
      <c r="D221" s="100">
        <v>0</v>
      </c>
      <c r="E221" s="100">
        <v>-73</v>
      </c>
      <c r="F221" s="100">
        <v>0</v>
      </c>
      <c r="G221" s="100">
        <v>0</v>
      </c>
      <c r="H221" s="100">
        <v>0</v>
      </c>
      <c r="I221" s="100">
        <v>-73</v>
      </c>
      <c r="J221" s="100">
        <v>0</v>
      </c>
      <c r="K221" s="100">
        <v>-73</v>
      </c>
      <c r="L221" s="100">
        <v>0</v>
      </c>
    </row>
    <row r="222" spans="1:12" x14ac:dyDescent="0.35">
      <c r="A222" s="98" t="s">
        <v>747</v>
      </c>
      <c r="B222" s="99" t="s">
        <v>748</v>
      </c>
      <c r="C222" s="100">
        <v>0</v>
      </c>
      <c r="D222" s="100">
        <v>0</v>
      </c>
      <c r="E222" s="100">
        <v>-1221.4000000000001</v>
      </c>
      <c r="F222" s="100">
        <v>0</v>
      </c>
      <c r="G222" s="100">
        <v>123.48</v>
      </c>
      <c r="H222" s="100">
        <v>0</v>
      </c>
      <c r="I222" s="100">
        <v>330.98</v>
      </c>
      <c r="J222" s="100">
        <v>1428.9</v>
      </c>
      <c r="K222" s="100">
        <v>-1097.92</v>
      </c>
      <c r="L222" s="100">
        <v>0</v>
      </c>
    </row>
    <row r="223" spans="1:12" x14ac:dyDescent="0.35">
      <c r="A223" s="98" t="s">
        <v>749</v>
      </c>
      <c r="B223" s="99" t="s">
        <v>750</v>
      </c>
      <c r="C223" s="100">
        <v>0</v>
      </c>
      <c r="D223" s="100">
        <v>0</v>
      </c>
      <c r="E223" s="100">
        <v>819.1</v>
      </c>
      <c r="F223" s="100">
        <v>0</v>
      </c>
      <c r="G223" s="100">
        <v>77.31</v>
      </c>
      <c r="H223" s="100">
        <v>0</v>
      </c>
      <c r="I223" s="100">
        <v>896.41</v>
      </c>
      <c r="J223" s="100">
        <v>0</v>
      </c>
      <c r="K223" s="100">
        <v>896.41</v>
      </c>
      <c r="L223" s="100">
        <v>0</v>
      </c>
    </row>
    <row r="224" spans="1:12" x14ac:dyDescent="0.35">
      <c r="A224" s="98" t="s">
        <v>751</v>
      </c>
      <c r="B224" s="99" t="s">
        <v>752</v>
      </c>
      <c r="C224" s="100">
        <v>0</v>
      </c>
      <c r="D224" s="100">
        <v>0</v>
      </c>
      <c r="E224" s="100">
        <v>885.51</v>
      </c>
      <c r="F224" s="100">
        <v>0</v>
      </c>
      <c r="G224" s="100">
        <v>61.74</v>
      </c>
      <c r="H224" s="100">
        <v>0</v>
      </c>
      <c r="I224" s="100">
        <v>947.25</v>
      </c>
      <c r="J224" s="100">
        <v>0</v>
      </c>
      <c r="K224" s="100">
        <v>947.25</v>
      </c>
      <c r="L224" s="100">
        <v>0</v>
      </c>
    </row>
    <row r="225" spans="1:12" x14ac:dyDescent="0.35">
      <c r="A225" s="98" t="s">
        <v>753</v>
      </c>
      <c r="B225" s="99" t="s">
        <v>754</v>
      </c>
      <c r="C225" s="100">
        <v>0</v>
      </c>
      <c r="D225" s="100">
        <v>0</v>
      </c>
      <c r="E225" s="100">
        <v>4769.2</v>
      </c>
      <c r="F225" s="100">
        <v>0</v>
      </c>
      <c r="G225" s="100">
        <v>409.4</v>
      </c>
      <c r="H225" s="100">
        <v>0</v>
      </c>
      <c r="I225" s="100">
        <v>5313.4</v>
      </c>
      <c r="J225" s="100">
        <v>134.80000000000001</v>
      </c>
      <c r="K225" s="100">
        <v>5178.6000000000004</v>
      </c>
      <c r="L225" s="100">
        <v>0</v>
      </c>
    </row>
    <row r="226" spans="1:12" x14ac:dyDescent="0.35">
      <c r="A226" s="98" t="s">
        <v>755</v>
      </c>
      <c r="B226" s="99" t="s">
        <v>756</v>
      </c>
      <c r="C226" s="100">
        <v>0</v>
      </c>
      <c r="D226" s="100">
        <v>0</v>
      </c>
      <c r="E226" s="100">
        <v>544.09</v>
      </c>
      <c r="F226" s="100">
        <v>0</v>
      </c>
      <c r="G226" s="100">
        <v>0</v>
      </c>
      <c r="H226" s="100">
        <v>0</v>
      </c>
      <c r="I226" s="100">
        <v>544.09</v>
      </c>
      <c r="J226" s="100">
        <v>0</v>
      </c>
      <c r="K226" s="100">
        <v>544.09</v>
      </c>
      <c r="L226" s="100">
        <v>0</v>
      </c>
    </row>
    <row r="227" spans="1:12" x14ac:dyDescent="0.35">
      <c r="A227" s="98" t="s">
        <v>757</v>
      </c>
      <c r="B227" s="99" t="s">
        <v>758</v>
      </c>
      <c r="C227" s="100">
        <v>0</v>
      </c>
      <c r="D227" s="100">
        <v>0</v>
      </c>
      <c r="E227" s="100">
        <v>2192.61</v>
      </c>
      <c r="F227" s="100">
        <v>0</v>
      </c>
      <c r="G227" s="100">
        <v>572.04</v>
      </c>
      <c r="H227" s="100">
        <v>0</v>
      </c>
      <c r="I227" s="100">
        <v>2764.65</v>
      </c>
      <c r="J227" s="100">
        <v>0</v>
      </c>
      <c r="K227" s="100">
        <v>2764.65</v>
      </c>
      <c r="L227" s="100">
        <v>0</v>
      </c>
    </row>
    <row r="228" spans="1:12" x14ac:dyDescent="0.35">
      <c r="A228" s="98" t="s">
        <v>759</v>
      </c>
      <c r="B228" s="99" t="s">
        <v>760</v>
      </c>
      <c r="C228" s="100">
        <v>0</v>
      </c>
      <c r="D228" s="100">
        <v>0</v>
      </c>
      <c r="E228" s="100">
        <v>0</v>
      </c>
      <c r="F228" s="100">
        <v>0</v>
      </c>
      <c r="G228" s="100">
        <v>240</v>
      </c>
      <c r="H228" s="100">
        <v>0</v>
      </c>
      <c r="I228" s="100">
        <v>240</v>
      </c>
      <c r="J228" s="100">
        <v>0</v>
      </c>
      <c r="K228" s="100">
        <v>240</v>
      </c>
      <c r="L228" s="100">
        <v>0</v>
      </c>
    </row>
    <row r="229" spans="1:12" x14ac:dyDescent="0.35">
      <c r="A229" s="98" t="s">
        <v>761</v>
      </c>
      <c r="B229" s="99" t="s">
        <v>762</v>
      </c>
      <c r="C229" s="100">
        <v>0</v>
      </c>
      <c r="D229" s="100">
        <v>0</v>
      </c>
      <c r="E229" s="100">
        <v>356.02</v>
      </c>
      <c r="F229" s="100">
        <v>0</v>
      </c>
      <c r="G229" s="100">
        <v>34.950000000000003</v>
      </c>
      <c r="H229" s="100">
        <v>0</v>
      </c>
      <c r="I229" s="100">
        <v>390.97</v>
      </c>
      <c r="J229" s="100">
        <v>0</v>
      </c>
      <c r="K229" s="100">
        <v>390.97</v>
      </c>
      <c r="L229" s="100">
        <v>0</v>
      </c>
    </row>
    <row r="230" spans="1:12" x14ac:dyDescent="0.35">
      <c r="A230" s="98" t="s">
        <v>859</v>
      </c>
      <c r="B230" s="99" t="s">
        <v>860</v>
      </c>
      <c r="C230" s="100">
        <v>0</v>
      </c>
      <c r="D230" s="100">
        <v>0</v>
      </c>
      <c r="E230" s="100">
        <v>-38.6</v>
      </c>
      <c r="F230" s="100">
        <v>0</v>
      </c>
      <c r="G230" s="100">
        <v>0</v>
      </c>
      <c r="H230" s="100">
        <v>0</v>
      </c>
      <c r="I230" s="100">
        <v>0</v>
      </c>
      <c r="J230" s="100">
        <v>38.6</v>
      </c>
      <c r="K230" s="100">
        <v>-38.6</v>
      </c>
      <c r="L230" s="100">
        <v>0</v>
      </c>
    </row>
    <row r="231" spans="1:12" x14ac:dyDescent="0.35">
      <c r="A231" s="98" t="s">
        <v>763</v>
      </c>
      <c r="B231" s="99" t="s">
        <v>764</v>
      </c>
      <c r="C231" s="100">
        <v>0</v>
      </c>
      <c r="D231" s="100">
        <v>0</v>
      </c>
      <c r="E231" s="100">
        <v>1457.32</v>
      </c>
      <c r="F231" s="100">
        <v>0</v>
      </c>
      <c r="G231" s="100">
        <v>172.05</v>
      </c>
      <c r="H231" s="100">
        <v>0</v>
      </c>
      <c r="I231" s="100">
        <v>1629.37</v>
      </c>
      <c r="J231" s="100">
        <v>0</v>
      </c>
      <c r="K231" s="100">
        <v>1629.37</v>
      </c>
      <c r="L231" s="100">
        <v>0</v>
      </c>
    </row>
    <row r="232" spans="1:12" x14ac:dyDescent="0.35">
      <c r="A232" s="98" t="s">
        <v>765</v>
      </c>
      <c r="B232" s="99" t="s">
        <v>766</v>
      </c>
      <c r="C232" s="100">
        <v>0</v>
      </c>
      <c r="D232" s="100">
        <v>0</v>
      </c>
      <c r="E232" s="100">
        <v>0</v>
      </c>
      <c r="F232" s="100">
        <v>0</v>
      </c>
      <c r="G232" s="100">
        <v>51.53</v>
      </c>
      <c r="H232" s="100">
        <v>0</v>
      </c>
      <c r="I232" s="100">
        <v>51.53</v>
      </c>
      <c r="J232" s="100">
        <v>0</v>
      </c>
      <c r="K232" s="100">
        <v>51.53</v>
      </c>
      <c r="L232" s="100">
        <v>0</v>
      </c>
    </row>
    <row r="233" spans="1:12" x14ac:dyDescent="0.35">
      <c r="A233" s="98" t="s">
        <v>861</v>
      </c>
      <c r="B233" s="99" t="s">
        <v>848</v>
      </c>
      <c r="C233" s="100">
        <v>0</v>
      </c>
      <c r="D233" s="100">
        <v>0</v>
      </c>
      <c r="E233" s="100">
        <v>27.84</v>
      </c>
      <c r="F233" s="100">
        <v>0</v>
      </c>
      <c r="G233" s="100">
        <v>0</v>
      </c>
      <c r="H233" s="100">
        <v>0</v>
      </c>
      <c r="I233" s="100">
        <v>27.84</v>
      </c>
      <c r="J233" s="100">
        <v>0</v>
      </c>
      <c r="K233" s="100">
        <v>27.84</v>
      </c>
      <c r="L233" s="100">
        <v>0</v>
      </c>
    </row>
    <row r="234" spans="1:12" x14ac:dyDescent="0.35">
      <c r="A234" s="98" t="s">
        <v>770</v>
      </c>
      <c r="B234" s="99" t="s">
        <v>771</v>
      </c>
      <c r="C234" s="100">
        <v>0</v>
      </c>
      <c r="D234" s="100">
        <v>0</v>
      </c>
      <c r="E234" s="100">
        <v>0</v>
      </c>
      <c r="F234" s="100">
        <v>0</v>
      </c>
      <c r="G234" s="100">
        <v>0</v>
      </c>
      <c r="H234" s="100">
        <v>0</v>
      </c>
      <c r="I234" s="100">
        <v>215.07</v>
      </c>
      <c r="J234" s="100">
        <v>215.07</v>
      </c>
      <c r="K234" s="100">
        <v>0</v>
      </c>
      <c r="L234" s="100">
        <v>0</v>
      </c>
    </row>
    <row r="235" spans="1:12" x14ac:dyDescent="0.35">
      <c r="A235" s="98" t="s">
        <v>772</v>
      </c>
      <c r="B235" s="99" t="s">
        <v>773</v>
      </c>
      <c r="C235" s="100">
        <v>0</v>
      </c>
      <c r="D235" s="100">
        <v>0</v>
      </c>
      <c r="E235" s="100">
        <v>0.72</v>
      </c>
      <c r="F235" s="100">
        <v>0</v>
      </c>
      <c r="G235" s="100">
        <v>0.21</v>
      </c>
      <c r="H235" s="100">
        <v>0</v>
      </c>
      <c r="I235" s="100">
        <v>0.93</v>
      </c>
      <c r="J235" s="100">
        <v>0</v>
      </c>
      <c r="K235" s="100">
        <v>0.93</v>
      </c>
      <c r="L235" s="100">
        <v>0</v>
      </c>
    </row>
    <row r="236" spans="1:12" x14ac:dyDescent="0.35">
      <c r="A236" s="98" t="s">
        <v>774</v>
      </c>
      <c r="B236" s="99" t="s">
        <v>775</v>
      </c>
      <c r="C236" s="100">
        <v>0</v>
      </c>
      <c r="D236" s="100">
        <v>0</v>
      </c>
      <c r="E236" s="100">
        <v>2303.66</v>
      </c>
      <c r="F236" s="100">
        <v>0</v>
      </c>
      <c r="G236" s="100">
        <v>143.53</v>
      </c>
      <c r="H236" s="100">
        <v>0</v>
      </c>
      <c r="I236" s="100">
        <v>2447.19</v>
      </c>
      <c r="J236" s="100">
        <v>0</v>
      </c>
      <c r="K236" s="100">
        <v>2447.19</v>
      </c>
      <c r="L236" s="100">
        <v>0</v>
      </c>
    </row>
    <row r="237" spans="1:12" x14ac:dyDescent="0.35">
      <c r="A237" s="98" t="s">
        <v>862</v>
      </c>
      <c r="B237" s="99" t="s">
        <v>863</v>
      </c>
      <c r="C237" s="100">
        <v>0</v>
      </c>
      <c r="D237" s="100">
        <v>0</v>
      </c>
      <c r="E237" s="100">
        <v>19.5</v>
      </c>
      <c r="F237" s="100">
        <v>0</v>
      </c>
      <c r="G237" s="100">
        <v>0</v>
      </c>
      <c r="H237" s="100">
        <v>0</v>
      </c>
      <c r="I237" s="100">
        <v>19.5</v>
      </c>
      <c r="J237" s="100">
        <v>0</v>
      </c>
      <c r="K237" s="100">
        <v>19.5</v>
      </c>
      <c r="L237" s="100">
        <v>0</v>
      </c>
    </row>
    <row r="238" spans="1:12" x14ac:dyDescent="0.35">
      <c r="A238" s="98" t="s">
        <v>776</v>
      </c>
      <c r="B238" s="99" t="s">
        <v>777</v>
      </c>
      <c r="C238" s="100">
        <v>0</v>
      </c>
      <c r="D238" s="100">
        <v>0</v>
      </c>
      <c r="E238" s="100">
        <v>1745.73</v>
      </c>
      <c r="F238" s="100">
        <v>0</v>
      </c>
      <c r="G238" s="100">
        <v>43.56</v>
      </c>
      <c r="H238" s="100">
        <v>0</v>
      </c>
      <c r="I238" s="100">
        <v>1789.29</v>
      </c>
      <c r="J238" s="100">
        <v>0</v>
      </c>
      <c r="K238" s="100">
        <v>1789.29</v>
      </c>
      <c r="L238" s="100">
        <v>0</v>
      </c>
    </row>
    <row r="239" spans="1:12" x14ac:dyDescent="0.35">
      <c r="A239" s="98" t="s">
        <v>778</v>
      </c>
      <c r="B239" s="99" t="s">
        <v>779</v>
      </c>
      <c r="C239" s="100">
        <v>0</v>
      </c>
      <c r="D239" s="100">
        <v>0</v>
      </c>
      <c r="E239" s="100">
        <v>1303.8900000000001</v>
      </c>
      <c r="F239" s="100">
        <v>0</v>
      </c>
      <c r="G239" s="100">
        <v>0</v>
      </c>
      <c r="H239" s="100">
        <v>0</v>
      </c>
      <c r="I239" s="100">
        <v>1303.8900000000001</v>
      </c>
      <c r="J239" s="100">
        <v>0</v>
      </c>
      <c r="K239" s="100">
        <v>1303.8900000000001</v>
      </c>
      <c r="L239" s="100">
        <v>0</v>
      </c>
    </row>
    <row r="240" spans="1:12" x14ac:dyDescent="0.35">
      <c r="A240" s="98" t="s">
        <v>780</v>
      </c>
      <c r="B240" s="99" t="s">
        <v>781</v>
      </c>
      <c r="C240" s="100">
        <v>0</v>
      </c>
      <c r="D240" s="100">
        <v>0</v>
      </c>
      <c r="E240" s="100">
        <v>0</v>
      </c>
      <c r="F240" s="100">
        <v>0</v>
      </c>
      <c r="G240" s="100">
        <v>0</v>
      </c>
      <c r="H240" s="100">
        <v>0</v>
      </c>
      <c r="I240" s="100">
        <v>0</v>
      </c>
      <c r="J240" s="100">
        <v>0</v>
      </c>
      <c r="K240" s="100">
        <v>0</v>
      </c>
      <c r="L240" s="100">
        <v>0</v>
      </c>
    </row>
    <row r="241" spans="1:12" x14ac:dyDescent="0.35">
      <c r="A241" s="98" t="s">
        <v>782</v>
      </c>
      <c r="B241" s="99" t="s">
        <v>783</v>
      </c>
      <c r="C241" s="100">
        <v>0</v>
      </c>
      <c r="D241" s="100">
        <v>0</v>
      </c>
      <c r="E241" s="100">
        <v>3517.47</v>
      </c>
      <c r="F241" s="100">
        <v>0</v>
      </c>
      <c r="G241" s="100">
        <v>319.77</v>
      </c>
      <c r="H241" s="100">
        <v>0</v>
      </c>
      <c r="I241" s="100">
        <v>3837.24</v>
      </c>
      <c r="J241" s="100">
        <v>0</v>
      </c>
      <c r="K241" s="100">
        <v>3837.24</v>
      </c>
      <c r="L241" s="100">
        <v>0</v>
      </c>
    </row>
    <row r="242" spans="1:12" x14ac:dyDescent="0.35">
      <c r="A242" s="98" t="s">
        <v>784</v>
      </c>
      <c r="B242" s="99" t="s">
        <v>785</v>
      </c>
      <c r="C242" s="100">
        <v>0</v>
      </c>
      <c r="D242" s="100">
        <v>0</v>
      </c>
      <c r="E242" s="100">
        <v>446.93</v>
      </c>
      <c r="F242" s="100">
        <v>0</v>
      </c>
      <c r="G242" s="100">
        <v>40.630000000000003</v>
      </c>
      <c r="H242" s="100">
        <v>0</v>
      </c>
      <c r="I242" s="100">
        <v>487.56</v>
      </c>
      <c r="J242" s="100">
        <v>0</v>
      </c>
      <c r="K242" s="100">
        <v>487.56</v>
      </c>
      <c r="L242" s="100">
        <v>0</v>
      </c>
    </row>
    <row r="243" spans="1:12" x14ac:dyDescent="0.35">
      <c r="A243" s="98" t="s">
        <v>864</v>
      </c>
      <c r="B243" s="99" t="s">
        <v>865</v>
      </c>
      <c r="C243" s="100">
        <v>0</v>
      </c>
      <c r="D243" s="100">
        <v>0</v>
      </c>
      <c r="E243" s="100">
        <v>1511.77</v>
      </c>
      <c r="F243" s="100">
        <v>0</v>
      </c>
      <c r="G243" s="100">
        <v>0</v>
      </c>
      <c r="H243" s="100">
        <v>0</v>
      </c>
      <c r="I243" s="100">
        <v>1511.77</v>
      </c>
      <c r="J243" s="100">
        <v>0</v>
      </c>
      <c r="K243" s="100">
        <v>1511.77</v>
      </c>
      <c r="L243" s="100">
        <v>0</v>
      </c>
    </row>
    <row r="244" spans="1:12" x14ac:dyDescent="0.35">
      <c r="A244" s="98" t="s">
        <v>786</v>
      </c>
      <c r="B244" s="99" t="s">
        <v>787</v>
      </c>
      <c r="C244" s="100">
        <v>0</v>
      </c>
      <c r="D244" s="100">
        <v>0</v>
      </c>
      <c r="E244" s="100">
        <v>256.74</v>
      </c>
      <c r="F244" s="100">
        <v>0</v>
      </c>
      <c r="G244" s="100">
        <v>23.34</v>
      </c>
      <c r="H244" s="100">
        <v>0</v>
      </c>
      <c r="I244" s="100">
        <v>280.08</v>
      </c>
      <c r="J244" s="100">
        <v>0</v>
      </c>
      <c r="K244" s="100">
        <v>280.08</v>
      </c>
      <c r="L244" s="100">
        <v>0</v>
      </c>
    </row>
    <row r="245" spans="1:12" x14ac:dyDescent="0.35">
      <c r="A245" s="98" t="s">
        <v>788</v>
      </c>
      <c r="B245" s="99" t="s">
        <v>789</v>
      </c>
      <c r="C245" s="100">
        <v>0</v>
      </c>
      <c r="D245" s="100">
        <v>0</v>
      </c>
      <c r="E245" s="100">
        <v>402.4</v>
      </c>
      <c r="F245" s="100">
        <v>0</v>
      </c>
      <c r="G245" s="100">
        <v>13.48</v>
      </c>
      <c r="H245" s="100">
        <v>0</v>
      </c>
      <c r="I245" s="100">
        <v>415.88</v>
      </c>
      <c r="J245" s="100">
        <v>0</v>
      </c>
      <c r="K245" s="100">
        <v>415.88</v>
      </c>
      <c r="L245" s="100">
        <v>0</v>
      </c>
    </row>
    <row r="246" spans="1:12" x14ac:dyDescent="0.35">
      <c r="A246" s="98" t="s">
        <v>790</v>
      </c>
      <c r="B246" s="99" t="s">
        <v>791</v>
      </c>
      <c r="C246" s="100">
        <v>0</v>
      </c>
      <c r="D246" s="100">
        <v>0</v>
      </c>
      <c r="E246" s="100">
        <v>469.11</v>
      </c>
      <c r="F246" s="100">
        <v>0</v>
      </c>
      <c r="G246" s="100">
        <v>55.29</v>
      </c>
      <c r="H246" s="100">
        <v>0</v>
      </c>
      <c r="I246" s="100">
        <v>524.4</v>
      </c>
      <c r="J246" s="100">
        <v>0</v>
      </c>
      <c r="K246" s="100">
        <v>524.4</v>
      </c>
      <c r="L246" s="100">
        <v>0</v>
      </c>
    </row>
    <row r="247" spans="1:12" x14ac:dyDescent="0.35">
      <c r="A247" s="98" t="s">
        <v>792</v>
      </c>
      <c r="B247" s="99" t="s">
        <v>793</v>
      </c>
      <c r="C247" s="100">
        <v>0</v>
      </c>
      <c r="D247" s="100">
        <v>0</v>
      </c>
      <c r="E247" s="100">
        <v>0</v>
      </c>
      <c r="F247" s="100">
        <v>0</v>
      </c>
      <c r="G247" s="100">
        <v>0</v>
      </c>
      <c r="H247" s="100">
        <v>0</v>
      </c>
      <c r="I247" s="100">
        <v>0</v>
      </c>
      <c r="J247" s="100">
        <v>0</v>
      </c>
      <c r="K247" s="100">
        <v>0</v>
      </c>
      <c r="L247" s="100">
        <v>0</v>
      </c>
    </row>
    <row r="248" spans="1:12" x14ac:dyDescent="0.35">
      <c r="A248" s="98" t="s">
        <v>794</v>
      </c>
      <c r="B248" s="99" t="s">
        <v>795</v>
      </c>
      <c r="C248" s="100">
        <v>0</v>
      </c>
      <c r="D248" s="100">
        <v>0</v>
      </c>
      <c r="E248" s="100">
        <v>251.37</v>
      </c>
      <c r="F248" s="100">
        <v>0</v>
      </c>
      <c r="G248" s="100">
        <v>21.71</v>
      </c>
      <c r="H248" s="100">
        <v>0</v>
      </c>
      <c r="I248" s="100">
        <v>273.08</v>
      </c>
      <c r="J248" s="100">
        <v>0</v>
      </c>
      <c r="K248" s="100">
        <v>273.08</v>
      </c>
      <c r="L248" s="100">
        <v>0</v>
      </c>
    </row>
    <row r="249" spans="1:12" x14ac:dyDescent="0.35">
      <c r="A249" s="98" t="s">
        <v>796</v>
      </c>
      <c r="B249" s="99" t="s">
        <v>797</v>
      </c>
      <c r="C249" s="100">
        <v>0</v>
      </c>
      <c r="D249" s="100">
        <v>0</v>
      </c>
      <c r="E249" s="100">
        <v>3074.1</v>
      </c>
      <c r="F249" s="100">
        <v>0</v>
      </c>
      <c r="G249" s="100">
        <v>375.52</v>
      </c>
      <c r="H249" s="100">
        <v>0</v>
      </c>
      <c r="I249" s="100">
        <v>3449.62</v>
      </c>
      <c r="J249" s="100">
        <v>0</v>
      </c>
      <c r="K249" s="100">
        <v>3449.62</v>
      </c>
      <c r="L249" s="100">
        <v>0</v>
      </c>
    </row>
    <row r="250" spans="1:12" x14ac:dyDescent="0.35">
      <c r="A250" s="98" t="s">
        <v>798</v>
      </c>
      <c r="B250" s="99" t="s">
        <v>799</v>
      </c>
      <c r="C250" s="100">
        <v>0</v>
      </c>
      <c r="D250" s="100">
        <v>0</v>
      </c>
      <c r="E250" s="100">
        <v>0</v>
      </c>
      <c r="F250" s="100">
        <v>0</v>
      </c>
      <c r="G250" s="100">
        <v>8041.95</v>
      </c>
      <c r="H250" s="100">
        <v>0</v>
      </c>
      <c r="I250" s="100">
        <v>8041.95</v>
      </c>
      <c r="J250" s="100">
        <v>0</v>
      </c>
      <c r="K250" s="100">
        <v>8041.95</v>
      </c>
      <c r="L250" s="100">
        <v>0</v>
      </c>
    </row>
    <row r="251" spans="1:12" x14ac:dyDescent="0.35">
      <c r="A251" s="98" t="s">
        <v>800</v>
      </c>
      <c r="B251" s="99" t="s">
        <v>147</v>
      </c>
      <c r="C251" s="100">
        <v>0</v>
      </c>
      <c r="D251" s="100">
        <v>0</v>
      </c>
      <c r="E251" s="100">
        <v>0</v>
      </c>
      <c r="F251" s="100">
        <v>0</v>
      </c>
      <c r="G251" s="100">
        <v>4038.54</v>
      </c>
      <c r="H251" s="100">
        <v>3244.2</v>
      </c>
      <c r="I251" s="100">
        <v>4038.54</v>
      </c>
      <c r="J251" s="100">
        <v>3244.2</v>
      </c>
      <c r="K251" s="100">
        <v>794.34</v>
      </c>
      <c r="L251" s="100">
        <v>0</v>
      </c>
    </row>
    <row r="252" spans="1:12" x14ac:dyDescent="0.35">
      <c r="A252" s="98" t="s">
        <v>866</v>
      </c>
      <c r="B252" s="99" t="s">
        <v>867</v>
      </c>
      <c r="C252" s="100">
        <v>0</v>
      </c>
      <c r="D252" s="100">
        <v>0</v>
      </c>
      <c r="E252" s="100">
        <v>0</v>
      </c>
      <c r="F252" s="100">
        <v>8.4</v>
      </c>
      <c r="G252" s="100">
        <v>0</v>
      </c>
      <c r="H252" s="100">
        <v>0</v>
      </c>
      <c r="I252" s="100">
        <v>0</v>
      </c>
      <c r="J252" s="100">
        <v>8.4</v>
      </c>
      <c r="K252" s="100">
        <v>0</v>
      </c>
      <c r="L252" s="100">
        <v>8.4</v>
      </c>
    </row>
    <row r="253" spans="1:12" x14ac:dyDescent="0.35">
      <c r="A253" s="98" t="s">
        <v>801</v>
      </c>
      <c r="B253" s="99" t="s">
        <v>802</v>
      </c>
      <c r="C253" s="100">
        <v>0</v>
      </c>
      <c r="D253" s="100">
        <v>0</v>
      </c>
      <c r="E253" s="100">
        <v>0</v>
      </c>
      <c r="F253" s="100">
        <v>0</v>
      </c>
      <c r="G253" s="100">
        <v>0</v>
      </c>
      <c r="H253" s="100">
        <v>0</v>
      </c>
      <c r="I253" s="100">
        <v>0</v>
      </c>
      <c r="J253" s="100">
        <v>0</v>
      </c>
      <c r="K253" s="100">
        <v>0</v>
      </c>
      <c r="L253" s="100">
        <v>0</v>
      </c>
    </row>
    <row r="254" spans="1:12" x14ac:dyDescent="0.35">
      <c r="A254" s="98" t="s">
        <v>803</v>
      </c>
      <c r="B254" s="99" t="s">
        <v>804</v>
      </c>
      <c r="C254" s="100">
        <v>0</v>
      </c>
      <c r="D254" s="100">
        <v>0</v>
      </c>
      <c r="E254" s="100">
        <v>0</v>
      </c>
      <c r="F254" s="100">
        <v>825.35</v>
      </c>
      <c r="G254" s="100">
        <v>0</v>
      </c>
      <c r="H254" s="100">
        <v>91.23</v>
      </c>
      <c r="I254" s="100">
        <v>0</v>
      </c>
      <c r="J254" s="100">
        <v>916.58</v>
      </c>
      <c r="K254" s="100">
        <v>0</v>
      </c>
      <c r="L254" s="100">
        <v>916.58</v>
      </c>
    </row>
    <row r="255" spans="1:12" x14ac:dyDescent="0.35">
      <c r="A255" s="98" t="s">
        <v>805</v>
      </c>
      <c r="B255" s="99" t="s">
        <v>806</v>
      </c>
      <c r="C255" s="100">
        <v>0</v>
      </c>
      <c r="D255" s="100">
        <v>0</v>
      </c>
      <c r="E255" s="100">
        <v>0</v>
      </c>
      <c r="F255" s="100">
        <v>597550.89</v>
      </c>
      <c r="G255" s="100">
        <v>0</v>
      </c>
      <c r="H255" s="100">
        <v>68568.350000000006</v>
      </c>
      <c r="I255" s="100">
        <v>0</v>
      </c>
      <c r="J255" s="100">
        <v>666119.24</v>
      </c>
      <c r="K255" s="100">
        <v>0</v>
      </c>
      <c r="L255" s="100">
        <v>666119.24</v>
      </c>
    </row>
    <row r="256" spans="1:12" x14ac:dyDescent="0.35">
      <c r="A256" s="98" t="s">
        <v>807</v>
      </c>
      <c r="B256" s="99" t="s">
        <v>808</v>
      </c>
      <c r="C256" s="100">
        <v>0</v>
      </c>
      <c r="D256" s="100">
        <v>0</v>
      </c>
      <c r="E256" s="100">
        <v>0</v>
      </c>
      <c r="F256" s="100">
        <v>167503.67000000001</v>
      </c>
      <c r="G256" s="100">
        <v>0</v>
      </c>
      <c r="H256" s="100">
        <v>18011.34</v>
      </c>
      <c r="I256" s="100">
        <v>0</v>
      </c>
      <c r="J256" s="100">
        <v>185515.01</v>
      </c>
      <c r="K256" s="100">
        <v>0</v>
      </c>
      <c r="L256" s="100">
        <v>185515.01</v>
      </c>
    </row>
    <row r="257" spans="1:12" x14ac:dyDescent="0.35">
      <c r="A257" s="98" t="s">
        <v>809</v>
      </c>
      <c r="B257" s="99" t="s">
        <v>810</v>
      </c>
      <c r="C257" s="100">
        <v>0</v>
      </c>
      <c r="D257" s="100">
        <v>0</v>
      </c>
      <c r="E257" s="100">
        <v>0</v>
      </c>
      <c r="F257" s="100">
        <v>687212.78</v>
      </c>
      <c r="G257" s="100">
        <v>0</v>
      </c>
      <c r="H257" s="100">
        <v>95313.69</v>
      </c>
      <c r="I257" s="100">
        <v>0</v>
      </c>
      <c r="J257" s="100">
        <v>782526.47</v>
      </c>
      <c r="K257" s="100">
        <v>0</v>
      </c>
      <c r="L257" s="100">
        <v>782526.47</v>
      </c>
    </row>
    <row r="258" spans="1:12" x14ac:dyDescent="0.35">
      <c r="A258" s="98" t="s">
        <v>811</v>
      </c>
      <c r="B258" s="99" t="s">
        <v>812</v>
      </c>
      <c r="C258" s="100">
        <v>0</v>
      </c>
      <c r="D258" s="100">
        <v>0</v>
      </c>
      <c r="E258" s="100">
        <v>0</v>
      </c>
      <c r="F258" s="100">
        <v>188927.45</v>
      </c>
      <c r="G258" s="100">
        <v>0</v>
      </c>
      <c r="H258" s="100">
        <v>23925.759999999998</v>
      </c>
      <c r="I258" s="100">
        <v>0</v>
      </c>
      <c r="J258" s="100">
        <v>212853.21</v>
      </c>
      <c r="K258" s="100">
        <v>0</v>
      </c>
      <c r="L258" s="100">
        <v>212853.21</v>
      </c>
    </row>
    <row r="259" spans="1:12" x14ac:dyDescent="0.35">
      <c r="A259" s="98" t="s">
        <v>813</v>
      </c>
      <c r="B259" s="99" t="s">
        <v>814</v>
      </c>
      <c r="C259" s="100">
        <v>0</v>
      </c>
      <c r="D259" s="100">
        <v>0</v>
      </c>
      <c r="E259" s="100">
        <v>0</v>
      </c>
      <c r="F259" s="100">
        <v>-15484.13</v>
      </c>
      <c r="G259" s="100">
        <v>0</v>
      </c>
      <c r="H259" s="100">
        <v>-1597.69</v>
      </c>
      <c r="I259" s="100">
        <v>0</v>
      </c>
      <c r="J259" s="100">
        <v>-17081.82</v>
      </c>
      <c r="K259" s="100">
        <v>0</v>
      </c>
      <c r="L259" s="100">
        <v>-17081.82</v>
      </c>
    </row>
    <row r="260" spans="1:12" x14ac:dyDescent="0.35">
      <c r="A260" s="98" t="s">
        <v>815</v>
      </c>
      <c r="B260" s="99" t="s">
        <v>816</v>
      </c>
      <c r="C260" s="100">
        <v>0</v>
      </c>
      <c r="D260" s="100">
        <v>0</v>
      </c>
      <c r="E260" s="100">
        <v>0</v>
      </c>
      <c r="F260" s="100">
        <v>-10407.82</v>
      </c>
      <c r="G260" s="100">
        <v>0</v>
      </c>
      <c r="H260" s="100">
        <v>-1513.58</v>
      </c>
      <c r="I260" s="100">
        <v>0</v>
      </c>
      <c r="J260" s="100">
        <v>-11921.4</v>
      </c>
      <c r="K260" s="100">
        <v>0</v>
      </c>
      <c r="L260" s="100">
        <v>-11921.4</v>
      </c>
    </row>
    <row r="261" spans="1:12" x14ac:dyDescent="0.35">
      <c r="A261" s="98" t="s">
        <v>817</v>
      </c>
      <c r="B261" s="99" t="s">
        <v>818</v>
      </c>
      <c r="C261" s="100">
        <v>0</v>
      </c>
      <c r="D261" s="100">
        <v>0</v>
      </c>
      <c r="E261" s="100">
        <v>0</v>
      </c>
      <c r="F261" s="100">
        <v>7265.68</v>
      </c>
      <c r="G261" s="100">
        <v>0</v>
      </c>
      <c r="H261" s="100">
        <v>50.32</v>
      </c>
      <c r="I261" s="100">
        <v>0</v>
      </c>
      <c r="J261" s="100">
        <v>7316</v>
      </c>
      <c r="K261" s="100">
        <v>0</v>
      </c>
      <c r="L261" s="100">
        <v>7316</v>
      </c>
    </row>
    <row r="262" spans="1:12" x14ac:dyDescent="0.35">
      <c r="A262" s="98" t="s">
        <v>819</v>
      </c>
      <c r="B262" s="99" t="s">
        <v>820</v>
      </c>
      <c r="C262" s="100">
        <v>0</v>
      </c>
      <c r="D262" s="100">
        <v>0</v>
      </c>
      <c r="E262" s="100">
        <v>0</v>
      </c>
      <c r="F262" s="100">
        <v>3463.58</v>
      </c>
      <c r="G262" s="100">
        <v>0</v>
      </c>
      <c r="H262" s="100">
        <v>378.48</v>
      </c>
      <c r="I262" s="100">
        <v>0</v>
      </c>
      <c r="J262" s="100">
        <v>3842.06</v>
      </c>
      <c r="K262" s="100">
        <v>0</v>
      </c>
      <c r="L262" s="100">
        <v>3842.06</v>
      </c>
    </row>
    <row r="263" spans="1:12" x14ac:dyDescent="0.35">
      <c r="A263" s="98" t="s">
        <v>821</v>
      </c>
      <c r="B263" s="99" t="s">
        <v>822</v>
      </c>
      <c r="C263" s="100">
        <v>0</v>
      </c>
      <c r="D263" s="100">
        <v>0</v>
      </c>
      <c r="E263" s="100">
        <v>0</v>
      </c>
      <c r="F263" s="100">
        <v>20.85</v>
      </c>
      <c r="G263" s="100">
        <v>0</v>
      </c>
      <c r="H263" s="100">
        <v>3</v>
      </c>
      <c r="I263" s="100">
        <v>0</v>
      </c>
      <c r="J263" s="100">
        <v>23.85</v>
      </c>
      <c r="K263" s="100">
        <v>0</v>
      </c>
      <c r="L263" s="100">
        <v>23.85</v>
      </c>
    </row>
    <row r="264" spans="1:12" x14ac:dyDescent="0.35">
      <c r="A264" s="98" t="s">
        <v>823</v>
      </c>
      <c r="B264" s="99" t="s">
        <v>824</v>
      </c>
      <c r="C264" s="100">
        <v>0</v>
      </c>
      <c r="D264" s="100">
        <v>0</v>
      </c>
      <c r="E264" s="100">
        <v>0</v>
      </c>
      <c r="F264" s="100">
        <v>7263.64</v>
      </c>
      <c r="G264" s="100">
        <v>0</v>
      </c>
      <c r="H264" s="100">
        <v>50.32</v>
      </c>
      <c r="I264" s="100">
        <v>0</v>
      </c>
      <c r="J264" s="100">
        <v>7313.96</v>
      </c>
      <c r="K264" s="100">
        <v>0</v>
      </c>
      <c r="L264" s="100">
        <v>7313.96</v>
      </c>
    </row>
    <row r="265" spans="1:12" x14ac:dyDescent="0.35">
      <c r="A265" s="98" t="s">
        <v>825</v>
      </c>
      <c r="B265" s="99" t="s">
        <v>773</v>
      </c>
      <c r="C265" s="100">
        <v>0</v>
      </c>
      <c r="D265" s="100">
        <v>0</v>
      </c>
      <c r="E265" s="100">
        <v>0</v>
      </c>
      <c r="F265" s="100">
        <v>328.22</v>
      </c>
      <c r="G265" s="100">
        <v>0</v>
      </c>
      <c r="H265" s="100">
        <v>37.46</v>
      </c>
      <c r="I265" s="100">
        <v>0</v>
      </c>
      <c r="J265" s="100">
        <v>365.68</v>
      </c>
      <c r="K265" s="100">
        <v>0</v>
      </c>
      <c r="L265" s="100">
        <v>365.68</v>
      </c>
    </row>
    <row r="266" spans="1:12" x14ac:dyDescent="0.35">
      <c r="A266" s="98" t="s">
        <v>826</v>
      </c>
      <c r="B266" s="99" t="s">
        <v>827</v>
      </c>
      <c r="C266" s="100">
        <v>0</v>
      </c>
      <c r="D266" s="100">
        <v>0</v>
      </c>
      <c r="E266" s="100">
        <v>0</v>
      </c>
      <c r="F266" s="100">
        <v>15.9</v>
      </c>
      <c r="G266" s="100">
        <v>0</v>
      </c>
      <c r="H266" s="100">
        <v>0</v>
      </c>
      <c r="I266" s="100">
        <v>0</v>
      </c>
      <c r="J266" s="100">
        <v>15.9</v>
      </c>
      <c r="K266" s="100">
        <v>0</v>
      </c>
      <c r="L266" s="100">
        <v>15.9</v>
      </c>
    </row>
    <row r="267" spans="1:12" x14ac:dyDescent="0.35">
      <c r="A267" s="98" t="s">
        <v>828</v>
      </c>
      <c r="B267" s="99" t="s">
        <v>829</v>
      </c>
      <c r="C267" s="100">
        <v>0</v>
      </c>
      <c r="D267" s="100">
        <v>0</v>
      </c>
      <c r="E267" s="100">
        <v>0</v>
      </c>
      <c r="F267" s="100">
        <v>0</v>
      </c>
      <c r="G267" s="100">
        <v>0</v>
      </c>
      <c r="H267" s="100">
        <v>0</v>
      </c>
      <c r="I267" s="100">
        <v>0</v>
      </c>
      <c r="J267" s="100">
        <v>0</v>
      </c>
      <c r="K267" s="100">
        <v>0</v>
      </c>
      <c r="L267" s="100">
        <v>0</v>
      </c>
    </row>
    <row r="268" spans="1:12" x14ac:dyDescent="0.35">
      <c r="A268" s="98" t="s">
        <v>830</v>
      </c>
      <c r="B268" s="99" t="s">
        <v>831</v>
      </c>
      <c r="C268" s="100">
        <v>0</v>
      </c>
      <c r="D268" s="100">
        <v>0</v>
      </c>
      <c r="E268" s="100">
        <v>0</v>
      </c>
      <c r="F268" s="100">
        <v>5522.53</v>
      </c>
      <c r="G268" s="100">
        <v>0</v>
      </c>
      <c r="H268" s="100">
        <v>443.36</v>
      </c>
      <c r="I268" s="100">
        <v>0</v>
      </c>
      <c r="J268" s="100">
        <v>5965.89</v>
      </c>
      <c r="K268" s="100">
        <v>0</v>
      </c>
      <c r="L268" s="100">
        <v>5965.89</v>
      </c>
    </row>
    <row r="269" spans="1:12" x14ac:dyDescent="0.35">
      <c r="A269" s="98" t="s">
        <v>832</v>
      </c>
      <c r="B269" s="99" t="s">
        <v>833</v>
      </c>
      <c r="C269" s="100">
        <v>0</v>
      </c>
      <c r="D269" s="100">
        <v>0</v>
      </c>
      <c r="E269" s="100">
        <v>0</v>
      </c>
      <c r="F269" s="100">
        <v>0</v>
      </c>
      <c r="G269" s="100">
        <v>0</v>
      </c>
      <c r="H269" s="100">
        <v>0</v>
      </c>
      <c r="I269" s="100">
        <v>0</v>
      </c>
      <c r="J269" s="100">
        <v>0</v>
      </c>
      <c r="K269" s="100">
        <v>0</v>
      </c>
      <c r="L269" s="100">
        <v>0</v>
      </c>
    </row>
    <row r="270" spans="1:12" x14ac:dyDescent="0.35">
      <c r="A270" s="98" t="s">
        <v>868</v>
      </c>
      <c r="B270" s="99" t="s">
        <v>869</v>
      </c>
      <c r="C270" s="100">
        <v>0</v>
      </c>
      <c r="D270" s="100">
        <v>0</v>
      </c>
      <c r="E270" s="100">
        <v>0</v>
      </c>
      <c r="F270" s="100">
        <v>88.78</v>
      </c>
      <c r="G270" s="100">
        <v>0</v>
      </c>
      <c r="H270" s="100">
        <v>0</v>
      </c>
      <c r="I270" s="100">
        <v>-88.78</v>
      </c>
      <c r="J270" s="100">
        <v>0</v>
      </c>
      <c r="K270" s="100">
        <v>0</v>
      </c>
      <c r="L270" s="100">
        <v>88.78</v>
      </c>
    </row>
    <row r="271" spans="1:12" x14ac:dyDescent="0.35">
      <c r="A271" s="98" t="s">
        <v>834</v>
      </c>
      <c r="B271" s="99" t="s">
        <v>835</v>
      </c>
      <c r="C271" s="100">
        <v>0</v>
      </c>
      <c r="D271" s="100">
        <v>0</v>
      </c>
      <c r="E271" s="100">
        <v>0</v>
      </c>
      <c r="F271" s="100">
        <v>0</v>
      </c>
      <c r="G271" s="100">
        <v>0</v>
      </c>
      <c r="H271" s="100">
        <v>129.25</v>
      </c>
      <c r="I271" s="100">
        <v>0</v>
      </c>
      <c r="J271" s="100">
        <v>129.25</v>
      </c>
      <c r="K271" s="100">
        <v>0</v>
      </c>
      <c r="L271" s="100">
        <v>129.25</v>
      </c>
    </row>
    <row r="272" spans="1:12" x14ac:dyDescent="0.35">
      <c r="A272" s="98" t="s">
        <v>836</v>
      </c>
      <c r="B272" s="99" t="s">
        <v>793</v>
      </c>
      <c r="C272" s="100">
        <v>0</v>
      </c>
      <c r="D272" s="100">
        <v>0</v>
      </c>
      <c r="E272" s="100">
        <v>0</v>
      </c>
      <c r="F272" s="100">
        <v>6995.36</v>
      </c>
      <c r="G272" s="100">
        <v>0</v>
      </c>
      <c r="H272" s="100">
        <v>565.52</v>
      </c>
      <c r="I272" s="100">
        <v>0</v>
      </c>
      <c r="J272" s="100">
        <v>7560.88</v>
      </c>
      <c r="K272" s="100">
        <v>0</v>
      </c>
      <c r="L272" s="100">
        <v>7560.88</v>
      </c>
    </row>
    <row r="273" spans="1:12" x14ac:dyDescent="0.35">
      <c r="A273" s="98" t="s">
        <v>870</v>
      </c>
      <c r="B273" s="99" t="s">
        <v>871</v>
      </c>
      <c r="C273" s="100">
        <v>0</v>
      </c>
      <c r="D273" s="100">
        <v>0</v>
      </c>
      <c r="E273" s="100">
        <v>0</v>
      </c>
      <c r="F273" s="100">
        <v>0</v>
      </c>
      <c r="G273" s="100">
        <v>0</v>
      </c>
      <c r="H273" s="100">
        <v>0</v>
      </c>
      <c r="I273" s="100">
        <v>90</v>
      </c>
      <c r="J273" s="100">
        <v>90</v>
      </c>
      <c r="K273" s="100">
        <v>0</v>
      </c>
      <c r="L273" s="100">
        <v>0</v>
      </c>
    </row>
    <row r="274" spans="1:12" x14ac:dyDescent="0.35">
      <c r="A274" s="98" t="s">
        <v>872</v>
      </c>
      <c r="B274" s="99" t="s">
        <v>873</v>
      </c>
      <c r="C274" s="100">
        <v>0</v>
      </c>
      <c r="D274" s="100">
        <v>0</v>
      </c>
      <c r="E274" s="100">
        <v>0</v>
      </c>
      <c r="F274" s="100">
        <v>0</v>
      </c>
      <c r="G274" s="100">
        <v>0</v>
      </c>
      <c r="H274" s="100">
        <v>0</v>
      </c>
      <c r="I274" s="100">
        <v>90</v>
      </c>
      <c r="J274" s="100">
        <v>90</v>
      </c>
      <c r="K274" s="100">
        <v>0</v>
      </c>
      <c r="L274" s="100">
        <v>0</v>
      </c>
    </row>
  </sheetData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tabColor rgb="FF0070C0"/>
  </sheetPr>
  <dimension ref="A1:L124"/>
  <sheetViews>
    <sheetView workbookViewId="0">
      <selection activeCell="B2" sqref="B2"/>
    </sheetView>
  </sheetViews>
  <sheetFormatPr defaultColWidth="9.1796875" defaultRowHeight="14.5" x14ac:dyDescent="0.35"/>
  <cols>
    <col min="1" max="1" width="16.1796875" style="98" customWidth="1"/>
    <col min="2" max="2" width="46.7265625" style="99" customWidth="1"/>
    <col min="3" max="3" width="15.26953125" style="100" customWidth="1"/>
    <col min="4" max="4" width="15.26953125" style="100" bestFit="1" customWidth="1"/>
    <col min="5" max="5" width="15.1796875" style="100" customWidth="1"/>
    <col min="6" max="7" width="15.26953125" style="100" bestFit="1" customWidth="1"/>
    <col min="8" max="8" width="15.26953125" style="100" customWidth="1"/>
    <col min="9" max="11" width="15.26953125" style="100" bestFit="1" customWidth="1"/>
    <col min="12" max="12" width="14.81640625" style="100" customWidth="1"/>
    <col min="13" max="16384" width="9.1796875" style="94"/>
  </cols>
  <sheetData>
    <row r="1" spans="1:12" ht="20" x14ac:dyDescent="0.35">
      <c r="A1" s="104" t="s">
        <v>258</v>
      </c>
      <c r="B1" s="105" t="s">
        <v>259</v>
      </c>
      <c r="C1" s="106" t="s">
        <v>238</v>
      </c>
      <c r="D1" s="106" t="s">
        <v>239</v>
      </c>
      <c r="E1" s="106" t="s">
        <v>240</v>
      </c>
      <c r="F1" s="106" t="s">
        <v>241</v>
      </c>
      <c r="G1" s="106" t="s">
        <v>242</v>
      </c>
      <c r="H1" s="106" t="s">
        <v>243</v>
      </c>
      <c r="I1" s="106" t="s">
        <v>244</v>
      </c>
      <c r="J1" s="106" t="s">
        <v>245</v>
      </c>
      <c r="K1" s="106" t="s">
        <v>246</v>
      </c>
      <c r="L1" s="106" t="s">
        <v>247</v>
      </c>
    </row>
    <row r="2" spans="1:12" x14ac:dyDescent="0.35">
      <c r="A2" s="95" t="s">
        <v>874</v>
      </c>
      <c r="B2" s="96" t="s">
        <v>295</v>
      </c>
      <c r="C2" s="97">
        <v>2485.4899999999998</v>
      </c>
      <c r="D2" s="97">
        <v>0</v>
      </c>
      <c r="E2" s="97">
        <v>2485.4899999999998</v>
      </c>
      <c r="F2" s="97">
        <v>0</v>
      </c>
      <c r="G2" s="97">
        <v>0</v>
      </c>
      <c r="H2" s="97">
        <v>0</v>
      </c>
      <c r="I2" s="97">
        <v>0</v>
      </c>
      <c r="J2" s="97">
        <v>0</v>
      </c>
      <c r="K2" s="97">
        <v>2485.4899999999998</v>
      </c>
      <c r="L2" s="97">
        <v>0</v>
      </c>
    </row>
    <row r="3" spans="1:12" x14ac:dyDescent="0.35">
      <c r="A3" s="95" t="s">
        <v>875</v>
      </c>
      <c r="B3" s="96" t="s">
        <v>297</v>
      </c>
      <c r="C3" s="97">
        <v>2135.5500000000002</v>
      </c>
      <c r="D3" s="97">
        <v>0</v>
      </c>
      <c r="E3" s="97">
        <v>2135.5500000000002</v>
      </c>
      <c r="F3" s="97">
        <v>0</v>
      </c>
      <c r="G3" s="97">
        <v>0</v>
      </c>
      <c r="H3" s="97">
        <v>0</v>
      </c>
      <c r="I3" s="97">
        <v>0</v>
      </c>
      <c r="J3" s="97">
        <v>0</v>
      </c>
      <c r="K3" s="97">
        <v>2135.5500000000002</v>
      </c>
      <c r="L3" s="97">
        <v>0</v>
      </c>
    </row>
    <row r="4" spans="1:12" x14ac:dyDescent="0.35">
      <c r="A4" s="95" t="s">
        <v>876</v>
      </c>
      <c r="B4" s="96" t="s">
        <v>28</v>
      </c>
      <c r="C4" s="97">
        <v>76743.69</v>
      </c>
      <c r="D4" s="97">
        <v>0</v>
      </c>
      <c r="E4" s="97">
        <v>76743.69</v>
      </c>
      <c r="F4" s="97">
        <v>0</v>
      </c>
      <c r="G4" s="97">
        <v>0</v>
      </c>
      <c r="H4" s="97">
        <v>0</v>
      </c>
      <c r="I4" s="97">
        <v>0</v>
      </c>
      <c r="J4" s="97">
        <v>0</v>
      </c>
      <c r="K4" s="97">
        <v>76743.69</v>
      </c>
      <c r="L4" s="97">
        <v>0</v>
      </c>
    </row>
    <row r="5" spans="1:12" x14ac:dyDescent="0.35">
      <c r="A5" s="95" t="s">
        <v>877</v>
      </c>
      <c r="B5" s="96" t="s">
        <v>878</v>
      </c>
      <c r="C5" s="97">
        <v>33768.01</v>
      </c>
      <c r="D5" s="97">
        <v>0</v>
      </c>
      <c r="E5" s="97">
        <v>33768.01</v>
      </c>
      <c r="F5" s="97">
        <v>0</v>
      </c>
      <c r="G5" s="97">
        <v>0</v>
      </c>
      <c r="H5" s="97">
        <v>0</v>
      </c>
      <c r="I5" s="97">
        <v>0</v>
      </c>
      <c r="J5" s="97">
        <v>0</v>
      </c>
      <c r="K5" s="97">
        <v>33768.01</v>
      </c>
      <c r="L5" s="97">
        <v>0</v>
      </c>
    </row>
    <row r="6" spans="1:12" x14ac:dyDescent="0.35">
      <c r="A6" s="95" t="s">
        <v>879</v>
      </c>
      <c r="B6" s="96" t="s">
        <v>880</v>
      </c>
      <c r="C6" s="97">
        <v>7842.44</v>
      </c>
      <c r="D6" s="97">
        <v>0</v>
      </c>
      <c r="E6" s="97">
        <v>8603.44</v>
      </c>
      <c r="F6" s="97">
        <v>0</v>
      </c>
      <c r="G6" s="97">
        <v>0</v>
      </c>
      <c r="H6" s="97">
        <v>0</v>
      </c>
      <c r="I6" s="97">
        <v>761</v>
      </c>
      <c r="J6" s="97">
        <v>0</v>
      </c>
      <c r="K6" s="97">
        <v>8603.44</v>
      </c>
      <c r="L6" s="97">
        <v>0</v>
      </c>
    </row>
    <row r="7" spans="1:12" x14ac:dyDescent="0.35">
      <c r="A7" s="95" t="s">
        <v>881</v>
      </c>
      <c r="B7" s="96" t="s">
        <v>315</v>
      </c>
      <c r="C7" s="97">
        <v>761</v>
      </c>
      <c r="D7" s="97">
        <v>0</v>
      </c>
      <c r="E7" s="97">
        <v>755</v>
      </c>
      <c r="F7" s="97">
        <v>0</v>
      </c>
      <c r="G7" s="97">
        <v>1634.83</v>
      </c>
      <c r="H7" s="97">
        <v>0</v>
      </c>
      <c r="I7" s="97">
        <v>2389.83</v>
      </c>
      <c r="J7" s="97">
        <v>761</v>
      </c>
      <c r="K7" s="97">
        <v>2389.83</v>
      </c>
      <c r="L7" s="97">
        <v>0</v>
      </c>
    </row>
    <row r="8" spans="1:12" x14ac:dyDescent="0.35">
      <c r="A8" s="95" t="s">
        <v>882</v>
      </c>
      <c r="B8" s="96" t="s">
        <v>317</v>
      </c>
      <c r="C8" s="97">
        <v>0</v>
      </c>
      <c r="D8" s="97">
        <v>2485.4899999999998</v>
      </c>
      <c r="E8" s="97">
        <v>0</v>
      </c>
      <c r="F8" s="97">
        <v>2485.4899999999998</v>
      </c>
      <c r="G8" s="97">
        <v>0</v>
      </c>
      <c r="H8" s="97">
        <v>0</v>
      </c>
      <c r="I8" s="97">
        <v>0</v>
      </c>
      <c r="J8" s="97">
        <v>0</v>
      </c>
      <c r="K8" s="97">
        <v>0</v>
      </c>
      <c r="L8" s="97">
        <v>2485.4899999999998</v>
      </c>
    </row>
    <row r="9" spans="1:12" x14ac:dyDescent="0.35">
      <c r="A9" s="95" t="s">
        <v>883</v>
      </c>
      <c r="B9" s="96" t="s">
        <v>319</v>
      </c>
      <c r="C9" s="97">
        <v>0</v>
      </c>
      <c r="D9" s="97">
        <v>1692.25</v>
      </c>
      <c r="E9" s="97">
        <v>0</v>
      </c>
      <c r="F9" s="97">
        <v>1948.99</v>
      </c>
      <c r="G9" s="97">
        <v>0</v>
      </c>
      <c r="H9" s="97">
        <v>23.34</v>
      </c>
      <c r="I9" s="97">
        <v>0</v>
      </c>
      <c r="J9" s="97">
        <v>280.08</v>
      </c>
      <c r="K9" s="97">
        <v>0</v>
      </c>
      <c r="L9" s="97">
        <v>1972.33</v>
      </c>
    </row>
    <row r="10" spans="1:12" x14ac:dyDescent="0.35">
      <c r="A10" s="95" t="s">
        <v>884</v>
      </c>
      <c r="B10" s="96" t="s">
        <v>885</v>
      </c>
      <c r="C10" s="97">
        <v>0</v>
      </c>
      <c r="D10" s="97">
        <v>52503.839999999997</v>
      </c>
      <c r="E10" s="97">
        <v>0</v>
      </c>
      <c r="F10" s="97">
        <v>56021.31</v>
      </c>
      <c r="G10" s="97">
        <v>0</v>
      </c>
      <c r="H10" s="97">
        <v>319.77</v>
      </c>
      <c r="I10" s="97">
        <v>0</v>
      </c>
      <c r="J10" s="97">
        <v>3837.24</v>
      </c>
      <c r="K10" s="97">
        <v>0</v>
      </c>
      <c r="L10" s="97">
        <v>56341.08</v>
      </c>
    </row>
    <row r="11" spans="1:12" x14ac:dyDescent="0.35">
      <c r="A11" s="95" t="s">
        <v>886</v>
      </c>
      <c r="B11" s="96" t="s">
        <v>887</v>
      </c>
      <c r="C11" s="97">
        <v>0</v>
      </c>
      <c r="D11" s="97">
        <v>31606.42</v>
      </c>
      <c r="E11" s="97">
        <v>0</v>
      </c>
      <c r="F11" s="97">
        <v>33565.120000000003</v>
      </c>
      <c r="G11" s="97">
        <v>0</v>
      </c>
      <c r="H11" s="97">
        <v>40.630000000000003</v>
      </c>
      <c r="I11" s="97">
        <v>0</v>
      </c>
      <c r="J11" s="97">
        <v>1999.33</v>
      </c>
      <c r="K11" s="97">
        <v>0</v>
      </c>
      <c r="L11" s="97">
        <v>33605.75</v>
      </c>
    </row>
    <row r="12" spans="1:12" x14ac:dyDescent="0.35">
      <c r="A12" s="95" t="s">
        <v>888</v>
      </c>
      <c r="B12" s="96" t="s">
        <v>331</v>
      </c>
      <c r="C12" s="97">
        <v>0</v>
      </c>
      <c r="D12" s="97">
        <v>6925.21</v>
      </c>
      <c r="E12" s="97">
        <v>0</v>
      </c>
      <c r="F12" s="97">
        <v>7796.72</v>
      </c>
      <c r="G12" s="97">
        <v>0</v>
      </c>
      <c r="H12" s="97">
        <v>68.77</v>
      </c>
      <c r="I12" s="97">
        <v>0</v>
      </c>
      <c r="J12" s="97">
        <v>940.28</v>
      </c>
      <c r="K12" s="97">
        <v>0</v>
      </c>
      <c r="L12" s="97">
        <v>7865.49</v>
      </c>
    </row>
    <row r="13" spans="1:12" x14ac:dyDescent="0.35">
      <c r="A13" s="95" t="s">
        <v>889</v>
      </c>
      <c r="B13" s="96" t="s">
        <v>337</v>
      </c>
      <c r="C13" s="97">
        <v>0</v>
      </c>
      <c r="D13" s="97">
        <v>0</v>
      </c>
      <c r="E13" s="97">
        <v>-546.57000000000005</v>
      </c>
      <c r="F13" s="97">
        <v>0</v>
      </c>
      <c r="G13" s="97">
        <v>145883.53</v>
      </c>
      <c r="H13" s="97">
        <v>145336.95999999999</v>
      </c>
      <c r="I13" s="97">
        <v>1516398.49</v>
      </c>
      <c r="J13" s="97">
        <v>1516398.49</v>
      </c>
      <c r="K13" s="97">
        <v>0</v>
      </c>
      <c r="L13" s="97">
        <v>0</v>
      </c>
    </row>
    <row r="14" spans="1:12" x14ac:dyDescent="0.35">
      <c r="A14" s="95" t="s">
        <v>890</v>
      </c>
      <c r="B14" s="96" t="s">
        <v>891</v>
      </c>
      <c r="C14" s="97">
        <v>117522.02</v>
      </c>
      <c r="D14" s="97">
        <v>0</v>
      </c>
      <c r="E14" s="97">
        <v>145760.45000000001</v>
      </c>
      <c r="F14" s="97">
        <v>0</v>
      </c>
      <c r="G14" s="97">
        <v>275909.88</v>
      </c>
      <c r="H14" s="97">
        <v>296377.65999999997</v>
      </c>
      <c r="I14" s="97">
        <v>2826403.49</v>
      </c>
      <c r="J14" s="97">
        <v>2818632.84</v>
      </c>
      <c r="K14" s="97">
        <v>125292.67</v>
      </c>
      <c r="L14" s="97">
        <v>0</v>
      </c>
    </row>
    <row r="15" spans="1:12" x14ac:dyDescent="0.35">
      <c r="A15" s="95" t="s">
        <v>892</v>
      </c>
      <c r="B15" s="96" t="s">
        <v>345</v>
      </c>
      <c r="C15" s="97">
        <v>141.97999999999999</v>
      </c>
      <c r="D15" s="97">
        <v>0</v>
      </c>
      <c r="E15" s="97">
        <v>3676.06</v>
      </c>
      <c r="F15" s="97">
        <v>0</v>
      </c>
      <c r="G15" s="97">
        <v>111.78</v>
      </c>
      <c r="H15" s="97">
        <v>3676.06</v>
      </c>
      <c r="I15" s="97">
        <v>14924.47</v>
      </c>
      <c r="J15" s="97">
        <v>14954.67</v>
      </c>
      <c r="K15" s="97">
        <v>111.78</v>
      </c>
      <c r="L15" s="97">
        <v>0</v>
      </c>
    </row>
    <row r="16" spans="1:12" x14ac:dyDescent="0.35">
      <c r="A16" s="95" t="s">
        <v>893</v>
      </c>
      <c r="B16" s="96" t="s">
        <v>347</v>
      </c>
      <c r="C16" s="97">
        <v>0</v>
      </c>
      <c r="D16" s="97">
        <v>3926.23</v>
      </c>
      <c r="E16" s="97">
        <v>0</v>
      </c>
      <c r="F16" s="97">
        <v>3009.09</v>
      </c>
      <c r="G16" s="97">
        <v>276.70999999999998</v>
      </c>
      <c r="H16" s="97">
        <v>394.5</v>
      </c>
      <c r="I16" s="97">
        <v>4078.37</v>
      </c>
      <c r="J16" s="97">
        <v>3279.02</v>
      </c>
      <c r="K16" s="97">
        <v>0</v>
      </c>
      <c r="L16" s="97">
        <v>3126.88</v>
      </c>
    </row>
    <row r="17" spans="1:12" x14ac:dyDescent="0.35">
      <c r="A17" s="95" t="s">
        <v>894</v>
      </c>
      <c r="B17" s="96" t="s">
        <v>895</v>
      </c>
      <c r="C17" s="97">
        <v>3461.35</v>
      </c>
      <c r="D17" s="97">
        <v>0</v>
      </c>
      <c r="E17" s="97">
        <v>8733.44</v>
      </c>
      <c r="F17" s="97">
        <v>0</v>
      </c>
      <c r="G17" s="97">
        <v>156255.15</v>
      </c>
      <c r="H17" s="97">
        <v>153757.34</v>
      </c>
      <c r="I17" s="97">
        <v>1343587.76</v>
      </c>
      <c r="J17" s="97">
        <v>1335817.8600000001</v>
      </c>
      <c r="K17" s="97">
        <v>11231.25</v>
      </c>
      <c r="L17" s="97">
        <v>0</v>
      </c>
    </row>
    <row r="18" spans="1:12" x14ac:dyDescent="0.35">
      <c r="A18" s="95" t="s">
        <v>896</v>
      </c>
      <c r="B18" s="96" t="s">
        <v>897</v>
      </c>
      <c r="C18" s="97">
        <v>0</v>
      </c>
      <c r="D18" s="97">
        <v>0</v>
      </c>
      <c r="E18" s="97">
        <v>0</v>
      </c>
      <c r="F18" s="97">
        <v>0</v>
      </c>
      <c r="G18" s="97">
        <v>106.2</v>
      </c>
      <c r="H18" s="97">
        <v>106.2</v>
      </c>
      <c r="I18" s="97">
        <v>1723</v>
      </c>
      <c r="J18" s="97">
        <v>1723</v>
      </c>
      <c r="K18" s="97">
        <v>0</v>
      </c>
      <c r="L18" s="97">
        <v>0</v>
      </c>
    </row>
    <row r="19" spans="1:12" x14ac:dyDescent="0.35">
      <c r="A19" s="95" t="s">
        <v>898</v>
      </c>
      <c r="B19" s="96" t="s">
        <v>899</v>
      </c>
      <c r="C19" s="97">
        <v>0</v>
      </c>
      <c r="D19" s="97">
        <v>0</v>
      </c>
      <c r="E19" s="97">
        <v>0</v>
      </c>
      <c r="F19" s="97">
        <v>0</v>
      </c>
      <c r="G19" s="97">
        <v>468492.96</v>
      </c>
      <c r="H19" s="97">
        <v>468492.96</v>
      </c>
      <c r="I19" s="97">
        <v>3152710.78</v>
      </c>
      <c r="J19" s="97">
        <v>3152710.78</v>
      </c>
      <c r="K19" s="97">
        <v>0</v>
      </c>
      <c r="L19" s="97">
        <v>0</v>
      </c>
    </row>
    <row r="20" spans="1:12" x14ac:dyDescent="0.35">
      <c r="A20" s="95" t="s">
        <v>900</v>
      </c>
      <c r="B20" s="96" t="s">
        <v>901</v>
      </c>
      <c r="C20" s="97">
        <v>0</v>
      </c>
      <c r="D20" s="97">
        <v>0</v>
      </c>
      <c r="E20" s="97">
        <v>0</v>
      </c>
      <c r="F20" s="97">
        <v>0</v>
      </c>
      <c r="G20" s="97">
        <v>7000</v>
      </c>
      <c r="H20" s="97">
        <v>7000</v>
      </c>
      <c r="I20" s="97">
        <v>44427</v>
      </c>
      <c r="J20" s="97">
        <v>44427</v>
      </c>
      <c r="K20" s="97">
        <v>0</v>
      </c>
      <c r="L20" s="97">
        <v>0</v>
      </c>
    </row>
    <row r="21" spans="1:12" x14ac:dyDescent="0.35">
      <c r="A21" s="95" t="s">
        <v>902</v>
      </c>
      <c r="B21" s="96" t="s">
        <v>359</v>
      </c>
      <c r="C21" s="97">
        <v>85196.99</v>
      </c>
      <c r="D21" s="97">
        <v>0</v>
      </c>
      <c r="E21" s="97">
        <v>72175.509999999995</v>
      </c>
      <c r="F21" s="97">
        <v>0</v>
      </c>
      <c r="G21" s="97">
        <v>118009.64</v>
      </c>
      <c r="H21" s="97">
        <v>80508.19</v>
      </c>
      <c r="I21" s="97">
        <v>948938.11</v>
      </c>
      <c r="J21" s="97">
        <v>924458.14</v>
      </c>
      <c r="K21" s="97">
        <v>109676.96</v>
      </c>
      <c r="L21" s="97">
        <v>0</v>
      </c>
    </row>
    <row r="22" spans="1:12" x14ac:dyDescent="0.35">
      <c r="A22" s="95" t="s">
        <v>903</v>
      </c>
      <c r="B22" s="96" t="s">
        <v>904</v>
      </c>
      <c r="C22" s="97">
        <v>11166.14</v>
      </c>
      <c r="D22" s="97">
        <v>0</v>
      </c>
      <c r="E22" s="97">
        <v>15283.08</v>
      </c>
      <c r="F22" s="97">
        <v>0</v>
      </c>
      <c r="G22" s="97">
        <v>0</v>
      </c>
      <c r="H22" s="97">
        <v>0</v>
      </c>
      <c r="I22" s="97">
        <v>4116.9399999999996</v>
      </c>
      <c r="J22" s="97">
        <v>0</v>
      </c>
      <c r="K22" s="97">
        <v>15283.08</v>
      </c>
      <c r="L22" s="97">
        <v>0</v>
      </c>
    </row>
    <row r="23" spans="1:12" x14ac:dyDescent="0.35">
      <c r="A23" s="95" t="s">
        <v>905</v>
      </c>
      <c r="B23" s="96" t="s">
        <v>906</v>
      </c>
      <c r="C23" s="97">
        <v>36877.230000000003</v>
      </c>
      <c r="D23" s="97">
        <v>0</v>
      </c>
      <c r="E23" s="97">
        <v>75367.960000000006</v>
      </c>
      <c r="F23" s="97">
        <v>0</v>
      </c>
      <c r="G23" s="97">
        <v>90398.18</v>
      </c>
      <c r="H23" s="97">
        <v>108237.42</v>
      </c>
      <c r="I23" s="97">
        <v>844286.51</v>
      </c>
      <c r="J23" s="97">
        <v>823635.02</v>
      </c>
      <c r="K23" s="97">
        <v>57528.72</v>
      </c>
      <c r="L23" s="97">
        <v>0</v>
      </c>
    </row>
    <row r="24" spans="1:12" x14ac:dyDescent="0.35">
      <c r="A24" s="95" t="s">
        <v>907</v>
      </c>
      <c r="B24" s="96" t="s">
        <v>399</v>
      </c>
      <c r="C24" s="97">
        <v>0</v>
      </c>
      <c r="D24" s="97">
        <v>415281.04</v>
      </c>
      <c r="E24" s="97">
        <v>0</v>
      </c>
      <c r="F24" s="97">
        <v>427868.97</v>
      </c>
      <c r="G24" s="97">
        <v>368181.95</v>
      </c>
      <c r="H24" s="97">
        <v>377344.61</v>
      </c>
      <c r="I24" s="97">
        <v>1985605.79</v>
      </c>
      <c r="J24" s="97">
        <v>2007356.38</v>
      </c>
      <c r="K24" s="97">
        <v>0</v>
      </c>
      <c r="L24" s="97">
        <v>437031.63</v>
      </c>
    </row>
    <row r="25" spans="1:12" x14ac:dyDescent="0.35">
      <c r="A25" s="95" t="s">
        <v>908</v>
      </c>
      <c r="B25" s="96" t="s">
        <v>909</v>
      </c>
      <c r="C25" s="97">
        <v>0</v>
      </c>
      <c r="D25" s="97">
        <v>21037.52</v>
      </c>
      <c r="E25" s="97">
        <v>0</v>
      </c>
      <c r="F25" s="97">
        <v>13485.33</v>
      </c>
      <c r="G25" s="97">
        <v>221209.02</v>
      </c>
      <c r="H25" s="97">
        <v>224358.01</v>
      </c>
      <c r="I25" s="97">
        <v>224263.82</v>
      </c>
      <c r="J25" s="97">
        <v>219860.62</v>
      </c>
      <c r="K25" s="97">
        <v>0</v>
      </c>
      <c r="L25" s="97">
        <v>16634.32</v>
      </c>
    </row>
    <row r="26" spans="1:12" x14ac:dyDescent="0.35">
      <c r="A26" s="95" t="s">
        <v>910</v>
      </c>
      <c r="B26" s="96" t="s">
        <v>840</v>
      </c>
      <c r="C26" s="97">
        <v>0</v>
      </c>
      <c r="D26" s="97">
        <v>839.71</v>
      </c>
      <c r="E26" s="97">
        <v>0</v>
      </c>
      <c r="F26" s="97">
        <v>642.64</v>
      </c>
      <c r="G26" s="97">
        <v>3846.22</v>
      </c>
      <c r="H26" s="97">
        <v>3954.72</v>
      </c>
      <c r="I26" s="97">
        <v>30686.29</v>
      </c>
      <c r="J26" s="97">
        <v>30597.72</v>
      </c>
      <c r="K26" s="97">
        <v>0</v>
      </c>
      <c r="L26" s="97">
        <v>751.14</v>
      </c>
    </row>
    <row r="27" spans="1:12" x14ac:dyDescent="0.35">
      <c r="A27" s="95" t="s">
        <v>911</v>
      </c>
      <c r="B27" s="96" t="s">
        <v>441</v>
      </c>
      <c r="C27" s="97">
        <v>0</v>
      </c>
      <c r="D27" s="97">
        <v>2610.65</v>
      </c>
      <c r="E27" s="97">
        <v>0</v>
      </c>
      <c r="F27" s="97">
        <v>0</v>
      </c>
      <c r="G27" s="97">
        <v>116.99</v>
      </c>
      <c r="H27" s="97">
        <v>256.99</v>
      </c>
      <c r="I27" s="97">
        <v>1575.78</v>
      </c>
      <c r="J27" s="97">
        <v>-894.87</v>
      </c>
      <c r="K27" s="97">
        <v>0</v>
      </c>
      <c r="L27" s="97">
        <v>140</v>
      </c>
    </row>
    <row r="28" spans="1:12" x14ac:dyDescent="0.35">
      <c r="A28" s="95" t="s">
        <v>912</v>
      </c>
      <c r="B28" s="96" t="s">
        <v>443</v>
      </c>
      <c r="C28" s="97">
        <v>0</v>
      </c>
      <c r="D28" s="97">
        <v>10643.71</v>
      </c>
      <c r="E28" s="97">
        <v>0</v>
      </c>
      <c r="F28" s="97">
        <v>11299.84</v>
      </c>
      <c r="G28" s="97">
        <v>14772.21</v>
      </c>
      <c r="H28" s="97">
        <v>13958.8</v>
      </c>
      <c r="I28" s="97">
        <v>176404.48000000001</v>
      </c>
      <c r="J28" s="97">
        <v>176247.2</v>
      </c>
      <c r="K28" s="97">
        <v>0</v>
      </c>
      <c r="L28" s="97">
        <v>10486.43</v>
      </c>
    </row>
    <row r="29" spans="1:12" x14ac:dyDescent="0.35">
      <c r="A29" s="95" t="s">
        <v>913</v>
      </c>
      <c r="B29" s="96" t="s">
        <v>445</v>
      </c>
      <c r="C29" s="97">
        <v>0</v>
      </c>
      <c r="D29" s="97">
        <v>0</v>
      </c>
      <c r="E29" s="97">
        <v>0</v>
      </c>
      <c r="F29" s="97">
        <v>0</v>
      </c>
      <c r="G29" s="97">
        <v>0</v>
      </c>
      <c r="H29" s="97">
        <v>0</v>
      </c>
      <c r="I29" s="97">
        <v>256.14999999999998</v>
      </c>
      <c r="J29" s="97">
        <v>256.14999999999998</v>
      </c>
      <c r="K29" s="97">
        <v>0</v>
      </c>
      <c r="L29" s="97">
        <v>0</v>
      </c>
    </row>
    <row r="30" spans="1:12" x14ac:dyDescent="0.35">
      <c r="A30" s="95" t="s">
        <v>914</v>
      </c>
      <c r="B30" s="96" t="s">
        <v>915</v>
      </c>
      <c r="C30" s="97">
        <v>0</v>
      </c>
      <c r="D30" s="97">
        <v>0</v>
      </c>
      <c r="E30" s="97">
        <v>0</v>
      </c>
      <c r="F30" s="97">
        <v>0</v>
      </c>
      <c r="G30" s="97">
        <v>396</v>
      </c>
      <c r="H30" s="97">
        <v>396</v>
      </c>
      <c r="I30" s="97">
        <v>5561</v>
      </c>
      <c r="J30" s="97">
        <v>5561</v>
      </c>
      <c r="K30" s="97">
        <v>0</v>
      </c>
      <c r="L30" s="97">
        <v>0</v>
      </c>
    </row>
    <row r="31" spans="1:12" x14ac:dyDescent="0.35">
      <c r="A31" s="95" t="s">
        <v>916</v>
      </c>
      <c r="B31" s="96" t="s">
        <v>917</v>
      </c>
      <c r="C31" s="97">
        <v>0</v>
      </c>
      <c r="D31" s="97">
        <v>6940.93</v>
      </c>
      <c r="E31" s="97">
        <v>0</v>
      </c>
      <c r="F31" s="97">
        <v>6900.92</v>
      </c>
      <c r="G31" s="97">
        <v>6900.92</v>
      </c>
      <c r="H31" s="97">
        <v>6629.51</v>
      </c>
      <c r="I31" s="97">
        <v>82270.62</v>
      </c>
      <c r="J31" s="97">
        <v>81959.199999999997</v>
      </c>
      <c r="K31" s="97">
        <v>0</v>
      </c>
      <c r="L31" s="97">
        <v>6629.51</v>
      </c>
    </row>
    <row r="32" spans="1:12" x14ac:dyDescent="0.35">
      <c r="A32" s="95" t="s">
        <v>918</v>
      </c>
      <c r="B32" s="96" t="s">
        <v>919</v>
      </c>
      <c r="C32" s="97">
        <v>-9809.19</v>
      </c>
      <c r="D32" s="97">
        <v>0</v>
      </c>
      <c r="E32" s="97">
        <v>8335.6299999999992</v>
      </c>
      <c r="F32" s="97">
        <v>0</v>
      </c>
      <c r="G32" s="97">
        <v>3481.61</v>
      </c>
      <c r="H32" s="97">
        <v>8041.95</v>
      </c>
      <c r="I32" s="97">
        <v>25743.66</v>
      </c>
      <c r="J32" s="97">
        <v>12159.18</v>
      </c>
      <c r="K32" s="97">
        <v>3775.29</v>
      </c>
      <c r="L32" s="97">
        <v>0</v>
      </c>
    </row>
    <row r="33" spans="1:12" x14ac:dyDescent="0.35">
      <c r="A33" s="95" t="s">
        <v>920</v>
      </c>
      <c r="B33" s="96" t="s">
        <v>921</v>
      </c>
      <c r="C33" s="97">
        <v>0</v>
      </c>
      <c r="D33" s="97">
        <v>1592.62</v>
      </c>
      <c r="E33" s="97">
        <v>0</v>
      </c>
      <c r="F33" s="97">
        <v>1433.05</v>
      </c>
      <c r="G33" s="97">
        <v>1713.05</v>
      </c>
      <c r="H33" s="97">
        <v>1621.12</v>
      </c>
      <c r="I33" s="97">
        <v>18946.22</v>
      </c>
      <c r="J33" s="97">
        <v>18694.72</v>
      </c>
      <c r="K33" s="97">
        <v>0</v>
      </c>
      <c r="L33" s="97">
        <v>1341.12</v>
      </c>
    </row>
    <row r="34" spans="1:12" x14ac:dyDescent="0.35">
      <c r="A34" s="95" t="s">
        <v>922</v>
      </c>
      <c r="B34" s="96" t="s">
        <v>923</v>
      </c>
      <c r="C34" s="97">
        <v>0</v>
      </c>
      <c r="D34" s="97">
        <v>0</v>
      </c>
      <c r="E34" s="97">
        <v>0</v>
      </c>
      <c r="F34" s="97">
        <v>0</v>
      </c>
      <c r="G34" s="97">
        <v>41959.77</v>
      </c>
      <c r="H34" s="97">
        <v>41959.77</v>
      </c>
      <c r="I34" s="97">
        <v>421775.63</v>
      </c>
      <c r="J34" s="97">
        <v>421775.63</v>
      </c>
      <c r="K34" s="97">
        <v>0</v>
      </c>
      <c r="L34" s="97">
        <v>0</v>
      </c>
    </row>
    <row r="35" spans="1:12" x14ac:dyDescent="0.35">
      <c r="A35" s="95" t="s">
        <v>924</v>
      </c>
      <c r="B35" s="96" t="s">
        <v>848</v>
      </c>
      <c r="C35" s="97">
        <v>0</v>
      </c>
      <c r="D35" s="97">
        <v>40.630000000000003</v>
      </c>
      <c r="E35" s="97">
        <v>0</v>
      </c>
      <c r="F35" s="97">
        <v>0</v>
      </c>
      <c r="G35" s="97">
        <v>0</v>
      </c>
      <c r="H35" s="97">
        <v>51.53</v>
      </c>
      <c r="I35" s="97">
        <v>96.31</v>
      </c>
      <c r="J35" s="97">
        <v>107.21</v>
      </c>
      <c r="K35" s="97">
        <v>0</v>
      </c>
      <c r="L35" s="97">
        <v>51.53</v>
      </c>
    </row>
    <row r="36" spans="1:12" x14ac:dyDescent="0.35">
      <c r="A36" s="95" t="s">
        <v>925</v>
      </c>
      <c r="B36" s="96" t="s">
        <v>926</v>
      </c>
      <c r="C36" s="97">
        <v>291802.59000000003</v>
      </c>
      <c r="D36" s="97">
        <v>0</v>
      </c>
      <c r="E36" s="97">
        <v>439301.51</v>
      </c>
      <c r="F36" s="97">
        <v>0</v>
      </c>
      <c r="G36" s="97">
        <v>64215.519999999997</v>
      </c>
      <c r="H36" s="97">
        <v>236607.57</v>
      </c>
      <c r="I36" s="97">
        <v>856839.12</v>
      </c>
      <c r="J36" s="97">
        <v>881732.25</v>
      </c>
      <c r="K36" s="97">
        <v>266909.46000000002</v>
      </c>
      <c r="L36" s="97">
        <v>0</v>
      </c>
    </row>
    <row r="37" spans="1:12" x14ac:dyDescent="0.35">
      <c r="A37" s="95" t="s">
        <v>927</v>
      </c>
      <c r="B37" s="96" t="s">
        <v>928</v>
      </c>
      <c r="C37" s="97">
        <v>0</v>
      </c>
      <c r="D37" s="97">
        <v>0</v>
      </c>
      <c r="E37" s="97">
        <v>0</v>
      </c>
      <c r="F37" s="97">
        <v>0</v>
      </c>
      <c r="G37" s="97">
        <v>309591.98</v>
      </c>
      <c r="H37" s="97">
        <v>309591.98</v>
      </c>
      <c r="I37" s="97">
        <v>1974252.46</v>
      </c>
      <c r="J37" s="97">
        <v>1974252.46</v>
      </c>
      <c r="K37" s="97">
        <v>0</v>
      </c>
      <c r="L37" s="97">
        <v>0</v>
      </c>
    </row>
    <row r="38" spans="1:12" x14ac:dyDescent="0.35">
      <c r="A38" s="95" t="s">
        <v>929</v>
      </c>
      <c r="B38" s="96" t="s">
        <v>50</v>
      </c>
      <c r="C38" s="97">
        <v>0</v>
      </c>
      <c r="D38" s="97">
        <v>0</v>
      </c>
      <c r="E38" s="97">
        <v>-1758.28</v>
      </c>
      <c r="F38" s="97">
        <v>0</v>
      </c>
      <c r="G38" s="97">
        <v>10232.23</v>
      </c>
      <c r="H38" s="97">
        <v>8473.9500000000007</v>
      </c>
      <c r="I38" s="97">
        <v>34679.72</v>
      </c>
      <c r="J38" s="97">
        <v>34679.72</v>
      </c>
      <c r="K38" s="97">
        <v>0</v>
      </c>
      <c r="L38" s="97">
        <v>0</v>
      </c>
    </row>
    <row r="39" spans="1:12" x14ac:dyDescent="0.35">
      <c r="A39" s="95" t="s">
        <v>930</v>
      </c>
      <c r="B39" s="96" t="s">
        <v>491</v>
      </c>
      <c r="C39" s="97">
        <v>0</v>
      </c>
      <c r="D39" s="97">
        <v>6707.5</v>
      </c>
      <c r="E39" s="97">
        <v>0</v>
      </c>
      <c r="F39" s="97">
        <v>508.63</v>
      </c>
      <c r="G39" s="97">
        <v>508.63</v>
      </c>
      <c r="H39" s="97">
        <v>9511.0499999999993</v>
      </c>
      <c r="I39" s="97">
        <v>6212.64</v>
      </c>
      <c r="J39" s="97">
        <v>9016.19</v>
      </c>
      <c r="K39" s="97">
        <v>0</v>
      </c>
      <c r="L39" s="97">
        <v>9511.0499999999993</v>
      </c>
    </row>
    <row r="40" spans="1:12" x14ac:dyDescent="0.35">
      <c r="A40" s="95" t="s">
        <v>931</v>
      </c>
      <c r="B40" s="96" t="s">
        <v>500</v>
      </c>
      <c r="C40" s="97">
        <v>15000</v>
      </c>
      <c r="D40" s="97">
        <v>0</v>
      </c>
      <c r="E40" s="97">
        <v>15719.2</v>
      </c>
      <c r="F40" s="97">
        <v>0</v>
      </c>
      <c r="G40" s="97">
        <v>3000</v>
      </c>
      <c r="H40" s="97">
        <v>6512.55</v>
      </c>
      <c r="I40" s="97">
        <v>41898.769999999997</v>
      </c>
      <c r="J40" s="97">
        <v>44692.12</v>
      </c>
      <c r="K40" s="97">
        <v>12206.65</v>
      </c>
      <c r="L40" s="97">
        <v>0</v>
      </c>
    </row>
    <row r="41" spans="1:12" x14ac:dyDescent="0.35">
      <c r="A41" s="95" t="s">
        <v>932</v>
      </c>
      <c r="B41" s="96" t="s">
        <v>933</v>
      </c>
      <c r="C41" s="97">
        <v>0</v>
      </c>
      <c r="D41" s="97">
        <v>0</v>
      </c>
      <c r="E41" s="97">
        <v>0</v>
      </c>
      <c r="F41" s="97">
        <v>0</v>
      </c>
      <c r="G41" s="97">
        <v>0</v>
      </c>
      <c r="H41" s="97">
        <v>0</v>
      </c>
      <c r="I41" s="97">
        <v>215.07</v>
      </c>
      <c r="J41" s="97">
        <v>215.07</v>
      </c>
      <c r="K41" s="97">
        <v>0</v>
      </c>
      <c r="L41" s="97">
        <v>0</v>
      </c>
    </row>
    <row r="42" spans="1:12" x14ac:dyDescent="0.35">
      <c r="A42" s="95" t="s">
        <v>934</v>
      </c>
      <c r="B42" s="96" t="s">
        <v>510</v>
      </c>
      <c r="C42" s="97">
        <v>0</v>
      </c>
      <c r="D42" s="97">
        <v>0</v>
      </c>
      <c r="E42" s="97">
        <v>0</v>
      </c>
      <c r="F42" s="97">
        <v>0</v>
      </c>
      <c r="G42" s="97">
        <v>358960.18</v>
      </c>
      <c r="H42" s="97">
        <v>358960.18</v>
      </c>
      <c r="I42" s="97">
        <v>3372395.31</v>
      </c>
      <c r="J42" s="97">
        <v>3372395.31</v>
      </c>
      <c r="K42" s="97">
        <v>0</v>
      </c>
      <c r="L42" s="97">
        <v>0</v>
      </c>
    </row>
    <row r="43" spans="1:12" x14ac:dyDescent="0.35">
      <c r="A43" s="95" t="s">
        <v>935</v>
      </c>
      <c r="B43" s="96" t="s">
        <v>151</v>
      </c>
      <c r="C43" s="97">
        <v>0</v>
      </c>
      <c r="D43" s="97">
        <v>5000</v>
      </c>
      <c r="E43" s="97">
        <v>0</v>
      </c>
      <c r="F43" s="97">
        <v>5000</v>
      </c>
      <c r="G43" s="97">
        <v>0</v>
      </c>
      <c r="H43" s="97">
        <v>0</v>
      </c>
      <c r="I43" s="97">
        <v>0</v>
      </c>
      <c r="J43" s="97">
        <v>0</v>
      </c>
      <c r="K43" s="97">
        <v>0</v>
      </c>
      <c r="L43" s="97">
        <v>5000</v>
      </c>
    </row>
    <row r="44" spans="1:12" x14ac:dyDescent="0.35">
      <c r="A44" s="95" t="s">
        <v>936</v>
      </c>
      <c r="B44" s="96" t="s">
        <v>154</v>
      </c>
      <c r="C44" s="97">
        <v>0</v>
      </c>
      <c r="D44" s="97">
        <v>22000</v>
      </c>
      <c r="E44" s="97">
        <v>0</v>
      </c>
      <c r="F44" s="97">
        <v>22000</v>
      </c>
      <c r="G44" s="97">
        <v>0</v>
      </c>
      <c r="H44" s="97">
        <v>0</v>
      </c>
      <c r="I44" s="97">
        <v>0</v>
      </c>
      <c r="J44" s="97">
        <v>0</v>
      </c>
      <c r="K44" s="97">
        <v>0</v>
      </c>
      <c r="L44" s="97">
        <v>22000</v>
      </c>
    </row>
    <row r="45" spans="1:12" x14ac:dyDescent="0.35">
      <c r="A45" s="95" t="s">
        <v>937</v>
      </c>
      <c r="B45" s="96" t="s">
        <v>157</v>
      </c>
      <c r="C45" s="97">
        <v>0</v>
      </c>
      <c r="D45" s="97">
        <v>500</v>
      </c>
      <c r="E45" s="97">
        <v>0</v>
      </c>
      <c r="F45" s="97">
        <v>500</v>
      </c>
      <c r="G45" s="97">
        <v>0</v>
      </c>
      <c r="H45" s="97">
        <v>0</v>
      </c>
      <c r="I45" s="97">
        <v>0</v>
      </c>
      <c r="J45" s="97">
        <v>0</v>
      </c>
      <c r="K45" s="97">
        <v>0</v>
      </c>
      <c r="L45" s="97">
        <v>500</v>
      </c>
    </row>
    <row r="46" spans="1:12" x14ac:dyDescent="0.35">
      <c r="A46" s="95" t="s">
        <v>938</v>
      </c>
      <c r="B46" s="96" t="s">
        <v>160</v>
      </c>
      <c r="C46" s="97">
        <v>0</v>
      </c>
      <c r="D46" s="97">
        <v>39123.68</v>
      </c>
      <c r="E46" s="97">
        <v>0</v>
      </c>
      <c r="F46" s="97">
        <v>85666.240000000005</v>
      </c>
      <c r="G46" s="97">
        <v>0</v>
      </c>
      <c r="H46" s="97">
        <v>0</v>
      </c>
      <c r="I46" s="97">
        <v>0</v>
      </c>
      <c r="J46" s="97">
        <v>46542.559999999998</v>
      </c>
      <c r="K46" s="97">
        <v>0</v>
      </c>
      <c r="L46" s="97">
        <v>85666.240000000005</v>
      </c>
    </row>
    <row r="47" spans="1:12" x14ac:dyDescent="0.35">
      <c r="A47" s="95" t="s">
        <v>939</v>
      </c>
      <c r="B47" s="96" t="s">
        <v>530</v>
      </c>
      <c r="C47" s="97">
        <v>0</v>
      </c>
      <c r="D47" s="97">
        <v>46542.559999999998</v>
      </c>
      <c r="E47" s="97">
        <v>0</v>
      </c>
      <c r="F47" s="97">
        <v>0</v>
      </c>
      <c r="G47" s="97">
        <v>0</v>
      </c>
      <c r="H47" s="97">
        <v>0</v>
      </c>
      <c r="I47" s="97">
        <v>46542.559999999998</v>
      </c>
      <c r="J47" s="97">
        <v>0</v>
      </c>
      <c r="K47" s="97">
        <v>0</v>
      </c>
      <c r="L47" s="97">
        <v>0</v>
      </c>
    </row>
    <row r="48" spans="1:12" x14ac:dyDescent="0.35">
      <c r="A48" s="95" t="s">
        <v>940</v>
      </c>
      <c r="B48" s="96" t="s">
        <v>532</v>
      </c>
      <c r="C48" s="97">
        <v>0</v>
      </c>
      <c r="D48" s="97">
        <v>1133.8399999999999</v>
      </c>
      <c r="E48" s="97">
        <v>0</v>
      </c>
      <c r="F48" s="97">
        <v>1632.45</v>
      </c>
      <c r="G48" s="97">
        <v>21.06</v>
      </c>
      <c r="H48" s="97">
        <v>77.31</v>
      </c>
      <c r="I48" s="97">
        <v>341.55</v>
      </c>
      <c r="J48" s="97">
        <v>896.41</v>
      </c>
      <c r="K48" s="97">
        <v>0</v>
      </c>
      <c r="L48" s="97">
        <v>1688.7</v>
      </c>
    </row>
    <row r="49" spans="1:12" x14ac:dyDescent="0.35">
      <c r="A49" s="95" t="s">
        <v>941</v>
      </c>
      <c r="B49" s="96" t="s">
        <v>942</v>
      </c>
      <c r="C49" s="97">
        <v>0</v>
      </c>
      <c r="D49" s="97">
        <v>-4038.54</v>
      </c>
      <c r="E49" s="97">
        <v>0</v>
      </c>
      <c r="F49" s="97">
        <v>-4038.54</v>
      </c>
      <c r="G49" s="97">
        <v>3244.2</v>
      </c>
      <c r="H49" s="97">
        <v>4038.54</v>
      </c>
      <c r="I49" s="97">
        <v>3244.2</v>
      </c>
      <c r="J49" s="97">
        <v>4038.54</v>
      </c>
      <c r="K49" s="97">
        <v>0</v>
      </c>
      <c r="L49" s="97">
        <v>-3244.2</v>
      </c>
    </row>
    <row r="50" spans="1:12" x14ac:dyDescent="0.35">
      <c r="A50" s="95" t="s">
        <v>943</v>
      </c>
      <c r="B50" s="96" t="s">
        <v>944</v>
      </c>
      <c r="C50" s="97">
        <v>0</v>
      </c>
      <c r="D50" s="97">
        <v>0</v>
      </c>
      <c r="E50" s="97">
        <v>1923.7</v>
      </c>
      <c r="F50" s="97">
        <v>0</v>
      </c>
      <c r="G50" s="97">
        <v>215.51</v>
      </c>
      <c r="H50" s="97">
        <v>0</v>
      </c>
      <c r="I50" s="97">
        <v>2139.21</v>
      </c>
      <c r="J50" s="97">
        <v>0</v>
      </c>
      <c r="K50" s="97">
        <v>2139.21</v>
      </c>
      <c r="L50" s="97">
        <v>0</v>
      </c>
    </row>
    <row r="51" spans="1:12" x14ac:dyDescent="0.35">
      <c r="A51" s="95" t="s">
        <v>945</v>
      </c>
      <c r="B51" s="96" t="s">
        <v>946</v>
      </c>
      <c r="C51" s="97">
        <v>0</v>
      </c>
      <c r="D51" s="97">
        <v>0</v>
      </c>
      <c r="E51" s="97">
        <v>6732.8</v>
      </c>
      <c r="F51" s="97">
        <v>0</v>
      </c>
      <c r="G51" s="97">
        <v>709.55</v>
      </c>
      <c r="H51" s="97">
        <v>0</v>
      </c>
      <c r="I51" s="97">
        <v>7442.35</v>
      </c>
      <c r="J51" s="97">
        <v>0</v>
      </c>
      <c r="K51" s="97">
        <v>7442.35</v>
      </c>
      <c r="L51" s="97">
        <v>0</v>
      </c>
    </row>
    <row r="52" spans="1:12" x14ac:dyDescent="0.35">
      <c r="A52" s="95" t="s">
        <v>947</v>
      </c>
      <c r="B52" s="96" t="s">
        <v>948</v>
      </c>
      <c r="C52" s="97">
        <v>0</v>
      </c>
      <c r="D52" s="97">
        <v>0</v>
      </c>
      <c r="E52" s="97">
        <v>1143568.32</v>
      </c>
      <c r="F52" s="97">
        <v>0</v>
      </c>
      <c r="G52" s="97">
        <v>153008.82</v>
      </c>
      <c r="H52" s="97">
        <v>106.12</v>
      </c>
      <c r="I52" s="97">
        <v>1297791.06</v>
      </c>
      <c r="J52" s="97">
        <v>1320.04</v>
      </c>
      <c r="K52" s="97">
        <v>1296471.02</v>
      </c>
      <c r="L52" s="97">
        <v>0</v>
      </c>
    </row>
    <row r="53" spans="1:12" x14ac:dyDescent="0.35">
      <c r="A53" s="95" t="s">
        <v>949</v>
      </c>
      <c r="B53" s="96" t="s">
        <v>624</v>
      </c>
      <c r="C53" s="97">
        <v>0</v>
      </c>
      <c r="D53" s="97">
        <v>0</v>
      </c>
      <c r="E53" s="97">
        <v>-917.14</v>
      </c>
      <c r="F53" s="97">
        <v>0</v>
      </c>
      <c r="G53" s="97">
        <v>394.5</v>
      </c>
      <c r="H53" s="97">
        <v>276.70999999999998</v>
      </c>
      <c r="I53" s="97">
        <v>3279.02</v>
      </c>
      <c r="J53" s="97">
        <v>4078.37</v>
      </c>
      <c r="K53" s="97">
        <v>-799.35</v>
      </c>
      <c r="L53" s="97">
        <v>0</v>
      </c>
    </row>
    <row r="54" spans="1:12" x14ac:dyDescent="0.35">
      <c r="A54" s="95" t="s">
        <v>950</v>
      </c>
      <c r="B54" s="96" t="s">
        <v>951</v>
      </c>
      <c r="C54" s="97">
        <v>0</v>
      </c>
      <c r="D54" s="97">
        <v>0</v>
      </c>
      <c r="E54" s="97">
        <v>942.6</v>
      </c>
      <c r="F54" s="97">
        <v>0</v>
      </c>
      <c r="G54" s="97">
        <v>265</v>
      </c>
      <c r="H54" s="97">
        <v>0</v>
      </c>
      <c r="I54" s="97">
        <v>1207.5999999999999</v>
      </c>
      <c r="J54" s="97">
        <v>0</v>
      </c>
      <c r="K54" s="97">
        <v>1207.5999999999999</v>
      </c>
      <c r="L54" s="97">
        <v>0</v>
      </c>
    </row>
    <row r="55" spans="1:12" x14ac:dyDescent="0.35">
      <c r="A55" s="95" t="s">
        <v>952</v>
      </c>
      <c r="B55" s="96" t="s">
        <v>953</v>
      </c>
      <c r="C55" s="97">
        <v>0</v>
      </c>
      <c r="D55" s="97">
        <v>0</v>
      </c>
      <c r="E55" s="97">
        <v>219.14</v>
      </c>
      <c r="F55" s="97">
        <v>0</v>
      </c>
      <c r="G55" s="97">
        <v>0</v>
      </c>
      <c r="H55" s="97">
        <v>0</v>
      </c>
      <c r="I55" s="97">
        <v>219.14</v>
      </c>
      <c r="J55" s="97">
        <v>0</v>
      </c>
      <c r="K55" s="97">
        <v>219.14</v>
      </c>
      <c r="L55" s="97">
        <v>0</v>
      </c>
    </row>
    <row r="56" spans="1:12" x14ac:dyDescent="0.35">
      <c r="A56" s="95" t="s">
        <v>954</v>
      </c>
      <c r="B56" s="96" t="s">
        <v>650</v>
      </c>
      <c r="C56" s="97">
        <v>0</v>
      </c>
      <c r="D56" s="97">
        <v>0</v>
      </c>
      <c r="E56" s="97">
        <v>0</v>
      </c>
      <c r="F56" s="97">
        <v>0</v>
      </c>
      <c r="G56" s="97">
        <v>0</v>
      </c>
      <c r="H56" s="97">
        <v>0</v>
      </c>
      <c r="I56" s="97">
        <v>0</v>
      </c>
      <c r="J56" s="97">
        <v>0</v>
      </c>
      <c r="K56" s="97">
        <v>0</v>
      </c>
      <c r="L56" s="97">
        <v>0</v>
      </c>
    </row>
    <row r="57" spans="1:12" x14ac:dyDescent="0.35">
      <c r="A57" s="95" t="s">
        <v>955</v>
      </c>
      <c r="B57" s="96" t="s">
        <v>867</v>
      </c>
      <c r="C57" s="97">
        <v>0</v>
      </c>
      <c r="D57" s="97">
        <v>0</v>
      </c>
      <c r="E57" s="97">
        <v>42656.73</v>
      </c>
      <c r="F57" s="97">
        <v>0</v>
      </c>
      <c r="G57" s="97">
        <v>217713.37</v>
      </c>
      <c r="H57" s="97">
        <v>0</v>
      </c>
      <c r="I57" s="97">
        <v>260370.1</v>
      </c>
      <c r="J57" s="97">
        <v>0</v>
      </c>
      <c r="K57" s="97">
        <v>260370.1</v>
      </c>
      <c r="L57" s="97">
        <v>0</v>
      </c>
    </row>
    <row r="58" spans="1:12" x14ac:dyDescent="0.35">
      <c r="A58" s="95" t="s">
        <v>956</v>
      </c>
      <c r="B58" s="96" t="s">
        <v>700</v>
      </c>
      <c r="C58" s="97">
        <v>0</v>
      </c>
      <c r="D58" s="97">
        <v>0</v>
      </c>
      <c r="E58" s="97">
        <v>145231.62</v>
      </c>
      <c r="F58" s="97">
        <v>0</v>
      </c>
      <c r="G58" s="97">
        <v>21099.89</v>
      </c>
      <c r="H58" s="97">
        <v>5600</v>
      </c>
      <c r="I58" s="97">
        <v>172390.88</v>
      </c>
      <c r="J58" s="97">
        <v>11659.37</v>
      </c>
      <c r="K58" s="97">
        <v>160731.51</v>
      </c>
      <c r="L58" s="97">
        <v>0</v>
      </c>
    </row>
    <row r="59" spans="1:12" x14ac:dyDescent="0.35">
      <c r="A59" s="95" t="s">
        <v>957</v>
      </c>
      <c r="B59" s="96" t="s">
        <v>732</v>
      </c>
      <c r="C59" s="97">
        <v>0</v>
      </c>
      <c r="D59" s="97">
        <v>0</v>
      </c>
      <c r="E59" s="97">
        <v>51613.96</v>
      </c>
      <c r="F59" s="97">
        <v>0</v>
      </c>
      <c r="G59" s="97">
        <v>7626.59</v>
      </c>
      <c r="H59" s="97">
        <v>1830.4</v>
      </c>
      <c r="I59" s="97">
        <v>61514.25</v>
      </c>
      <c r="J59" s="97">
        <v>4104.1000000000004</v>
      </c>
      <c r="K59" s="97">
        <v>57410.15</v>
      </c>
      <c r="L59" s="97">
        <v>0</v>
      </c>
    </row>
    <row r="60" spans="1:12" x14ac:dyDescent="0.35">
      <c r="A60" s="95" t="s">
        <v>958</v>
      </c>
      <c r="B60" s="96" t="s">
        <v>959</v>
      </c>
      <c r="C60" s="97">
        <v>0</v>
      </c>
      <c r="D60" s="97">
        <v>0</v>
      </c>
      <c r="E60" s="97">
        <v>9566.5300000000007</v>
      </c>
      <c r="F60" s="97">
        <v>0</v>
      </c>
      <c r="G60" s="97">
        <v>1395.44</v>
      </c>
      <c r="H60" s="97">
        <v>0</v>
      </c>
      <c r="I60" s="97">
        <v>11096.77</v>
      </c>
      <c r="J60" s="97">
        <v>134.80000000000001</v>
      </c>
      <c r="K60" s="97">
        <v>10961.97</v>
      </c>
      <c r="L60" s="97">
        <v>0</v>
      </c>
    </row>
    <row r="61" spans="1:12" x14ac:dyDescent="0.35">
      <c r="A61" s="95" t="s">
        <v>960</v>
      </c>
      <c r="B61" s="96" t="s">
        <v>860</v>
      </c>
      <c r="C61" s="97">
        <v>0</v>
      </c>
      <c r="D61" s="97">
        <v>0</v>
      </c>
      <c r="E61" s="97">
        <v>1418.72</v>
      </c>
      <c r="F61" s="97">
        <v>0</v>
      </c>
      <c r="G61" s="97">
        <v>172.05</v>
      </c>
      <c r="H61" s="97">
        <v>0</v>
      </c>
      <c r="I61" s="97">
        <v>1629.37</v>
      </c>
      <c r="J61" s="97">
        <v>38.6</v>
      </c>
      <c r="K61" s="97">
        <v>1590.77</v>
      </c>
      <c r="L61" s="97">
        <v>0</v>
      </c>
    </row>
    <row r="62" spans="1:12" x14ac:dyDescent="0.35">
      <c r="A62" s="95" t="s">
        <v>961</v>
      </c>
      <c r="B62" s="96" t="s">
        <v>962</v>
      </c>
      <c r="C62" s="97">
        <v>0</v>
      </c>
      <c r="D62" s="97">
        <v>0</v>
      </c>
      <c r="E62" s="97">
        <v>0</v>
      </c>
      <c r="F62" s="97">
        <v>0</v>
      </c>
      <c r="G62" s="97">
        <v>51.53</v>
      </c>
      <c r="H62" s="97">
        <v>0</v>
      </c>
      <c r="I62" s="97">
        <v>51.53</v>
      </c>
      <c r="J62" s="97">
        <v>0</v>
      </c>
      <c r="K62" s="97">
        <v>51.53</v>
      </c>
      <c r="L62" s="97">
        <v>0</v>
      </c>
    </row>
    <row r="63" spans="1:12" x14ac:dyDescent="0.35">
      <c r="A63" s="95" t="s">
        <v>987</v>
      </c>
      <c r="B63" s="96" t="s">
        <v>848</v>
      </c>
      <c r="C63" s="97">
        <v>0</v>
      </c>
      <c r="D63" s="97">
        <v>0</v>
      </c>
      <c r="E63" s="97">
        <v>27.84</v>
      </c>
      <c r="F63" s="97">
        <v>0</v>
      </c>
      <c r="G63" s="97">
        <v>0</v>
      </c>
      <c r="H63" s="97">
        <v>0</v>
      </c>
      <c r="I63" s="97">
        <v>27.84</v>
      </c>
      <c r="J63" s="97">
        <v>0</v>
      </c>
      <c r="K63" s="97">
        <v>27.84</v>
      </c>
      <c r="L63" s="97">
        <v>0</v>
      </c>
    </row>
    <row r="64" spans="1:12" x14ac:dyDescent="0.35">
      <c r="A64" s="95" t="s">
        <v>965</v>
      </c>
      <c r="B64" s="96" t="s">
        <v>966</v>
      </c>
      <c r="C64" s="97">
        <v>0</v>
      </c>
      <c r="D64" s="97">
        <v>0</v>
      </c>
      <c r="E64" s="97">
        <v>0</v>
      </c>
      <c r="F64" s="97">
        <v>0</v>
      </c>
      <c r="G64" s="97">
        <v>0</v>
      </c>
      <c r="H64" s="97">
        <v>0</v>
      </c>
      <c r="I64" s="97">
        <v>215.07</v>
      </c>
      <c r="J64" s="97">
        <v>215.07</v>
      </c>
      <c r="K64" s="97">
        <v>0</v>
      </c>
      <c r="L64" s="97">
        <v>0</v>
      </c>
    </row>
    <row r="65" spans="1:12" x14ac:dyDescent="0.35">
      <c r="A65" s="95" t="s">
        <v>967</v>
      </c>
      <c r="B65" s="96" t="s">
        <v>968</v>
      </c>
      <c r="C65" s="97">
        <v>0</v>
      </c>
      <c r="D65" s="97">
        <v>0</v>
      </c>
      <c r="E65" s="97">
        <v>2323.88</v>
      </c>
      <c r="F65" s="97">
        <v>0</v>
      </c>
      <c r="G65" s="97">
        <v>143.74</v>
      </c>
      <c r="H65" s="97">
        <v>0</v>
      </c>
      <c r="I65" s="97">
        <v>2467.62</v>
      </c>
      <c r="J65" s="97">
        <v>0</v>
      </c>
      <c r="K65" s="97">
        <v>2467.62</v>
      </c>
      <c r="L65" s="97">
        <v>0</v>
      </c>
    </row>
    <row r="66" spans="1:12" x14ac:dyDescent="0.35">
      <c r="A66" s="95" t="s">
        <v>969</v>
      </c>
      <c r="B66" s="96" t="s">
        <v>970</v>
      </c>
      <c r="C66" s="97">
        <v>0</v>
      </c>
      <c r="D66" s="97">
        <v>0</v>
      </c>
      <c r="E66" s="97">
        <v>3049.62</v>
      </c>
      <c r="F66" s="97">
        <v>0</v>
      </c>
      <c r="G66" s="97">
        <v>43.56</v>
      </c>
      <c r="H66" s="97">
        <v>0</v>
      </c>
      <c r="I66" s="97">
        <v>3093.18</v>
      </c>
      <c r="J66" s="97">
        <v>0</v>
      </c>
      <c r="K66" s="97">
        <v>3093.18</v>
      </c>
      <c r="L66" s="97">
        <v>0</v>
      </c>
    </row>
    <row r="67" spans="1:12" x14ac:dyDescent="0.35">
      <c r="A67" s="95" t="s">
        <v>971</v>
      </c>
      <c r="B67" s="96" t="s">
        <v>972</v>
      </c>
      <c r="C67" s="97">
        <v>0</v>
      </c>
      <c r="D67" s="97">
        <v>0</v>
      </c>
      <c r="E67" s="97">
        <v>6604.42</v>
      </c>
      <c r="F67" s="97">
        <v>0</v>
      </c>
      <c r="G67" s="97">
        <v>452.51</v>
      </c>
      <c r="H67" s="97">
        <v>0</v>
      </c>
      <c r="I67" s="97">
        <v>7056.93</v>
      </c>
      <c r="J67" s="97">
        <v>0</v>
      </c>
      <c r="K67" s="97">
        <v>7056.93</v>
      </c>
      <c r="L67" s="97">
        <v>0</v>
      </c>
    </row>
    <row r="68" spans="1:12" x14ac:dyDescent="0.35">
      <c r="A68" s="95" t="s">
        <v>973</v>
      </c>
      <c r="B68" s="96" t="s">
        <v>974</v>
      </c>
      <c r="C68" s="97">
        <v>0</v>
      </c>
      <c r="D68" s="97">
        <v>0</v>
      </c>
      <c r="E68" s="97">
        <v>0</v>
      </c>
      <c r="F68" s="97">
        <v>0</v>
      </c>
      <c r="G68" s="97">
        <v>0</v>
      </c>
      <c r="H68" s="97">
        <v>0</v>
      </c>
      <c r="I68" s="97">
        <v>0</v>
      </c>
      <c r="J68" s="97">
        <v>0</v>
      </c>
      <c r="K68" s="97">
        <v>0</v>
      </c>
      <c r="L68" s="97">
        <v>0</v>
      </c>
    </row>
    <row r="69" spans="1:12" x14ac:dyDescent="0.35">
      <c r="A69" s="95" t="s">
        <v>975</v>
      </c>
      <c r="B69" s="96" t="s">
        <v>976</v>
      </c>
      <c r="C69" s="97">
        <v>0</v>
      </c>
      <c r="D69" s="97">
        <v>0</v>
      </c>
      <c r="E69" s="97">
        <v>3325.47</v>
      </c>
      <c r="F69" s="97">
        <v>0</v>
      </c>
      <c r="G69" s="97">
        <v>397.23</v>
      </c>
      <c r="H69" s="97">
        <v>0</v>
      </c>
      <c r="I69" s="97">
        <v>3722.7</v>
      </c>
      <c r="J69" s="97">
        <v>0</v>
      </c>
      <c r="K69" s="97">
        <v>3722.7</v>
      </c>
      <c r="L69" s="97">
        <v>0</v>
      </c>
    </row>
    <row r="70" spans="1:12" x14ac:dyDescent="0.35">
      <c r="A70" s="95" t="s">
        <v>977</v>
      </c>
      <c r="B70" s="96" t="s">
        <v>978</v>
      </c>
      <c r="C70" s="97">
        <v>0</v>
      </c>
      <c r="D70" s="97">
        <v>0</v>
      </c>
      <c r="E70" s="97">
        <v>0</v>
      </c>
      <c r="F70" s="97">
        <v>0</v>
      </c>
      <c r="G70" s="97">
        <v>8041.95</v>
      </c>
      <c r="H70" s="97">
        <v>0</v>
      </c>
      <c r="I70" s="97">
        <v>8041.95</v>
      </c>
      <c r="J70" s="97">
        <v>0</v>
      </c>
      <c r="K70" s="97">
        <v>8041.95</v>
      </c>
      <c r="L70" s="97">
        <v>0</v>
      </c>
    </row>
    <row r="71" spans="1:12" x14ac:dyDescent="0.35">
      <c r="A71" s="95" t="s">
        <v>979</v>
      </c>
      <c r="B71" s="96" t="s">
        <v>980</v>
      </c>
      <c r="C71" s="97">
        <v>0</v>
      </c>
      <c r="D71" s="97">
        <v>0</v>
      </c>
      <c r="E71" s="97">
        <v>0</v>
      </c>
      <c r="F71" s="97">
        <v>0</v>
      </c>
      <c r="G71" s="97">
        <v>4038.54</v>
      </c>
      <c r="H71" s="97">
        <v>3244.2</v>
      </c>
      <c r="I71" s="97">
        <v>4038.54</v>
      </c>
      <c r="J71" s="97">
        <v>3244.2</v>
      </c>
      <c r="K71" s="97">
        <v>794.34</v>
      </c>
      <c r="L71" s="97">
        <v>0</v>
      </c>
    </row>
    <row r="72" spans="1:12" x14ac:dyDescent="0.35">
      <c r="A72" s="95" t="s">
        <v>981</v>
      </c>
      <c r="B72" s="96" t="s">
        <v>982</v>
      </c>
      <c r="C72" s="97">
        <v>0</v>
      </c>
      <c r="D72" s="97">
        <v>0</v>
      </c>
      <c r="E72" s="97">
        <v>0</v>
      </c>
      <c r="F72" s="97">
        <v>833.75</v>
      </c>
      <c r="G72" s="97">
        <v>0</v>
      </c>
      <c r="H72" s="97">
        <v>91.23</v>
      </c>
      <c r="I72" s="97">
        <v>0</v>
      </c>
      <c r="J72" s="97">
        <v>924.98</v>
      </c>
      <c r="K72" s="97">
        <v>0</v>
      </c>
      <c r="L72" s="97">
        <v>924.98</v>
      </c>
    </row>
    <row r="73" spans="1:12" x14ac:dyDescent="0.35">
      <c r="A73" s="95" t="s">
        <v>983</v>
      </c>
      <c r="B73" s="96" t="s">
        <v>984</v>
      </c>
      <c r="C73" s="97">
        <v>0</v>
      </c>
      <c r="D73" s="97">
        <v>0</v>
      </c>
      <c r="E73" s="97">
        <v>0</v>
      </c>
      <c r="F73" s="97">
        <v>1633316.59</v>
      </c>
      <c r="G73" s="97">
        <v>0</v>
      </c>
      <c r="H73" s="97">
        <v>203189.99</v>
      </c>
      <c r="I73" s="97">
        <v>0</v>
      </c>
      <c r="J73" s="97">
        <v>1836506.58</v>
      </c>
      <c r="K73" s="97">
        <v>0</v>
      </c>
      <c r="L73" s="97">
        <v>1836506.58</v>
      </c>
    </row>
    <row r="74" spans="1:12" x14ac:dyDescent="0.35">
      <c r="A74" s="95" t="s">
        <v>985</v>
      </c>
      <c r="B74" s="96" t="s">
        <v>827</v>
      </c>
      <c r="C74" s="97">
        <v>0</v>
      </c>
      <c r="D74" s="97">
        <v>0</v>
      </c>
      <c r="E74" s="97">
        <v>0</v>
      </c>
      <c r="F74" s="97">
        <v>5955.43</v>
      </c>
      <c r="G74" s="97">
        <v>0</v>
      </c>
      <c r="H74" s="97">
        <v>610.07000000000005</v>
      </c>
      <c r="I74" s="97">
        <v>-88.78</v>
      </c>
      <c r="J74" s="97">
        <v>6476.72</v>
      </c>
      <c r="K74" s="97">
        <v>0</v>
      </c>
      <c r="L74" s="97">
        <v>6565.5</v>
      </c>
    </row>
    <row r="75" spans="1:12" x14ac:dyDescent="0.35">
      <c r="A75" s="95" t="s">
        <v>986</v>
      </c>
      <c r="B75" s="96" t="s">
        <v>974</v>
      </c>
      <c r="C75" s="97">
        <v>0</v>
      </c>
      <c r="D75" s="97">
        <v>0</v>
      </c>
      <c r="E75" s="97">
        <v>0</v>
      </c>
      <c r="F75" s="97">
        <v>6995.36</v>
      </c>
      <c r="G75" s="97">
        <v>0</v>
      </c>
      <c r="H75" s="97">
        <v>565.52</v>
      </c>
      <c r="I75" s="97">
        <v>0</v>
      </c>
      <c r="J75" s="97">
        <v>7560.88</v>
      </c>
      <c r="K75" s="97">
        <v>0</v>
      </c>
      <c r="L75" s="97">
        <v>7560.88</v>
      </c>
    </row>
    <row r="76" spans="1:12" x14ac:dyDescent="0.35">
      <c r="A76" s="95" t="s">
        <v>988</v>
      </c>
      <c r="B76" s="96" t="s">
        <v>989</v>
      </c>
      <c r="C76" s="97">
        <v>0</v>
      </c>
      <c r="D76" s="97">
        <v>0</v>
      </c>
      <c r="E76" s="97">
        <v>0</v>
      </c>
      <c r="F76" s="97">
        <v>0</v>
      </c>
      <c r="G76" s="97">
        <v>0</v>
      </c>
      <c r="H76" s="97">
        <v>0</v>
      </c>
      <c r="I76" s="97">
        <v>90</v>
      </c>
      <c r="J76" s="97">
        <v>90</v>
      </c>
      <c r="K76" s="97">
        <v>0</v>
      </c>
      <c r="L76" s="97">
        <v>0</v>
      </c>
    </row>
    <row r="77" spans="1:12" x14ac:dyDescent="0.35">
      <c r="A77" s="95" t="s">
        <v>990</v>
      </c>
      <c r="B77" s="96" t="s">
        <v>991</v>
      </c>
      <c r="C77" s="97">
        <v>0</v>
      </c>
      <c r="D77" s="97">
        <v>0</v>
      </c>
      <c r="E77" s="97">
        <v>0</v>
      </c>
      <c r="F77" s="97">
        <v>0</v>
      </c>
      <c r="G77" s="97">
        <v>0</v>
      </c>
      <c r="H77" s="97">
        <v>0</v>
      </c>
      <c r="I77" s="97">
        <v>90</v>
      </c>
      <c r="J77" s="97">
        <v>90</v>
      </c>
      <c r="K77" s="97">
        <v>0</v>
      </c>
      <c r="L77" s="97">
        <v>0</v>
      </c>
    </row>
    <row r="78" spans="1:12" x14ac:dyDescent="0.35">
      <c r="A78" s="95"/>
      <c r="B78" s="96"/>
      <c r="C78" s="97"/>
      <c r="D78" s="97"/>
      <c r="E78" s="97"/>
      <c r="F78" s="97"/>
      <c r="G78" s="97"/>
      <c r="H78" s="97"/>
      <c r="I78" s="97"/>
      <c r="J78" s="97"/>
      <c r="K78" s="97"/>
      <c r="L78" s="97"/>
    </row>
    <row r="79" spans="1:12" x14ac:dyDescent="0.35">
      <c r="A79" s="95"/>
      <c r="B79" s="96"/>
      <c r="C79" s="97"/>
      <c r="D79" s="97"/>
      <c r="E79" s="97"/>
      <c r="F79" s="97"/>
      <c r="G79" s="97"/>
      <c r="H79" s="97"/>
      <c r="I79" s="97"/>
      <c r="J79" s="97"/>
      <c r="K79" s="97"/>
      <c r="L79" s="97"/>
    </row>
    <row r="80" spans="1:12" x14ac:dyDescent="0.35">
      <c r="A80" s="95"/>
      <c r="B80" s="96"/>
      <c r="C80" s="97"/>
      <c r="D80" s="97"/>
      <c r="E80" s="97"/>
      <c r="F80" s="97"/>
      <c r="G80" s="97"/>
      <c r="H80" s="97"/>
      <c r="I80" s="97"/>
      <c r="J80" s="97"/>
      <c r="K80" s="97"/>
      <c r="L80" s="97"/>
    </row>
    <row r="81" spans="1:12" x14ac:dyDescent="0.35">
      <c r="A81" s="95"/>
      <c r="B81" s="96"/>
      <c r="C81" s="97"/>
      <c r="D81" s="97"/>
      <c r="E81" s="97"/>
      <c r="F81" s="97"/>
      <c r="G81" s="97"/>
      <c r="H81" s="97"/>
      <c r="I81" s="97"/>
      <c r="J81" s="97"/>
      <c r="K81" s="97"/>
      <c r="L81" s="97"/>
    </row>
    <row r="82" spans="1:12" x14ac:dyDescent="0.35">
      <c r="A82" s="95"/>
      <c r="B82" s="96"/>
      <c r="C82" s="97"/>
      <c r="D82" s="97"/>
      <c r="E82" s="97"/>
      <c r="F82" s="97"/>
      <c r="G82" s="97"/>
      <c r="H82" s="97"/>
      <c r="I82" s="97"/>
      <c r="J82" s="97"/>
      <c r="K82" s="97"/>
      <c r="L82" s="97"/>
    </row>
    <row r="83" spans="1:12" x14ac:dyDescent="0.35">
      <c r="A83" s="95"/>
      <c r="B83" s="96"/>
      <c r="C83" s="97"/>
      <c r="D83" s="97"/>
      <c r="E83" s="97"/>
      <c r="F83" s="97"/>
      <c r="G83" s="97"/>
      <c r="H83" s="97"/>
      <c r="I83" s="97"/>
      <c r="J83" s="97"/>
      <c r="K83" s="97"/>
      <c r="L83" s="97"/>
    </row>
    <row r="84" spans="1:12" x14ac:dyDescent="0.35">
      <c r="A84" s="95"/>
      <c r="B84" s="96"/>
      <c r="C84" s="97"/>
      <c r="D84" s="97"/>
      <c r="E84" s="97"/>
      <c r="F84" s="97"/>
      <c r="G84" s="97"/>
      <c r="H84" s="97"/>
      <c r="I84" s="97"/>
      <c r="J84" s="97"/>
      <c r="K84" s="97"/>
      <c r="L84" s="97"/>
    </row>
    <row r="85" spans="1:12" x14ac:dyDescent="0.35">
      <c r="A85" s="95"/>
      <c r="B85" s="96"/>
      <c r="C85" s="97"/>
      <c r="D85" s="97"/>
      <c r="E85" s="97"/>
      <c r="F85" s="97"/>
      <c r="G85" s="97"/>
      <c r="H85" s="97"/>
      <c r="I85" s="97"/>
      <c r="J85" s="97"/>
      <c r="K85" s="97"/>
      <c r="L85" s="97"/>
    </row>
    <row r="86" spans="1:12" x14ac:dyDescent="0.35">
      <c r="A86" s="95"/>
      <c r="B86" s="96"/>
      <c r="C86" s="97"/>
      <c r="D86" s="97"/>
      <c r="E86" s="97"/>
      <c r="F86" s="97"/>
      <c r="G86" s="97"/>
      <c r="H86" s="97"/>
      <c r="I86" s="97"/>
      <c r="J86" s="97"/>
      <c r="K86" s="97"/>
      <c r="L86" s="97"/>
    </row>
    <row r="87" spans="1:12" x14ac:dyDescent="0.35">
      <c r="A87" s="95"/>
      <c r="B87" s="96"/>
      <c r="C87" s="97"/>
      <c r="D87" s="97"/>
      <c r="E87" s="97"/>
      <c r="F87" s="97"/>
      <c r="G87" s="97"/>
      <c r="H87" s="97"/>
      <c r="I87" s="97"/>
      <c r="J87" s="97"/>
      <c r="K87" s="97"/>
      <c r="L87" s="97"/>
    </row>
    <row r="88" spans="1:12" x14ac:dyDescent="0.35">
      <c r="A88" s="95"/>
      <c r="B88" s="96"/>
      <c r="C88" s="97"/>
      <c r="D88" s="97"/>
      <c r="E88" s="97"/>
      <c r="F88" s="97"/>
      <c r="G88" s="97"/>
      <c r="H88" s="97"/>
      <c r="I88" s="97"/>
      <c r="J88" s="97"/>
      <c r="K88" s="97"/>
      <c r="L88" s="97"/>
    </row>
    <row r="89" spans="1:12" x14ac:dyDescent="0.35">
      <c r="A89" s="95"/>
      <c r="B89" s="96"/>
      <c r="C89" s="97"/>
      <c r="D89" s="97"/>
      <c r="E89" s="97"/>
      <c r="F89" s="97"/>
      <c r="G89" s="97"/>
      <c r="H89" s="97"/>
      <c r="I89" s="97"/>
      <c r="J89" s="97"/>
      <c r="K89" s="97"/>
      <c r="L89" s="97"/>
    </row>
    <row r="90" spans="1:12" x14ac:dyDescent="0.35">
      <c r="A90" s="95"/>
      <c r="B90" s="96"/>
      <c r="C90" s="97"/>
      <c r="D90" s="97"/>
      <c r="E90" s="97"/>
      <c r="F90" s="97"/>
      <c r="G90" s="97"/>
      <c r="H90" s="97"/>
      <c r="I90" s="97"/>
      <c r="J90" s="97"/>
      <c r="K90" s="97"/>
      <c r="L90" s="97"/>
    </row>
    <row r="91" spans="1:12" x14ac:dyDescent="0.35">
      <c r="A91" s="95"/>
      <c r="B91" s="96"/>
      <c r="C91" s="97"/>
      <c r="D91" s="97"/>
      <c r="E91" s="97"/>
      <c r="F91" s="97"/>
      <c r="G91" s="97"/>
      <c r="H91" s="97"/>
      <c r="I91" s="97"/>
      <c r="J91" s="97"/>
      <c r="K91" s="97"/>
      <c r="L91" s="97"/>
    </row>
    <row r="92" spans="1:12" x14ac:dyDescent="0.35">
      <c r="A92" s="95"/>
      <c r="B92" s="96"/>
      <c r="C92" s="97"/>
      <c r="D92" s="97"/>
      <c r="E92" s="97"/>
      <c r="F92" s="97"/>
      <c r="G92" s="97"/>
      <c r="H92" s="97"/>
      <c r="I92" s="97"/>
      <c r="J92" s="97"/>
      <c r="K92" s="97"/>
      <c r="L92" s="97"/>
    </row>
    <row r="93" spans="1:12" x14ac:dyDescent="0.35">
      <c r="A93" s="95"/>
      <c r="B93" s="96"/>
      <c r="C93" s="97"/>
      <c r="D93" s="97"/>
      <c r="E93" s="97"/>
      <c r="F93" s="97"/>
      <c r="G93" s="97"/>
      <c r="H93" s="97"/>
      <c r="I93" s="97"/>
      <c r="J93" s="97"/>
      <c r="K93" s="97"/>
      <c r="L93" s="97"/>
    </row>
    <row r="94" spans="1:12" x14ac:dyDescent="0.35">
      <c r="A94" s="95"/>
      <c r="B94" s="96"/>
      <c r="C94" s="97"/>
      <c r="D94" s="97"/>
      <c r="E94" s="97"/>
      <c r="F94" s="97"/>
      <c r="G94" s="97"/>
      <c r="H94" s="97"/>
      <c r="I94" s="97"/>
      <c r="J94" s="97"/>
      <c r="K94" s="97"/>
      <c r="L94" s="97"/>
    </row>
    <row r="95" spans="1:12" x14ac:dyDescent="0.35">
      <c r="A95" s="95"/>
      <c r="B95" s="96"/>
      <c r="C95" s="97"/>
      <c r="D95" s="97"/>
      <c r="E95" s="97"/>
      <c r="F95" s="97"/>
      <c r="G95" s="97"/>
      <c r="H95" s="97"/>
      <c r="I95" s="97"/>
      <c r="J95" s="97"/>
      <c r="K95" s="97"/>
      <c r="L95" s="97"/>
    </row>
    <row r="96" spans="1:12" x14ac:dyDescent="0.35">
      <c r="A96" s="95"/>
      <c r="B96" s="96"/>
      <c r="C96" s="97"/>
      <c r="D96" s="97"/>
      <c r="E96" s="97"/>
      <c r="F96" s="97"/>
      <c r="G96" s="97"/>
      <c r="H96" s="97"/>
      <c r="I96" s="97"/>
      <c r="J96" s="97"/>
      <c r="K96" s="97"/>
      <c r="L96" s="97"/>
    </row>
    <row r="97" spans="1:12" x14ac:dyDescent="0.35">
      <c r="A97" s="95"/>
      <c r="B97" s="96"/>
      <c r="C97" s="97"/>
      <c r="D97" s="97"/>
      <c r="E97" s="97"/>
      <c r="F97" s="97"/>
      <c r="G97" s="97"/>
      <c r="H97" s="97"/>
      <c r="I97" s="97"/>
      <c r="J97" s="97"/>
      <c r="K97" s="97"/>
      <c r="L97" s="97"/>
    </row>
    <row r="98" spans="1:12" x14ac:dyDescent="0.35">
      <c r="A98" s="95"/>
      <c r="B98" s="96"/>
      <c r="C98" s="97"/>
      <c r="D98" s="97"/>
      <c r="E98" s="97"/>
      <c r="F98" s="97"/>
      <c r="G98" s="97"/>
      <c r="H98" s="97"/>
      <c r="I98" s="97"/>
      <c r="J98" s="97"/>
      <c r="K98" s="97"/>
      <c r="L98" s="97"/>
    </row>
    <row r="99" spans="1:12" x14ac:dyDescent="0.35">
      <c r="A99" s="95"/>
      <c r="B99" s="96"/>
      <c r="C99" s="97"/>
      <c r="D99" s="97"/>
      <c r="E99" s="97"/>
      <c r="F99" s="97"/>
      <c r="G99" s="97"/>
      <c r="H99" s="97"/>
      <c r="I99" s="97"/>
      <c r="J99" s="97"/>
      <c r="K99" s="97"/>
      <c r="L99" s="97"/>
    </row>
    <row r="100" spans="1:12" x14ac:dyDescent="0.35">
      <c r="A100" s="95"/>
      <c r="B100" s="96"/>
      <c r="C100" s="97"/>
      <c r="D100" s="97"/>
      <c r="E100" s="97"/>
      <c r="F100" s="97"/>
      <c r="G100" s="97"/>
      <c r="H100" s="97"/>
      <c r="I100" s="97"/>
      <c r="J100" s="97"/>
      <c r="K100" s="97"/>
      <c r="L100" s="97"/>
    </row>
    <row r="101" spans="1:12" x14ac:dyDescent="0.35">
      <c r="A101" s="95"/>
      <c r="B101" s="96"/>
      <c r="C101" s="97"/>
      <c r="D101" s="97"/>
      <c r="E101" s="97"/>
      <c r="F101" s="97"/>
      <c r="G101" s="97"/>
      <c r="H101" s="97"/>
      <c r="I101" s="97"/>
      <c r="J101" s="97"/>
      <c r="K101" s="97"/>
      <c r="L101" s="97"/>
    </row>
    <row r="102" spans="1:12" x14ac:dyDescent="0.35">
      <c r="A102" s="95"/>
      <c r="B102" s="96"/>
      <c r="C102" s="97"/>
      <c r="D102" s="97"/>
      <c r="E102" s="97"/>
      <c r="F102" s="97"/>
      <c r="G102" s="97"/>
      <c r="H102" s="97"/>
      <c r="I102" s="97"/>
      <c r="J102" s="97"/>
      <c r="K102" s="97"/>
      <c r="L102" s="97"/>
    </row>
    <row r="103" spans="1:12" x14ac:dyDescent="0.35">
      <c r="A103" s="95"/>
      <c r="B103" s="96"/>
      <c r="C103" s="97"/>
      <c r="D103" s="97"/>
      <c r="E103" s="97"/>
      <c r="F103" s="97"/>
      <c r="G103" s="97"/>
      <c r="H103" s="97"/>
      <c r="I103" s="97"/>
      <c r="J103" s="97"/>
      <c r="K103" s="97"/>
      <c r="L103" s="97"/>
    </row>
    <row r="104" spans="1:12" x14ac:dyDescent="0.35">
      <c r="A104" s="95"/>
      <c r="B104" s="96"/>
      <c r="C104" s="97"/>
      <c r="D104" s="97"/>
      <c r="E104" s="97"/>
      <c r="F104" s="97"/>
      <c r="G104" s="97"/>
      <c r="H104" s="97"/>
      <c r="I104" s="97"/>
      <c r="J104" s="97"/>
      <c r="K104" s="97"/>
      <c r="L104" s="97"/>
    </row>
    <row r="105" spans="1:12" x14ac:dyDescent="0.35">
      <c r="A105" s="95"/>
      <c r="B105" s="96"/>
      <c r="C105" s="97"/>
      <c r="D105" s="97"/>
      <c r="E105" s="97"/>
      <c r="F105" s="97"/>
      <c r="G105" s="97"/>
      <c r="H105" s="97"/>
      <c r="I105" s="97"/>
      <c r="J105" s="97"/>
      <c r="K105" s="97"/>
      <c r="L105" s="97"/>
    </row>
    <row r="106" spans="1:12" x14ac:dyDescent="0.35">
      <c r="A106" s="95"/>
      <c r="B106" s="96"/>
      <c r="C106" s="97"/>
      <c r="D106" s="97"/>
      <c r="E106" s="97"/>
      <c r="F106" s="97"/>
      <c r="G106" s="97"/>
      <c r="H106" s="97"/>
      <c r="I106" s="97"/>
      <c r="J106" s="97"/>
      <c r="K106" s="97"/>
      <c r="L106" s="97"/>
    </row>
    <row r="107" spans="1:12" x14ac:dyDescent="0.35">
      <c r="A107" s="95"/>
      <c r="B107" s="96"/>
      <c r="C107" s="97"/>
      <c r="D107" s="97"/>
      <c r="E107" s="97"/>
      <c r="F107" s="97"/>
      <c r="G107" s="97"/>
      <c r="H107" s="97"/>
      <c r="I107" s="97"/>
      <c r="J107" s="97"/>
      <c r="K107" s="97"/>
      <c r="L107" s="97"/>
    </row>
    <row r="108" spans="1:12" x14ac:dyDescent="0.35">
      <c r="A108" s="95"/>
      <c r="B108" s="96"/>
      <c r="C108" s="97"/>
      <c r="D108" s="97"/>
      <c r="E108" s="97"/>
      <c r="F108" s="97"/>
      <c r="G108" s="97"/>
      <c r="H108" s="97"/>
      <c r="I108" s="97"/>
      <c r="J108" s="97"/>
      <c r="K108" s="97"/>
      <c r="L108" s="97"/>
    </row>
    <row r="109" spans="1:12" x14ac:dyDescent="0.35">
      <c r="A109" s="95"/>
      <c r="B109" s="96"/>
      <c r="C109" s="97"/>
      <c r="D109" s="97"/>
      <c r="E109" s="97"/>
      <c r="F109" s="97"/>
      <c r="G109" s="97"/>
      <c r="H109" s="97"/>
      <c r="I109" s="97"/>
      <c r="J109" s="97"/>
      <c r="K109" s="97"/>
      <c r="L109" s="97"/>
    </row>
    <row r="110" spans="1:12" x14ac:dyDescent="0.35">
      <c r="A110" s="95"/>
      <c r="B110" s="96"/>
      <c r="C110" s="97"/>
      <c r="D110" s="97"/>
      <c r="E110" s="97"/>
      <c r="F110" s="97"/>
      <c r="G110" s="97"/>
      <c r="H110" s="97"/>
      <c r="I110" s="97"/>
      <c r="J110" s="97"/>
      <c r="K110" s="97"/>
      <c r="L110" s="97"/>
    </row>
    <row r="111" spans="1:12" x14ac:dyDescent="0.35">
      <c r="A111" s="95"/>
      <c r="B111" s="96"/>
      <c r="C111" s="97"/>
      <c r="D111" s="97"/>
      <c r="E111" s="97"/>
      <c r="F111" s="97"/>
      <c r="G111" s="97"/>
      <c r="H111" s="97"/>
      <c r="I111" s="97"/>
      <c r="J111" s="97"/>
      <c r="K111" s="97"/>
      <c r="L111" s="97"/>
    </row>
    <row r="112" spans="1:12" x14ac:dyDescent="0.35">
      <c r="A112" s="95"/>
      <c r="B112" s="96"/>
      <c r="C112" s="97"/>
      <c r="D112" s="97"/>
      <c r="E112" s="97"/>
      <c r="F112" s="97"/>
      <c r="G112" s="97"/>
      <c r="H112" s="97"/>
      <c r="I112" s="97"/>
      <c r="J112" s="97"/>
      <c r="K112" s="97"/>
      <c r="L112" s="97"/>
    </row>
    <row r="113" spans="1:12" x14ac:dyDescent="0.35">
      <c r="A113" s="95"/>
      <c r="B113" s="96"/>
      <c r="C113" s="97"/>
      <c r="D113" s="97"/>
      <c r="E113" s="97"/>
      <c r="F113" s="97"/>
      <c r="G113" s="97"/>
      <c r="H113" s="97"/>
      <c r="I113" s="97"/>
      <c r="J113" s="97"/>
      <c r="K113" s="97"/>
      <c r="L113" s="97"/>
    </row>
    <row r="114" spans="1:12" x14ac:dyDescent="0.35">
      <c r="A114" s="95"/>
      <c r="B114" s="96"/>
      <c r="C114" s="97"/>
      <c r="D114" s="97"/>
      <c r="E114" s="97"/>
      <c r="F114" s="97"/>
      <c r="G114" s="97"/>
      <c r="H114" s="97"/>
      <c r="I114" s="97"/>
      <c r="J114" s="97"/>
      <c r="K114" s="97"/>
      <c r="L114" s="97"/>
    </row>
    <row r="115" spans="1:12" x14ac:dyDescent="0.35">
      <c r="A115" s="95"/>
      <c r="B115" s="96"/>
      <c r="C115" s="97"/>
      <c r="D115" s="97"/>
      <c r="E115" s="97"/>
      <c r="F115" s="97"/>
      <c r="G115" s="97"/>
      <c r="H115" s="97"/>
      <c r="I115" s="97"/>
      <c r="J115" s="97"/>
      <c r="K115" s="97"/>
      <c r="L115" s="97"/>
    </row>
    <row r="116" spans="1:12" x14ac:dyDescent="0.35">
      <c r="A116" s="95"/>
      <c r="B116" s="96"/>
      <c r="C116" s="97"/>
      <c r="D116" s="97"/>
      <c r="E116" s="97"/>
      <c r="F116" s="97"/>
      <c r="G116" s="97"/>
      <c r="H116" s="97"/>
      <c r="I116" s="97"/>
      <c r="J116" s="97"/>
      <c r="K116" s="97"/>
      <c r="L116" s="97"/>
    </row>
    <row r="117" spans="1:12" x14ac:dyDescent="0.35">
      <c r="A117" s="95"/>
      <c r="B117" s="96"/>
      <c r="C117" s="97"/>
      <c r="D117" s="97"/>
      <c r="E117" s="97"/>
      <c r="F117" s="97"/>
      <c r="G117" s="97"/>
      <c r="H117" s="97"/>
      <c r="I117" s="97"/>
      <c r="J117" s="97"/>
      <c r="K117" s="97"/>
      <c r="L117" s="97"/>
    </row>
    <row r="118" spans="1:12" x14ac:dyDescent="0.35">
      <c r="A118" s="95"/>
      <c r="B118" s="96"/>
      <c r="C118" s="97"/>
      <c r="D118" s="97"/>
      <c r="E118" s="97"/>
      <c r="F118" s="97"/>
      <c r="G118" s="97"/>
      <c r="H118" s="97"/>
      <c r="I118" s="97"/>
      <c r="J118" s="97"/>
      <c r="K118" s="97"/>
      <c r="L118" s="97"/>
    </row>
    <row r="119" spans="1:12" x14ac:dyDescent="0.35">
      <c r="A119" s="95"/>
      <c r="B119" s="96"/>
      <c r="C119" s="97"/>
      <c r="D119" s="97"/>
      <c r="E119" s="97"/>
      <c r="F119" s="97"/>
      <c r="G119" s="97"/>
      <c r="H119" s="97"/>
      <c r="I119" s="97"/>
      <c r="J119" s="97"/>
      <c r="K119" s="97"/>
      <c r="L119" s="97"/>
    </row>
    <row r="120" spans="1:12" x14ac:dyDescent="0.35">
      <c r="A120" s="95"/>
      <c r="B120" s="96"/>
      <c r="C120" s="97"/>
      <c r="D120" s="97"/>
      <c r="E120" s="97"/>
      <c r="F120" s="97"/>
      <c r="G120" s="97"/>
      <c r="H120" s="97"/>
      <c r="I120" s="97"/>
      <c r="J120" s="97"/>
      <c r="K120" s="97"/>
      <c r="L120" s="97"/>
    </row>
    <row r="121" spans="1:12" x14ac:dyDescent="0.35">
      <c r="A121" s="95"/>
      <c r="B121" s="96"/>
      <c r="C121" s="97"/>
      <c r="D121" s="97"/>
      <c r="E121" s="97"/>
      <c r="F121" s="97"/>
      <c r="G121" s="97"/>
      <c r="H121" s="97"/>
      <c r="I121" s="97"/>
      <c r="J121" s="97"/>
      <c r="K121" s="97"/>
      <c r="L121" s="97"/>
    </row>
    <row r="122" spans="1:12" x14ac:dyDescent="0.35">
      <c r="A122" s="95"/>
      <c r="B122" s="96"/>
      <c r="C122" s="97"/>
      <c r="D122" s="97"/>
      <c r="E122" s="97"/>
      <c r="F122" s="97"/>
      <c r="G122" s="97"/>
      <c r="H122" s="97"/>
      <c r="I122" s="97"/>
      <c r="J122" s="97"/>
      <c r="K122" s="97"/>
      <c r="L122" s="97"/>
    </row>
    <row r="123" spans="1:12" x14ac:dyDescent="0.35">
      <c r="A123" s="95"/>
      <c r="B123" s="96"/>
      <c r="C123" s="97"/>
      <c r="D123" s="97"/>
      <c r="E123" s="97"/>
      <c r="F123" s="97"/>
      <c r="G123" s="97"/>
      <c r="H123" s="97"/>
      <c r="I123" s="97"/>
      <c r="J123" s="97"/>
      <c r="K123" s="97"/>
      <c r="L123" s="97"/>
    </row>
    <row r="124" spans="1:12" x14ac:dyDescent="0.35">
      <c r="A124" s="95"/>
      <c r="B124" s="96"/>
      <c r="C124" s="97"/>
      <c r="D124" s="97"/>
      <c r="E124" s="97"/>
      <c r="F124" s="97"/>
      <c r="G124" s="97"/>
      <c r="H124" s="97"/>
      <c r="I124" s="97"/>
      <c r="J124" s="97"/>
      <c r="K124" s="97"/>
      <c r="L124" s="97"/>
    </row>
  </sheetData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tabColor rgb="FF0070C0"/>
  </sheetPr>
  <dimension ref="A1:G62"/>
  <sheetViews>
    <sheetView workbookViewId="0">
      <selection activeCell="B2" sqref="B2"/>
    </sheetView>
  </sheetViews>
  <sheetFormatPr defaultColWidth="9.1796875" defaultRowHeight="14.5" x14ac:dyDescent="0.35"/>
  <cols>
    <col min="1" max="1" width="8.26953125" style="101" bestFit="1" customWidth="1"/>
    <col min="2" max="2" width="86.1796875" style="101" bestFit="1" customWidth="1"/>
    <col min="3" max="3" width="4.453125" style="102" bestFit="1" customWidth="1"/>
    <col min="4" max="7" width="15.26953125" style="103" bestFit="1" customWidth="1"/>
    <col min="8" max="16384" width="9.1796875" style="94"/>
  </cols>
  <sheetData>
    <row r="1" spans="1:7" ht="30" x14ac:dyDescent="0.35">
      <c r="A1" s="105" t="s">
        <v>226</v>
      </c>
      <c r="B1" s="105" t="s">
        <v>234</v>
      </c>
      <c r="C1" s="104" t="s">
        <v>248</v>
      </c>
      <c r="D1" s="106" t="s">
        <v>249</v>
      </c>
      <c r="E1" s="106" t="s">
        <v>250</v>
      </c>
      <c r="F1" s="106" t="s">
        <v>233</v>
      </c>
      <c r="G1" s="106" t="s">
        <v>231</v>
      </c>
    </row>
    <row r="2" spans="1:7" x14ac:dyDescent="0.35">
      <c r="A2" s="96" t="s">
        <v>992</v>
      </c>
      <c r="B2" s="96" t="s">
        <v>993</v>
      </c>
      <c r="C2" s="95" t="s">
        <v>994</v>
      </c>
      <c r="D2" s="97">
        <v>2114481.9900000002</v>
      </c>
      <c r="E2" s="97">
        <v>1837431.56</v>
      </c>
      <c r="F2" s="97">
        <v>2114482</v>
      </c>
      <c r="G2" s="97">
        <v>1837432</v>
      </c>
    </row>
    <row r="3" spans="1:7" x14ac:dyDescent="0.35">
      <c r="A3" s="96" t="s">
        <v>995</v>
      </c>
      <c r="B3" s="96" t="s">
        <v>996</v>
      </c>
      <c r="C3" s="95" t="s">
        <v>997</v>
      </c>
      <c r="D3" s="97">
        <v>2118542.94</v>
      </c>
      <c r="E3" s="97">
        <v>1843997.06</v>
      </c>
      <c r="F3" s="97">
        <v>2118543</v>
      </c>
      <c r="G3" s="97">
        <v>1843998</v>
      </c>
    </row>
    <row r="4" spans="1:7" x14ac:dyDescent="0.35">
      <c r="A4" s="96" t="s">
        <v>998</v>
      </c>
      <c r="B4" s="96" t="s">
        <v>999</v>
      </c>
      <c r="C4" s="95" t="s">
        <v>1000</v>
      </c>
      <c r="D4" s="97">
        <v>2113278.0499999998</v>
      </c>
      <c r="E4" s="97">
        <v>1836506.58</v>
      </c>
      <c r="F4" s="97">
        <v>2113278</v>
      </c>
      <c r="G4" s="97">
        <v>1836507</v>
      </c>
    </row>
    <row r="5" spans="1:7" x14ac:dyDescent="0.35">
      <c r="A5" s="96" t="s">
        <v>1001</v>
      </c>
      <c r="B5" s="96" t="s">
        <v>1002</v>
      </c>
      <c r="C5" s="95" t="s">
        <v>1003</v>
      </c>
      <c r="D5" s="97">
        <v>0</v>
      </c>
      <c r="E5" s="97">
        <v>0</v>
      </c>
      <c r="F5" s="97">
        <v>0</v>
      </c>
      <c r="G5" s="97">
        <v>0</v>
      </c>
    </row>
    <row r="6" spans="1:7" x14ac:dyDescent="0.35">
      <c r="A6" s="96" t="s">
        <v>1004</v>
      </c>
      <c r="B6" s="96" t="s">
        <v>1005</v>
      </c>
      <c r="C6" s="95" t="s">
        <v>1006</v>
      </c>
      <c r="D6" s="97">
        <v>1203.94</v>
      </c>
      <c r="E6" s="97">
        <v>924.98</v>
      </c>
      <c r="F6" s="97">
        <v>1204</v>
      </c>
      <c r="G6" s="97">
        <v>925</v>
      </c>
    </row>
    <row r="7" spans="1:7" x14ac:dyDescent="0.35">
      <c r="A7" s="96" t="s">
        <v>1007</v>
      </c>
      <c r="B7" s="96" t="s">
        <v>1008</v>
      </c>
      <c r="C7" s="95" t="s">
        <v>1009</v>
      </c>
      <c r="D7" s="97">
        <v>0</v>
      </c>
      <c r="E7" s="97">
        <v>0</v>
      </c>
      <c r="F7" s="97">
        <v>0</v>
      </c>
      <c r="G7" s="97">
        <v>0</v>
      </c>
    </row>
    <row r="8" spans="1:7" x14ac:dyDescent="0.35">
      <c r="A8" s="96" t="s">
        <v>1010</v>
      </c>
      <c r="B8" s="96" t="s">
        <v>1011</v>
      </c>
      <c r="C8" s="95" t="s">
        <v>1012</v>
      </c>
      <c r="D8" s="97">
        <v>0</v>
      </c>
      <c r="E8" s="97">
        <v>0</v>
      </c>
      <c r="F8" s="97">
        <v>0</v>
      </c>
      <c r="G8" s="97">
        <v>0</v>
      </c>
    </row>
    <row r="9" spans="1:7" x14ac:dyDescent="0.35">
      <c r="A9" s="96" t="s">
        <v>1013</v>
      </c>
      <c r="B9" s="96" t="s">
        <v>1014</v>
      </c>
      <c r="C9" s="95" t="s">
        <v>1015</v>
      </c>
      <c r="D9" s="97">
        <v>0</v>
      </c>
      <c r="E9" s="97">
        <v>0</v>
      </c>
      <c r="F9" s="97">
        <v>0</v>
      </c>
      <c r="G9" s="97">
        <v>0</v>
      </c>
    </row>
    <row r="10" spans="1:7" x14ac:dyDescent="0.35">
      <c r="A10" s="96" t="s">
        <v>1016</v>
      </c>
      <c r="B10" s="96" t="s">
        <v>1017</v>
      </c>
      <c r="C10" s="95" t="s">
        <v>1018</v>
      </c>
      <c r="D10" s="97">
        <v>4060.95</v>
      </c>
      <c r="E10" s="97">
        <v>6565.5</v>
      </c>
      <c r="F10" s="97">
        <v>4061</v>
      </c>
      <c r="G10" s="97">
        <v>6566</v>
      </c>
    </row>
    <row r="11" spans="1:7" x14ac:dyDescent="0.35">
      <c r="A11" s="96" t="s">
        <v>995</v>
      </c>
      <c r="B11" s="96" t="s">
        <v>1019</v>
      </c>
      <c r="C11" s="95" t="s">
        <v>1020</v>
      </c>
      <c r="D11" s="97">
        <v>2076040.08</v>
      </c>
      <c r="E11" s="97">
        <v>1810441.57</v>
      </c>
      <c r="F11" s="97">
        <v>2076040</v>
      </c>
      <c r="G11" s="97">
        <v>1810443</v>
      </c>
    </row>
    <row r="12" spans="1:7" x14ac:dyDescent="0.35">
      <c r="A12" s="96" t="s">
        <v>1021</v>
      </c>
      <c r="B12" s="96" t="s">
        <v>1022</v>
      </c>
      <c r="C12" s="95" t="s">
        <v>1023</v>
      </c>
      <c r="D12" s="97">
        <v>1472772.73</v>
      </c>
      <c r="E12" s="97">
        <v>1296471.02</v>
      </c>
      <c r="F12" s="97">
        <v>1472773</v>
      </c>
      <c r="G12" s="97">
        <v>1296471</v>
      </c>
    </row>
    <row r="13" spans="1:7" x14ac:dyDescent="0.35">
      <c r="A13" s="96" t="s">
        <v>1024</v>
      </c>
      <c r="B13" s="96" t="s">
        <v>1025</v>
      </c>
      <c r="C13" s="95" t="s">
        <v>1026</v>
      </c>
      <c r="D13" s="97">
        <v>7195.09</v>
      </c>
      <c r="E13" s="97">
        <v>9581.56</v>
      </c>
      <c r="F13" s="97">
        <v>7195</v>
      </c>
      <c r="G13" s="97">
        <v>9582</v>
      </c>
    </row>
    <row r="14" spans="1:7" x14ac:dyDescent="0.35">
      <c r="A14" s="96" t="s">
        <v>1027</v>
      </c>
      <c r="B14" s="96" t="s">
        <v>1028</v>
      </c>
      <c r="C14" s="95" t="s">
        <v>1029</v>
      </c>
      <c r="D14" s="97">
        <v>8.91</v>
      </c>
      <c r="E14" s="97">
        <v>-799.35</v>
      </c>
      <c r="F14" s="97">
        <v>9</v>
      </c>
      <c r="G14" s="97">
        <v>-799</v>
      </c>
    </row>
    <row r="15" spans="1:7" x14ac:dyDescent="0.35">
      <c r="A15" s="96" t="s">
        <v>1030</v>
      </c>
      <c r="B15" s="96" t="s">
        <v>1031</v>
      </c>
      <c r="C15" s="95" t="s">
        <v>1032</v>
      </c>
      <c r="D15" s="97">
        <v>318719.82</v>
      </c>
      <c r="E15" s="97">
        <v>261796.84</v>
      </c>
      <c r="F15" s="97">
        <v>318721</v>
      </c>
      <c r="G15" s="97">
        <v>261797</v>
      </c>
    </row>
    <row r="16" spans="1:7" x14ac:dyDescent="0.35">
      <c r="A16" s="96" t="s">
        <v>1033</v>
      </c>
      <c r="B16" s="96" t="s">
        <v>1034</v>
      </c>
      <c r="C16" s="95" t="s">
        <v>1035</v>
      </c>
      <c r="D16" s="97">
        <v>261445.15</v>
      </c>
      <c r="E16" s="97">
        <v>230694.39999999999</v>
      </c>
      <c r="F16" s="97">
        <v>261445</v>
      </c>
      <c r="G16" s="97">
        <v>230695</v>
      </c>
    </row>
    <row r="17" spans="1:7" x14ac:dyDescent="0.35">
      <c r="A17" s="96" t="s">
        <v>1036</v>
      </c>
      <c r="B17" s="96" t="s">
        <v>1037</v>
      </c>
      <c r="C17" s="95" t="s">
        <v>1038</v>
      </c>
      <c r="D17" s="97">
        <v>181160.04</v>
      </c>
      <c r="E17" s="97">
        <v>160731.51</v>
      </c>
      <c r="F17" s="97">
        <v>181160</v>
      </c>
      <c r="G17" s="97">
        <v>160732</v>
      </c>
    </row>
    <row r="18" spans="1:7" x14ac:dyDescent="0.35">
      <c r="A18" s="96">
        <v>2</v>
      </c>
      <c r="B18" s="96" t="s">
        <v>1039</v>
      </c>
      <c r="C18" s="95" t="s">
        <v>1040</v>
      </c>
      <c r="D18" s="97">
        <v>0</v>
      </c>
      <c r="E18" s="97">
        <v>0</v>
      </c>
      <c r="F18" s="97">
        <v>0</v>
      </c>
      <c r="G18" s="97">
        <v>0</v>
      </c>
    </row>
    <row r="19" spans="1:7" x14ac:dyDescent="0.35">
      <c r="A19" s="96">
        <v>3</v>
      </c>
      <c r="B19" s="96" t="s">
        <v>1041</v>
      </c>
      <c r="C19" s="95" t="s">
        <v>1042</v>
      </c>
      <c r="D19" s="97">
        <v>66897.149999999994</v>
      </c>
      <c r="E19" s="97">
        <v>57410.15</v>
      </c>
      <c r="F19" s="97">
        <v>66897</v>
      </c>
      <c r="G19" s="97">
        <v>57410</v>
      </c>
    </row>
    <row r="20" spans="1:7" x14ac:dyDescent="0.35">
      <c r="A20" s="96">
        <v>4</v>
      </c>
      <c r="B20" s="96" t="s">
        <v>1043</v>
      </c>
      <c r="C20" s="95" t="s">
        <v>1044</v>
      </c>
      <c r="D20" s="97">
        <v>13387.96</v>
      </c>
      <c r="E20" s="97">
        <v>12552.74</v>
      </c>
      <c r="F20" s="97">
        <v>13388</v>
      </c>
      <c r="G20" s="97">
        <v>12553</v>
      </c>
    </row>
    <row r="21" spans="1:7" x14ac:dyDescent="0.35">
      <c r="A21" s="96" t="s">
        <v>1045</v>
      </c>
      <c r="B21" s="96" t="s">
        <v>1046</v>
      </c>
      <c r="C21" s="95" t="s">
        <v>1047</v>
      </c>
      <c r="D21" s="97">
        <v>44.4</v>
      </c>
      <c r="E21" s="97">
        <v>79.37</v>
      </c>
      <c r="F21" s="97">
        <v>44</v>
      </c>
      <c r="G21" s="97">
        <v>79</v>
      </c>
    </row>
    <row r="22" spans="1:7" x14ac:dyDescent="0.35">
      <c r="A22" s="96" t="s">
        <v>1048</v>
      </c>
      <c r="B22" s="96" t="s">
        <v>1049</v>
      </c>
      <c r="C22" s="95" t="s">
        <v>1050</v>
      </c>
      <c r="D22" s="97">
        <v>5648.24</v>
      </c>
      <c r="E22" s="97">
        <v>7056.93</v>
      </c>
      <c r="F22" s="97">
        <v>5648</v>
      </c>
      <c r="G22" s="97">
        <v>7057</v>
      </c>
    </row>
    <row r="23" spans="1:7" x14ac:dyDescent="0.35">
      <c r="A23" s="96" t="s">
        <v>1051</v>
      </c>
      <c r="B23" s="96" t="s">
        <v>1052</v>
      </c>
      <c r="C23" s="95" t="s">
        <v>1053</v>
      </c>
      <c r="D23" s="97">
        <v>5648.24</v>
      </c>
      <c r="E23" s="97">
        <v>7056.93</v>
      </c>
      <c r="F23" s="97">
        <v>5648</v>
      </c>
      <c r="G23" s="97">
        <v>7057</v>
      </c>
    </row>
    <row r="24" spans="1:7" x14ac:dyDescent="0.35">
      <c r="A24" s="96">
        <v>2</v>
      </c>
      <c r="B24" s="96" t="s">
        <v>1054</v>
      </c>
      <c r="C24" s="95" t="s">
        <v>1055</v>
      </c>
      <c r="D24" s="97">
        <v>0</v>
      </c>
      <c r="E24" s="97">
        <v>0</v>
      </c>
      <c r="F24" s="97">
        <v>0</v>
      </c>
      <c r="G24" s="97">
        <v>0</v>
      </c>
    </row>
    <row r="25" spans="1:7" x14ac:dyDescent="0.35">
      <c r="A25" s="96" t="s">
        <v>1056</v>
      </c>
      <c r="B25" s="96" t="s">
        <v>1057</v>
      </c>
      <c r="C25" s="95" t="s">
        <v>1058</v>
      </c>
      <c r="D25" s="97">
        <v>0</v>
      </c>
      <c r="E25" s="97">
        <v>0</v>
      </c>
      <c r="F25" s="97">
        <v>0</v>
      </c>
      <c r="G25" s="97">
        <v>0</v>
      </c>
    </row>
    <row r="26" spans="1:7" x14ac:dyDescent="0.35">
      <c r="A26" s="96" t="s">
        <v>998</v>
      </c>
      <c r="B26" s="96" t="s">
        <v>1059</v>
      </c>
      <c r="C26" s="95" t="s">
        <v>1060</v>
      </c>
      <c r="D26" s="97">
        <v>7726.27</v>
      </c>
      <c r="E26" s="97">
        <v>0</v>
      </c>
      <c r="F26" s="97">
        <v>7726</v>
      </c>
      <c r="G26" s="97">
        <v>0</v>
      </c>
    </row>
    <row r="27" spans="1:7" x14ac:dyDescent="0.35">
      <c r="A27" s="96" t="s">
        <v>1061</v>
      </c>
      <c r="B27" s="96" t="s">
        <v>1062</v>
      </c>
      <c r="C27" s="95" t="s">
        <v>1063</v>
      </c>
      <c r="D27" s="97">
        <v>2479.4699999999998</v>
      </c>
      <c r="E27" s="97">
        <v>5560.8</v>
      </c>
      <c r="F27" s="97">
        <v>2479</v>
      </c>
      <c r="G27" s="97">
        <v>5561</v>
      </c>
    </row>
    <row r="28" spans="1:7" x14ac:dyDescent="0.35">
      <c r="A28" s="96" t="s">
        <v>1064</v>
      </c>
      <c r="B28" s="96" t="s">
        <v>1065</v>
      </c>
      <c r="C28" s="95" t="s">
        <v>1066</v>
      </c>
      <c r="D28" s="97">
        <v>42502.86</v>
      </c>
      <c r="E28" s="97">
        <v>33555.49</v>
      </c>
      <c r="F28" s="97">
        <v>42503</v>
      </c>
      <c r="G28" s="97">
        <v>33555</v>
      </c>
    </row>
    <row r="29" spans="1:7" x14ac:dyDescent="0.35">
      <c r="A29" s="96" t="s">
        <v>992</v>
      </c>
      <c r="B29" s="96" t="s">
        <v>1067</v>
      </c>
      <c r="C29" s="95" t="s">
        <v>1068</v>
      </c>
      <c r="D29" s="97">
        <v>315785.44</v>
      </c>
      <c r="E29" s="97">
        <v>270381.49</v>
      </c>
      <c r="F29" s="97">
        <v>315784</v>
      </c>
      <c r="G29" s="97">
        <v>270381</v>
      </c>
    </row>
    <row r="30" spans="1:7" x14ac:dyDescent="0.35">
      <c r="A30" s="96" t="s">
        <v>995</v>
      </c>
      <c r="B30" s="96" t="s">
        <v>1069</v>
      </c>
      <c r="C30" s="95" t="s">
        <v>1070</v>
      </c>
      <c r="D30" s="97">
        <v>10047.1</v>
      </c>
      <c r="E30" s="97">
        <v>7560.88</v>
      </c>
      <c r="F30" s="97">
        <v>10047</v>
      </c>
      <c r="G30" s="97">
        <v>7561</v>
      </c>
    </row>
    <row r="31" spans="1:7" x14ac:dyDescent="0.35">
      <c r="A31" s="96" t="s">
        <v>1071</v>
      </c>
      <c r="B31" s="96" t="s">
        <v>1072</v>
      </c>
      <c r="C31" s="95" t="s">
        <v>1073</v>
      </c>
      <c r="D31" s="97">
        <v>0</v>
      </c>
      <c r="E31" s="97">
        <v>0</v>
      </c>
      <c r="F31" s="97">
        <v>0</v>
      </c>
      <c r="G31" s="97">
        <v>0</v>
      </c>
    </row>
    <row r="32" spans="1:7" x14ac:dyDescent="0.35">
      <c r="A32" s="96" t="s">
        <v>1074</v>
      </c>
      <c r="B32" s="96" t="s">
        <v>1075</v>
      </c>
      <c r="C32" s="95" t="s">
        <v>1076</v>
      </c>
      <c r="D32" s="97">
        <v>0</v>
      </c>
      <c r="E32" s="97">
        <v>0</v>
      </c>
      <c r="F32" s="97">
        <v>0</v>
      </c>
      <c r="G32" s="97">
        <v>0</v>
      </c>
    </row>
    <row r="33" spans="1:7" x14ac:dyDescent="0.35">
      <c r="A33" s="96" t="s">
        <v>1077</v>
      </c>
      <c r="B33" s="96" t="s">
        <v>1078</v>
      </c>
      <c r="C33" s="95" t="s">
        <v>1079</v>
      </c>
      <c r="D33" s="97">
        <v>0</v>
      </c>
      <c r="E33" s="97">
        <v>0</v>
      </c>
      <c r="F33" s="97">
        <v>0</v>
      </c>
      <c r="G33" s="97">
        <v>0</v>
      </c>
    </row>
    <row r="34" spans="1:7" x14ac:dyDescent="0.35">
      <c r="A34" s="96">
        <v>2</v>
      </c>
      <c r="B34" s="96" t="s">
        <v>1080</v>
      </c>
      <c r="C34" s="95" t="s">
        <v>1081</v>
      </c>
      <c r="D34" s="97">
        <v>0</v>
      </c>
      <c r="E34" s="97">
        <v>0</v>
      </c>
      <c r="F34" s="97">
        <v>0</v>
      </c>
      <c r="G34" s="97">
        <v>0</v>
      </c>
    </row>
    <row r="35" spans="1:7" x14ac:dyDescent="0.35">
      <c r="A35" s="96">
        <v>3</v>
      </c>
      <c r="B35" s="96" t="s">
        <v>1082</v>
      </c>
      <c r="C35" s="95" t="s">
        <v>1083</v>
      </c>
      <c r="D35" s="97">
        <v>0</v>
      </c>
      <c r="E35" s="97">
        <v>0</v>
      </c>
      <c r="F35" s="97">
        <v>0</v>
      </c>
      <c r="G35" s="97">
        <v>0</v>
      </c>
    </row>
    <row r="36" spans="1:7" x14ac:dyDescent="0.35">
      <c r="A36" s="96" t="s">
        <v>1084</v>
      </c>
      <c r="B36" s="96" t="s">
        <v>1085</v>
      </c>
      <c r="C36" s="95" t="s">
        <v>1086</v>
      </c>
      <c r="D36" s="97">
        <v>0</v>
      </c>
      <c r="E36" s="97">
        <v>0</v>
      </c>
      <c r="F36" s="97">
        <v>0</v>
      </c>
      <c r="G36" s="97">
        <v>0</v>
      </c>
    </row>
    <row r="37" spans="1:7" x14ac:dyDescent="0.35">
      <c r="A37" s="96" t="s">
        <v>1087</v>
      </c>
      <c r="B37" s="96" t="s">
        <v>1088</v>
      </c>
      <c r="C37" s="95" t="s">
        <v>1089</v>
      </c>
      <c r="D37" s="97">
        <v>0</v>
      </c>
      <c r="E37" s="97">
        <v>0</v>
      </c>
      <c r="F37" s="97">
        <v>0</v>
      </c>
      <c r="G37" s="97">
        <v>0</v>
      </c>
    </row>
    <row r="38" spans="1:7" x14ac:dyDescent="0.35">
      <c r="A38" s="96">
        <v>2</v>
      </c>
      <c r="B38" s="96" t="s">
        <v>1090</v>
      </c>
      <c r="C38" s="95" t="s">
        <v>1091</v>
      </c>
      <c r="D38" s="97">
        <v>0</v>
      </c>
      <c r="E38" s="97">
        <v>0</v>
      </c>
      <c r="F38" s="97">
        <v>0</v>
      </c>
      <c r="G38" s="97">
        <v>0</v>
      </c>
    </row>
    <row r="39" spans="1:7" x14ac:dyDescent="0.35">
      <c r="A39" s="96">
        <v>3</v>
      </c>
      <c r="B39" s="96" t="s">
        <v>1092</v>
      </c>
      <c r="C39" s="95" t="s">
        <v>1093</v>
      </c>
      <c r="D39" s="97">
        <v>0</v>
      </c>
      <c r="E39" s="97">
        <v>0</v>
      </c>
      <c r="F39" s="97">
        <v>0</v>
      </c>
      <c r="G39" s="97">
        <v>0</v>
      </c>
    </row>
    <row r="40" spans="1:7" x14ac:dyDescent="0.35">
      <c r="A40" s="96" t="s">
        <v>1094</v>
      </c>
      <c r="B40" s="96" t="s">
        <v>1095</v>
      </c>
      <c r="C40" s="95" t="s">
        <v>1096</v>
      </c>
      <c r="D40" s="97">
        <v>10047.1</v>
      </c>
      <c r="E40" s="97">
        <v>7560.88</v>
      </c>
      <c r="F40" s="97">
        <v>10047</v>
      </c>
      <c r="G40" s="97">
        <v>7561</v>
      </c>
    </row>
    <row r="41" spans="1:7" x14ac:dyDescent="0.35">
      <c r="A41" s="96" t="s">
        <v>1097</v>
      </c>
      <c r="B41" s="96" t="s">
        <v>1098</v>
      </c>
      <c r="C41" s="95" t="s">
        <v>1099</v>
      </c>
      <c r="D41" s="97">
        <v>10047.1</v>
      </c>
      <c r="E41" s="97">
        <v>7560.88</v>
      </c>
      <c r="F41" s="97">
        <v>10047</v>
      </c>
      <c r="G41" s="97">
        <v>7561</v>
      </c>
    </row>
    <row r="42" spans="1:7" x14ac:dyDescent="0.35">
      <c r="A42" s="96">
        <v>2</v>
      </c>
      <c r="B42" s="96" t="s">
        <v>1100</v>
      </c>
      <c r="C42" s="95" t="s">
        <v>1101</v>
      </c>
      <c r="D42" s="97">
        <v>0</v>
      </c>
      <c r="E42" s="97">
        <v>0</v>
      </c>
      <c r="F42" s="97">
        <v>0</v>
      </c>
      <c r="G42" s="97">
        <v>0</v>
      </c>
    </row>
    <row r="43" spans="1:7" x14ac:dyDescent="0.35">
      <c r="A43" s="96" t="s">
        <v>1102</v>
      </c>
      <c r="B43" s="96" t="s">
        <v>1103</v>
      </c>
      <c r="C43" s="95" t="s">
        <v>1104</v>
      </c>
      <c r="D43" s="97">
        <v>0</v>
      </c>
      <c r="E43" s="97">
        <v>0</v>
      </c>
      <c r="F43" s="97">
        <v>0</v>
      </c>
      <c r="G43" s="97">
        <v>0</v>
      </c>
    </row>
    <row r="44" spans="1:7" x14ac:dyDescent="0.35">
      <c r="A44" s="96" t="s">
        <v>1105</v>
      </c>
      <c r="B44" s="96" t="s">
        <v>1106</v>
      </c>
      <c r="C44" s="95" t="s">
        <v>1107</v>
      </c>
      <c r="D44" s="97">
        <v>0</v>
      </c>
      <c r="E44" s="97">
        <v>0</v>
      </c>
      <c r="F44" s="97">
        <v>0</v>
      </c>
      <c r="G44" s="97">
        <v>0</v>
      </c>
    </row>
    <row r="45" spans="1:7" x14ac:dyDescent="0.35">
      <c r="A45" s="96" t="s">
        <v>1108</v>
      </c>
      <c r="B45" s="96" t="s">
        <v>1109</v>
      </c>
      <c r="C45" s="95" t="s">
        <v>1110</v>
      </c>
      <c r="D45" s="97">
        <v>0</v>
      </c>
      <c r="E45" s="97">
        <v>0</v>
      </c>
      <c r="F45" s="97">
        <v>0</v>
      </c>
      <c r="G45" s="97">
        <v>0</v>
      </c>
    </row>
    <row r="46" spans="1:7" x14ac:dyDescent="0.35">
      <c r="A46" s="96" t="s">
        <v>995</v>
      </c>
      <c r="B46" s="96" t="s">
        <v>1111</v>
      </c>
      <c r="C46" s="95" t="s">
        <v>1112</v>
      </c>
      <c r="D46" s="97">
        <v>4109.6899999999996</v>
      </c>
      <c r="E46" s="97">
        <v>3722.7</v>
      </c>
      <c r="F46" s="97">
        <v>4110</v>
      </c>
      <c r="G46" s="97">
        <v>3723</v>
      </c>
    </row>
    <row r="47" spans="1:7" x14ac:dyDescent="0.35">
      <c r="A47" s="96" t="s">
        <v>1113</v>
      </c>
      <c r="B47" s="96" t="s">
        <v>1114</v>
      </c>
      <c r="C47" s="95" t="s">
        <v>1115</v>
      </c>
      <c r="D47" s="97">
        <v>0</v>
      </c>
      <c r="E47" s="97">
        <v>0</v>
      </c>
      <c r="F47" s="97">
        <v>0</v>
      </c>
      <c r="G47" s="97">
        <v>0</v>
      </c>
    </row>
    <row r="48" spans="1:7" x14ac:dyDescent="0.35">
      <c r="A48" s="96" t="s">
        <v>1116</v>
      </c>
      <c r="B48" s="96" t="s">
        <v>1117</v>
      </c>
      <c r="C48" s="95" t="s">
        <v>1118</v>
      </c>
      <c r="D48" s="97">
        <v>0</v>
      </c>
      <c r="E48" s="97">
        <v>0</v>
      </c>
      <c r="F48" s="97">
        <v>0</v>
      </c>
      <c r="G48" s="97">
        <v>0</v>
      </c>
    </row>
    <row r="49" spans="1:7" x14ac:dyDescent="0.35">
      <c r="A49" s="96" t="s">
        <v>1119</v>
      </c>
      <c r="B49" s="96" t="s">
        <v>1120</v>
      </c>
      <c r="C49" s="95" t="s">
        <v>1121</v>
      </c>
      <c r="D49" s="97">
        <v>0</v>
      </c>
      <c r="E49" s="97">
        <v>0</v>
      </c>
      <c r="F49" s="97">
        <v>0</v>
      </c>
      <c r="G49" s="97">
        <v>0</v>
      </c>
    </row>
    <row r="50" spans="1:7" x14ac:dyDescent="0.35">
      <c r="A50" s="96" t="s">
        <v>1122</v>
      </c>
      <c r="B50" s="96" t="s">
        <v>1123</v>
      </c>
      <c r="C50" s="95" t="s">
        <v>1124</v>
      </c>
      <c r="D50" s="97">
        <v>0</v>
      </c>
      <c r="E50" s="97">
        <v>0</v>
      </c>
      <c r="F50" s="97">
        <v>0</v>
      </c>
      <c r="G50" s="97">
        <v>0</v>
      </c>
    </row>
    <row r="51" spans="1:7" x14ac:dyDescent="0.35">
      <c r="A51" s="96" t="s">
        <v>1125</v>
      </c>
      <c r="B51" s="96" t="s">
        <v>1126</v>
      </c>
      <c r="C51" s="95" t="s">
        <v>1127</v>
      </c>
      <c r="D51" s="97">
        <v>0</v>
      </c>
      <c r="E51" s="97">
        <v>0</v>
      </c>
      <c r="F51" s="97">
        <v>0</v>
      </c>
      <c r="G51" s="97">
        <v>0</v>
      </c>
    </row>
    <row r="52" spans="1:7" x14ac:dyDescent="0.35">
      <c r="A52" s="96">
        <v>2</v>
      </c>
      <c r="B52" s="96" t="s">
        <v>1128</v>
      </c>
      <c r="C52" s="95" t="s">
        <v>1129</v>
      </c>
      <c r="D52" s="97">
        <v>0</v>
      </c>
      <c r="E52" s="97">
        <v>0</v>
      </c>
      <c r="F52" s="97">
        <v>0</v>
      </c>
      <c r="G52" s="97">
        <v>0</v>
      </c>
    </row>
    <row r="53" spans="1:7" x14ac:dyDescent="0.35">
      <c r="A53" s="96" t="s">
        <v>1130</v>
      </c>
      <c r="B53" s="96" t="s">
        <v>1131</v>
      </c>
      <c r="C53" s="95" t="s">
        <v>1132</v>
      </c>
      <c r="D53" s="97">
        <v>0</v>
      </c>
      <c r="E53" s="97">
        <v>0</v>
      </c>
      <c r="F53" s="97">
        <v>0</v>
      </c>
      <c r="G53" s="97">
        <v>0</v>
      </c>
    </row>
    <row r="54" spans="1:7" x14ac:dyDescent="0.35">
      <c r="A54" s="96" t="s">
        <v>1133</v>
      </c>
      <c r="B54" s="96" t="s">
        <v>1134</v>
      </c>
      <c r="C54" s="95" t="s">
        <v>1135</v>
      </c>
      <c r="D54" s="97">
        <v>0</v>
      </c>
      <c r="E54" s="97">
        <v>0</v>
      </c>
      <c r="F54" s="97">
        <v>0</v>
      </c>
      <c r="G54" s="97">
        <v>0</v>
      </c>
    </row>
    <row r="55" spans="1:7" x14ac:dyDescent="0.35">
      <c r="A55" s="96" t="s">
        <v>1136</v>
      </c>
      <c r="B55" s="96" t="s">
        <v>1137</v>
      </c>
      <c r="C55" s="95" t="s">
        <v>1138</v>
      </c>
      <c r="D55" s="97">
        <v>4109.6899999999996</v>
      </c>
      <c r="E55" s="97">
        <v>3722.7</v>
      </c>
      <c r="F55" s="97">
        <v>4110</v>
      </c>
      <c r="G55" s="97">
        <v>3723</v>
      </c>
    </row>
    <row r="56" spans="1:7" x14ac:dyDescent="0.35">
      <c r="A56" s="96" t="s">
        <v>1064</v>
      </c>
      <c r="B56" s="96" t="s">
        <v>1139</v>
      </c>
      <c r="C56" s="95" t="s">
        <v>1140</v>
      </c>
      <c r="D56" s="97">
        <v>5937.41</v>
      </c>
      <c r="E56" s="97">
        <v>3838.18</v>
      </c>
      <c r="F56" s="97">
        <v>5937</v>
      </c>
      <c r="G56" s="97">
        <v>3838</v>
      </c>
    </row>
    <row r="57" spans="1:7" x14ac:dyDescent="0.35">
      <c r="A57" s="96" t="s">
        <v>1141</v>
      </c>
      <c r="B57" s="96" t="s">
        <v>1142</v>
      </c>
      <c r="C57" s="95" t="s">
        <v>1143</v>
      </c>
      <c r="D57" s="97">
        <v>48440.27</v>
      </c>
      <c r="E57" s="97">
        <v>37393.67</v>
      </c>
      <c r="F57" s="97">
        <v>48440</v>
      </c>
      <c r="G57" s="97">
        <v>37393</v>
      </c>
    </row>
    <row r="58" spans="1:7" x14ac:dyDescent="0.35">
      <c r="A58" s="96" t="s">
        <v>1144</v>
      </c>
      <c r="B58" s="96" t="s">
        <v>1145</v>
      </c>
      <c r="C58" s="95" t="s">
        <v>1146</v>
      </c>
      <c r="D58" s="97">
        <v>10814.2</v>
      </c>
      <c r="E58" s="97">
        <v>8836.2900000000009</v>
      </c>
      <c r="F58" s="97">
        <v>10814</v>
      </c>
      <c r="G58" s="97">
        <v>8836</v>
      </c>
    </row>
    <row r="59" spans="1:7" x14ac:dyDescent="0.35">
      <c r="A59" s="96" t="s">
        <v>1147</v>
      </c>
      <c r="B59" s="96" t="s">
        <v>1148</v>
      </c>
      <c r="C59" s="95" t="s">
        <v>1149</v>
      </c>
      <c r="D59" s="97">
        <v>10697.14</v>
      </c>
      <c r="E59" s="97">
        <v>8041.95</v>
      </c>
      <c r="F59" s="97">
        <v>10697</v>
      </c>
      <c r="G59" s="97">
        <v>8042</v>
      </c>
    </row>
    <row r="60" spans="1:7" x14ac:dyDescent="0.35">
      <c r="A60" s="96">
        <v>2</v>
      </c>
      <c r="B60" s="96" t="s">
        <v>1150</v>
      </c>
      <c r="C60" s="95" t="s">
        <v>1151</v>
      </c>
      <c r="D60" s="97">
        <v>117.06</v>
      </c>
      <c r="E60" s="97">
        <v>794.34</v>
      </c>
      <c r="F60" s="97">
        <v>117</v>
      </c>
      <c r="G60" s="97">
        <v>794</v>
      </c>
    </row>
    <row r="61" spans="1:7" x14ac:dyDescent="0.35">
      <c r="A61" s="96" t="s">
        <v>1152</v>
      </c>
      <c r="B61" s="96" t="s">
        <v>1153</v>
      </c>
      <c r="C61" s="95" t="s">
        <v>1154</v>
      </c>
      <c r="D61" s="97">
        <v>0</v>
      </c>
      <c r="E61" s="97">
        <v>0</v>
      </c>
      <c r="F61" s="97">
        <v>0</v>
      </c>
      <c r="G61" s="97">
        <v>0</v>
      </c>
    </row>
    <row r="62" spans="1:7" x14ac:dyDescent="0.35">
      <c r="A62" s="96" t="s">
        <v>1141</v>
      </c>
      <c r="B62" s="96" t="s">
        <v>1155</v>
      </c>
      <c r="C62" s="95" t="s">
        <v>1156</v>
      </c>
      <c r="D62" s="97">
        <v>37626.07</v>
      </c>
      <c r="E62" s="97">
        <v>28557.38</v>
      </c>
      <c r="F62" s="97">
        <v>37626</v>
      </c>
      <c r="G62" s="97">
        <v>28557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tabColor rgb="FF0070C0"/>
  </sheetPr>
  <dimension ref="A1:G62"/>
  <sheetViews>
    <sheetView workbookViewId="0">
      <selection activeCell="B2" sqref="B2"/>
    </sheetView>
  </sheetViews>
  <sheetFormatPr defaultColWidth="9.1796875" defaultRowHeight="14.5" x14ac:dyDescent="0.35"/>
  <cols>
    <col min="1" max="1" width="8.26953125" style="99" bestFit="1" customWidth="1"/>
    <col min="2" max="2" width="86.1796875" style="99" bestFit="1" customWidth="1"/>
    <col min="3" max="3" width="4.453125" style="98" bestFit="1" customWidth="1"/>
    <col min="4" max="7" width="15.26953125" style="100" bestFit="1" customWidth="1"/>
    <col min="8" max="16384" width="9.1796875" style="94"/>
  </cols>
  <sheetData>
    <row r="1" spans="1:7" ht="30" x14ac:dyDescent="0.35">
      <c r="A1" s="105" t="s">
        <v>226</v>
      </c>
      <c r="B1" s="105" t="s">
        <v>234</v>
      </c>
      <c r="C1" s="104" t="s">
        <v>248</v>
      </c>
      <c r="D1" s="106" t="s">
        <v>249</v>
      </c>
      <c r="E1" s="106" t="s">
        <v>250</v>
      </c>
      <c r="F1" s="106" t="s">
        <v>233</v>
      </c>
      <c r="G1" s="106" t="s">
        <v>231</v>
      </c>
    </row>
    <row r="2" spans="1:7" x14ac:dyDescent="0.35">
      <c r="A2" s="99" t="s">
        <v>992</v>
      </c>
      <c r="B2" s="99" t="s">
        <v>993</v>
      </c>
      <c r="C2" s="98" t="s">
        <v>994</v>
      </c>
      <c r="D2" s="100">
        <v>1837431.56</v>
      </c>
      <c r="E2" s="100">
        <v>1556765.03</v>
      </c>
      <c r="F2" s="100">
        <v>1837432</v>
      </c>
      <c r="G2" s="100">
        <v>1556765</v>
      </c>
    </row>
    <row r="3" spans="1:7" x14ac:dyDescent="0.35">
      <c r="A3" s="99" t="s">
        <v>995</v>
      </c>
      <c r="B3" s="99" t="s">
        <v>996</v>
      </c>
      <c r="C3" s="98" t="s">
        <v>997</v>
      </c>
      <c r="D3" s="97">
        <v>1843997.06</v>
      </c>
      <c r="E3" s="97">
        <v>1565368.5</v>
      </c>
      <c r="F3" s="97">
        <v>1843998</v>
      </c>
      <c r="G3" s="97">
        <v>1565368</v>
      </c>
    </row>
    <row r="4" spans="1:7" x14ac:dyDescent="0.35">
      <c r="A4" s="99" t="s">
        <v>998</v>
      </c>
      <c r="B4" s="99" t="s">
        <v>999</v>
      </c>
      <c r="C4" s="98" t="s">
        <v>1000</v>
      </c>
      <c r="D4" s="100">
        <v>1836506.58</v>
      </c>
      <c r="E4" s="100">
        <v>1550681.35</v>
      </c>
      <c r="F4" s="100">
        <v>1836507</v>
      </c>
      <c r="G4" s="100">
        <v>1550681</v>
      </c>
    </row>
    <row r="5" spans="1:7" x14ac:dyDescent="0.35">
      <c r="A5" s="99" t="s">
        <v>1001</v>
      </c>
      <c r="B5" s="99" t="s">
        <v>1002</v>
      </c>
      <c r="C5" s="98" t="s">
        <v>1003</v>
      </c>
      <c r="D5" s="100">
        <v>0</v>
      </c>
      <c r="E5" s="100">
        <v>0</v>
      </c>
      <c r="F5" s="100">
        <v>0</v>
      </c>
      <c r="G5" s="100">
        <v>0</v>
      </c>
    </row>
    <row r="6" spans="1:7" x14ac:dyDescent="0.35">
      <c r="A6" s="99" t="s">
        <v>1004</v>
      </c>
      <c r="B6" s="99" t="s">
        <v>1005</v>
      </c>
      <c r="C6" s="98" t="s">
        <v>1006</v>
      </c>
      <c r="D6" s="100">
        <v>924.98</v>
      </c>
      <c r="E6" s="100">
        <v>6083.68</v>
      </c>
      <c r="F6" s="100">
        <v>925</v>
      </c>
      <c r="G6" s="100">
        <v>6084</v>
      </c>
    </row>
    <row r="7" spans="1:7" x14ac:dyDescent="0.35">
      <c r="A7" s="99" t="s">
        <v>1007</v>
      </c>
      <c r="B7" s="99" t="s">
        <v>1008</v>
      </c>
      <c r="C7" s="98" t="s">
        <v>1009</v>
      </c>
      <c r="D7" s="100">
        <v>0</v>
      </c>
      <c r="E7" s="100">
        <v>0</v>
      </c>
      <c r="F7" s="100">
        <v>0</v>
      </c>
      <c r="G7" s="100">
        <v>0</v>
      </c>
    </row>
    <row r="8" spans="1:7" x14ac:dyDescent="0.35">
      <c r="A8" s="99" t="s">
        <v>1010</v>
      </c>
      <c r="B8" s="99" t="s">
        <v>1011</v>
      </c>
      <c r="C8" s="98" t="s">
        <v>1012</v>
      </c>
      <c r="D8" s="100">
        <v>0</v>
      </c>
      <c r="E8" s="100">
        <v>0</v>
      </c>
      <c r="F8" s="100">
        <v>0</v>
      </c>
      <c r="G8" s="100">
        <v>0</v>
      </c>
    </row>
    <row r="9" spans="1:7" x14ac:dyDescent="0.35">
      <c r="A9" s="99" t="s">
        <v>1013</v>
      </c>
      <c r="B9" s="99" t="s">
        <v>1014</v>
      </c>
      <c r="C9" s="98" t="s">
        <v>1015</v>
      </c>
      <c r="D9" s="100">
        <v>0</v>
      </c>
      <c r="E9" s="100">
        <v>0</v>
      </c>
      <c r="F9" s="100">
        <v>0</v>
      </c>
      <c r="G9" s="100">
        <v>0</v>
      </c>
    </row>
    <row r="10" spans="1:7" x14ac:dyDescent="0.35">
      <c r="A10" s="99" t="s">
        <v>1016</v>
      </c>
      <c r="B10" s="99" t="s">
        <v>1017</v>
      </c>
      <c r="C10" s="98" t="s">
        <v>1018</v>
      </c>
      <c r="D10" s="100">
        <v>6565.5</v>
      </c>
      <c r="E10" s="100">
        <v>8603.4699999999993</v>
      </c>
      <c r="F10" s="100">
        <v>6566</v>
      </c>
      <c r="G10" s="100">
        <v>8603</v>
      </c>
    </row>
    <row r="11" spans="1:7" x14ac:dyDescent="0.35">
      <c r="A11" s="99" t="s">
        <v>995</v>
      </c>
      <c r="B11" s="99" t="s">
        <v>1019</v>
      </c>
      <c r="C11" s="98" t="s">
        <v>1020</v>
      </c>
      <c r="D11" s="100">
        <v>1810441.57</v>
      </c>
      <c r="E11" s="100">
        <v>1507608.83</v>
      </c>
      <c r="F11" s="100">
        <v>1810443</v>
      </c>
      <c r="G11" s="100">
        <v>1507607</v>
      </c>
    </row>
    <row r="12" spans="1:7" x14ac:dyDescent="0.35">
      <c r="A12" s="99" t="s">
        <v>1021</v>
      </c>
      <c r="B12" s="99" t="s">
        <v>1022</v>
      </c>
      <c r="C12" s="98" t="s">
        <v>1023</v>
      </c>
      <c r="D12" s="100">
        <v>1296471.02</v>
      </c>
      <c r="E12" s="100">
        <v>1070960.94</v>
      </c>
      <c r="F12" s="100">
        <v>1296471</v>
      </c>
      <c r="G12" s="100">
        <v>1070961</v>
      </c>
    </row>
    <row r="13" spans="1:7" x14ac:dyDescent="0.35">
      <c r="A13" s="99" t="s">
        <v>1024</v>
      </c>
      <c r="B13" s="99" t="s">
        <v>1025</v>
      </c>
      <c r="C13" s="98" t="s">
        <v>1026</v>
      </c>
      <c r="D13" s="100">
        <v>9581.56</v>
      </c>
      <c r="E13" s="100">
        <v>12784.06</v>
      </c>
      <c r="F13" s="100">
        <v>9582</v>
      </c>
      <c r="G13" s="100">
        <v>12784</v>
      </c>
    </row>
    <row r="14" spans="1:7" x14ac:dyDescent="0.35">
      <c r="A14" s="99" t="s">
        <v>1027</v>
      </c>
      <c r="B14" s="99" t="s">
        <v>1028</v>
      </c>
      <c r="C14" s="98" t="s">
        <v>1029</v>
      </c>
      <c r="D14" s="100">
        <v>-799.35</v>
      </c>
      <c r="E14" s="100">
        <v>-2363.39</v>
      </c>
      <c r="F14" s="100">
        <v>-799</v>
      </c>
      <c r="G14" s="100">
        <v>-2363</v>
      </c>
    </row>
    <row r="15" spans="1:7" x14ac:dyDescent="0.35">
      <c r="A15" s="99" t="s">
        <v>1030</v>
      </c>
      <c r="B15" s="99" t="s">
        <v>1031</v>
      </c>
      <c r="C15" s="98" t="s">
        <v>1032</v>
      </c>
      <c r="D15" s="100">
        <v>261796.84</v>
      </c>
      <c r="E15" s="100">
        <v>203691.51999999999</v>
      </c>
      <c r="F15" s="100">
        <v>261797</v>
      </c>
      <c r="G15" s="100">
        <v>203690</v>
      </c>
    </row>
    <row r="16" spans="1:7" x14ac:dyDescent="0.35">
      <c r="A16" s="99" t="s">
        <v>1033</v>
      </c>
      <c r="B16" s="99" t="s">
        <v>1034</v>
      </c>
      <c r="C16" s="98" t="s">
        <v>1035</v>
      </c>
      <c r="D16" s="100">
        <v>230694.39999999999</v>
      </c>
      <c r="E16" s="100">
        <v>209926.99</v>
      </c>
      <c r="F16" s="100">
        <v>230695</v>
      </c>
      <c r="G16" s="100">
        <v>209927</v>
      </c>
    </row>
    <row r="17" spans="1:7" x14ac:dyDescent="0.35">
      <c r="A17" s="99" t="s">
        <v>1036</v>
      </c>
      <c r="B17" s="99" t="s">
        <v>1037</v>
      </c>
      <c r="C17" s="98" t="s">
        <v>1038</v>
      </c>
      <c r="D17" s="100">
        <v>160731.51</v>
      </c>
      <c r="E17" s="100">
        <v>146473.51999999999</v>
      </c>
      <c r="F17" s="100">
        <v>160732</v>
      </c>
      <c r="G17" s="100">
        <v>146474</v>
      </c>
    </row>
    <row r="18" spans="1:7" x14ac:dyDescent="0.35">
      <c r="A18" s="99">
        <v>2</v>
      </c>
      <c r="B18" s="99" t="s">
        <v>1039</v>
      </c>
      <c r="C18" s="98" t="s">
        <v>1040</v>
      </c>
      <c r="D18" s="100">
        <v>0</v>
      </c>
      <c r="E18" s="100">
        <v>0</v>
      </c>
      <c r="F18" s="100">
        <v>0</v>
      </c>
      <c r="G18" s="100">
        <v>0</v>
      </c>
    </row>
    <row r="19" spans="1:7" x14ac:dyDescent="0.35">
      <c r="A19" s="99">
        <v>3</v>
      </c>
      <c r="B19" s="99" t="s">
        <v>1041</v>
      </c>
      <c r="C19" s="98" t="s">
        <v>1042</v>
      </c>
      <c r="D19" s="100">
        <v>57410.15</v>
      </c>
      <c r="E19" s="100">
        <v>52618.1</v>
      </c>
      <c r="F19" s="100">
        <v>57410</v>
      </c>
      <c r="G19" s="100">
        <v>52618</v>
      </c>
    </row>
    <row r="20" spans="1:7" x14ac:dyDescent="0.35">
      <c r="A20" s="99">
        <v>4</v>
      </c>
      <c r="B20" s="99" t="s">
        <v>1043</v>
      </c>
      <c r="C20" s="98" t="s">
        <v>1044</v>
      </c>
      <c r="D20" s="100">
        <v>12552.74</v>
      </c>
      <c r="E20" s="100">
        <v>10835.37</v>
      </c>
      <c r="F20" s="100">
        <v>12553</v>
      </c>
      <c r="G20" s="100">
        <v>10835</v>
      </c>
    </row>
    <row r="21" spans="1:7" x14ac:dyDescent="0.35">
      <c r="A21" s="99" t="s">
        <v>1045</v>
      </c>
      <c r="B21" s="99" t="s">
        <v>1046</v>
      </c>
      <c r="C21" s="98" t="s">
        <v>1047</v>
      </c>
      <c r="D21" s="100">
        <v>79.37</v>
      </c>
      <c r="E21" s="100">
        <v>96.31</v>
      </c>
      <c r="F21" s="100">
        <v>79</v>
      </c>
      <c r="G21" s="100">
        <v>96</v>
      </c>
    </row>
    <row r="22" spans="1:7" x14ac:dyDescent="0.35">
      <c r="A22" s="99" t="s">
        <v>1048</v>
      </c>
      <c r="B22" s="99" t="s">
        <v>1049</v>
      </c>
      <c r="C22" s="98" t="s">
        <v>1050</v>
      </c>
      <c r="D22" s="100">
        <v>7056.93</v>
      </c>
      <c r="E22" s="100">
        <v>8193.16</v>
      </c>
      <c r="F22" s="100">
        <v>7057</v>
      </c>
      <c r="G22" s="100">
        <v>8193</v>
      </c>
    </row>
    <row r="23" spans="1:7" x14ac:dyDescent="0.35">
      <c r="A23" s="99" t="s">
        <v>1051</v>
      </c>
      <c r="B23" s="99" t="s">
        <v>1052</v>
      </c>
      <c r="C23" s="98" t="s">
        <v>1053</v>
      </c>
      <c r="D23" s="100">
        <v>7056.93</v>
      </c>
      <c r="E23" s="100">
        <v>8193.16</v>
      </c>
      <c r="F23" s="100">
        <v>7057</v>
      </c>
      <c r="G23" s="100">
        <v>8193</v>
      </c>
    </row>
    <row r="24" spans="1:7" x14ac:dyDescent="0.35">
      <c r="A24" s="99">
        <v>2</v>
      </c>
      <c r="B24" s="99" t="s">
        <v>1054</v>
      </c>
      <c r="C24" s="98" t="s">
        <v>1055</v>
      </c>
      <c r="D24" s="100">
        <v>0</v>
      </c>
      <c r="E24" s="100">
        <v>0</v>
      </c>
      <c r="F24" s="100">
        <v>0</v>
      </c>
      <c r="G24" s="100">
        <v>0</v>
      </c>
    </row>
    <row r="25" spans="1:7" x14ac:dyDescent="0.35">
      <c r="A25" s="99" t="s">
        <v>1056</v>
      </c>
      <c r="B25" s="99" t="s">
        <v>1057</v>
      </c>
      <c r="C25" s="98" t="s">
        <v>1058</v>
      </c>
      <c r="D25" s="100">
        <v>0</v>
      </c>
      <c r="E25" s="100">
        <v>0</v>
      </c>
      <c r="F25" s="100">
        <v>0</v>
      </c>
      <c r="G25" s="100">
        <v>0</v>
      </c>
    </row>
    <row r="26" spans="1:7" x14ac:dyDescent="0.35">
      <c r="A26" s="99" t="s">
        <v>998</v>
      </c>
      <c r="B26" s="99" t="s">
        <v>1059</v>
      </c>
      <c r="C26" s="98" t="s">
        <v>1060</v>
      </c>
      <c r="D26" s="100">
        <v>0</v>
      </c>
      <c r="E26" s="100">
        <v>0</v>
      </c>
      <c r="F26" s="100">
        <v>0</v>
      </c>
      <c r="G26" s="100">
        <v>0</v>
      </c>
    </row>
    <row r="27" spans="1:7" x14ac:dyDescent="0.35">
      <c r="A27" s="99" t="s">
        <v>1061</v>
      </c>
      <c r="B27" s="99" t="s">
        <v>1062</v>
      </c>
      <c r="C27" s="98" t="s">
        <v>1063</v>
      </c>
      <c r="D27" s="100">
        <v>5560.8</v>
      </c>
      <c r="E27" s="100">
        <v>4319.24</v>
      </c>
      <c r="F27" s="100">
        <v>5561</v>
      </c>
      <c r="G27" s="100">
        <v>4319</v>
      </c>
    </row>
    <row r="28" spans="1:7" x14ac:dyDescent="0.35">
      <c r="A28" s="99" t="s">
        <v>1064</v>
      </c>
      <c r="B28" s="99" t="s">
        <v>1065</v>
      </c>
      <c r="C28" s="98" t="s">
        <v>1066</v>
      </c>
      <c r="D28" s="100">
        <v>33555.49</v>
      </c>
      <c r="E28" s="100">
        <v>57759.67</v>
      </c>
      <c r="F28" s="100">
        <v>33555</v>
      </c>
      <c r="G28" s="100">
        <v>57761</v>
      </c>
    </row>
    <row r="29" spans="1:7" x14ac:dyDescent="0.35">
      <c r="A29" s="99" t="s">
        <v>992</v>
      </c>
      <c r="B29" s="99" t="s">
        <v>1067</v>
      </c>
      <c r="C29" s="98" t="s">
        <v>1068</v>
      </c>
      <c r="D29" s="100">
        <v>270381.49</v>
      </c>
      <c r="E29" s="100">
        <v>271691.90000000002</v>
      </c>
      <c r="F29" s="100">
        <v>270381</v>
      </c>
      <c r="G29" s="100">
        <v>271693</v>
      </c>
    </row>
    <row r="30" spans="1:7" x14ac:dyDescent="0.35">
      <c r="A30" s="99" t="s">
        <v>995</v>
      </c>
      <c r="B30" s="99" t="s">
        <v>1069</v>
      </c>
      <c r="C30" s="98" t="s">
        <v>1070</v>
      </c>
      <c r="D30" s="100">
        <v>7560.88</v>
      </c>
      <c r="E30" s="100">
        <v>6514.39</v>
      </c>
      <c r="F30" s="100">
        <v>7561</v>
      </c>
      <c r="G30" s="100">
        <v>6514</v>
      </c>
    </row>
    <row r="31" spans="1:7" x14ac:dyDescent="0.35">
      <c r="A31" s="99" t="s">
        <v>1071</v>
      </c>
      <c r="B31" s="99" t="s">
        <v>1072</v>
      </c>
      <c r="C31" s="98" t="s">
        <v>1073</v>
      </c>
      <c r="D31" s="100">
        <v>0</v>
      </c>
      <c r="E31" s="100">
        <v>0</v>
      </c>
      <c r="F31" s="100">
        <v>0</v>
      </c>
      <c r="G31" s="100">
        <v>0</v>
      </c>
    </row>
    <row r="32" spans="1:7" x14ac:dyDescent="0.35">
      <c r="A32" s="99" t="s">
        <v>1074</v>
      </c>
      <c r="B32" s="99" t="s">
        <v>1075</v>
      </c>
      <c r="C32" s="98" t="s">
        <v>1076</v>
      </c>
      <c r="D32" s="100">
        <v>0</v>
      </c>
      <c r="E32" s="100">
        <v>0</v>
      </c>
      <c r="F32" s="100">
        <v>0</v>
      </c>
      <c r="G32" s="100">
        <v>0</v>
      </c>
    </row>
    <row r="33" spans="1:7" x14ac:dyDescent="0.35">
      <c r="A33" s="99" t="s">
        <v>1077</v>
      </c>
      <c r="B33" s="99" t="s">
        <v>1078</v>
      </c>
      <c r="C33" s="98" t="s">
        <v>1079</v>
      </c>
      <c r="D33" s="100">
        <v>0</v>
      </c>
      <c r="E33" s="100">
        <v>0</v>
      </c>
      <c r="F33" s="100">
        <v>0</v>
      </c>
      <c r="G33" s="100">
        <v>0</v>
      </c>
    </row>
    <row r="34" spans="1:7" x14ac:dyDescent="0.35">
      <c r="A34" s="99">
        <v>2</v>
      </c>
      <c r="B34" s="99" t="s">
        <v>1080</v>
      </c>
      <c r="C34" s="98" t="s">
        <v>1081</v>
      </c>
      <c r="D34" s="100">
        <v>0</v>
      </c>
      <c r="E34" s="100">
        <v>0</v>
      </c>
      <c r="F34" s="100">
        <v>0</v>
      </c>
      <c r="G34" s="100">
        <v>0</v>
      </c>
    </row>
    <row r="35" spans="1:7" x14ac:dyDescent="0.35">
      <c r="A35" s="99">
        <v>3</v>
      </c>
      <c r="B35" s="99" t="s">
        <v>1082</v>
      </c>
      <c r="C35" s="98" t="s">
        <v>1083</v>
      </c>
      <c r="D35" s="100">
        <v>0</v>
      </c>
      <c r="E35" s="100">
        <v>0</v>
      </c>
      <c r="F35" s="100">
        <v>0</v>
      </c>
      <c r="G35" s="100">
        <v>0</v>
      </c>
    </row>
    <row r="36" spans="1:7" x14ac:dyDescent="0.35">
      <c r="A36" s="99" t="s">
        <v>1084</v>
      </c>
      <c r="B36" s="99" t="s">
        <v>1085</v>
      </c>
      <c r="C36" s="98" t="s">
        <v>1086</v>
      </c>
      <c r="D36" s="100">
        <v>0</v>
      </c>
      <c r="E36" s="100">
        <v>0</v>
      </c>
      <c r="F36" s="100">
        <v>0</v>
      </c>
      <c r="G36" s="100">
        <v>0</v>
      </c>
    </row>
    <row r="37" spans="1:7" x14ac:dyDescent="0.35">
      <c r="A37" s="99" t="s">
        <v>1087</v>
      </c>
      <c r="B37" s="99" t="s">
        <v>1088</v>
      </c>
      <c r="C37" s="98" t="s">
        <v>1089</v>
      </c>
      <c r="D37" s="100">
        <v>0</v>
      </c>
      <c r="E37" s="100">
        <v>0</v>
      </c>
      <c r="F37" s="100">
        <v>0</v>
      </c>
      <c r="G37" s="100">
        <v>0</v>
      </c>
    </row>
    <row r="38" spans="1:7" x14ac:dyDescent="0.35">
      <c r="A38" s="99">
        <v>2</v>
      </c>
      <c r="B38" s="99" t="s">
        <v>1090</v>
      </c>
      <c r="C38" s="98" t="s">
        <v>1091</v>
      </c>
      <c r="D38" s="100">
        <v>0</v>
      </c>
      <c r="E38" s="100">
        <v>0</v>
      </c>
      <c r="F38" s="100">
        <v>0</v>
      </c>
      <c r="G38" s="100">
        <v>0</v>
      </c>
    </row>
    <row r="39" spans="1:7" x14ac:dyDescent="0.35">
      <c r="A39" s="99">
        <v>3</v>
      </c>
      <c r="B39" s="99" t="s">
        <v>1092</v>
      </c>
      <c r="C39" s="98" t="s">
        <v>1093</v>
      </c>
      <c r="D39" s="100">
        <v>0</v>
      </c>
      <c r="E39" s="100">
        <v>0</v>
      </c>
      <c r="F39" s="100">
        <v>0</v>
      </c>
      <c r="G39" s="100">
        <v>0</v>
      </c>
    </row>
    <row r="40" spans="1:7" x14ac:dyDescent="0.35">
      <c r="A40" s="99" t="s">
        <v>1094</v>
      </c>
      <c r="B40" s="99" t="s">
        <v>1095</v>
      </c>
      <c r="C40" s="98" t="s">
        <v>1096</v>
      </c>
      <c r="D40" s="100">
        <v>7560.88</v>
      </c>
      <c r="E40" s="100">
        <v>6514.39</v>
      </c>
      <c r="F40" s="100">
        <v>7561</v>
      </c>
      <c r="G40" s="100">
        <v>6514</v>
      </c>
    </row>
    <row r="41" spans="1:7" x14ac:dyDescent="0.35">
      <c r="A41" s="99" t="s">
        <v>1097</v>
      </c>
      <c r="B41" s="99" t="s">
        <v>1098</v>
      </c>
      <c r="C41" s="98" t="s">
        <v>1099</v>
      </c>
      <c r="D41" s="100">
        <v>7560.88</v>
      </c>
      <c r="E41" s="100">
        <v>6514.39</v>
      </c>
      <c r="F41" s="100">
        <v>7561</v>
      </c>
      <c r="G41" s="100">
        <v>6514</v>
      </c>
    </row>
    <row r="42" spans="1:7" x14ac:dyDescent="0.35">
      <c r="A42" s="99">
        <v>2</v>
      </c>
      <c r="B42" s="99" t="s">
        <v>1100</v>
      </c>
      <c r="C42" s="98" t="s">
        <v>1101</v>
      </c>
      <c r="D42" s="100">
        <v>0</v>
      </c>
      <c r="E42" s="100">
        <v>0</v>
      </c>
      <c r="F42" s="100">
        <v>0</v>
      </c>
      <c r="G42" s="100">
        <v>0</v>
      </c>
    </row>
    <row r="43" spans="1:7" x14ac:dyDescent="0.35">
      <c r="A43" s="99" t="s">
        <v>1102</v>
      </c>
      <c r="B43" s="99" t="s">
        <v>1103</v>
      </c>
      <c r="C43" s="98" t="s">
        <v>1104</v>
      </c>
      <c r="D43" s="100">
        <v>0</v>
      </c>
      <c r="E43" s="100">
        <v>0</v>
      </c>
      <c r="F43" s="100">
        <v>0</v>
      </c>
      <c r="G43" s="100">
        <v>0</v>
      </c>
    </row>
    <row r="44" spans="1:7" x14ac:dyDescent="0.35">
      <c r="A44" s="99" t="s">
        <v>1105</v>
      </c>
      <c r="B44" s="99" t="s">
        <v>1106</v>
      </c>
      <c r="C44" s="98" t="s">
        <v>1107</v>
      </c>
      <c r="D44" s="100">
        <v>0</v>
      </c>
      <c r="E44" s="100">
        <v>0</v>
      </c>
      <c r="F44" s="100">
        <v>0</v>
      </c>
      <c r="G44" s="100">
        <v>0</v>
      </c>
    </row>
    <row r="45" spans="1:7" x14ac:dyDescent="0.35">
      <c r="A45" s="99" t="s">
        <v>1108</v>
      </c>
      <c r="B45" s="99" t="s">
        <v>1109</v>
      </c>
      <c r="C45" s="98" t="s">
        <v>1110</v>
      </c>
      <c r="D45" s="100">
        <v>0</v>
      </c>
      <c r="E45" s="100">
        <v>0</v>
      </c>
      <c r="F45" s="100">
        <v>0</v>
      </c>
      <c r="G45" s="100">
        <v>0</v>
      </c>
    </row>
    <row r="46" spans="1:7" x14ac:dyDescent="0.35">
      <c r="A46" s="99" t="s">
        <v>995</v>
      </c>
      <c r="B46" s="99" t="s">
        <v>1111</v>
      </c>
      <c r="C46" s="98" t="s">
        <v>1112</v>
      </c>
      <c r="D46" s="100">
        <v>3722.7</v>
      </c>
      <c r="E46" s="100">
        <v>3852.02</v>
      </c>
      <c r="F46" s="100">
        <v>3723</v>
      </c>
      <c r="G46" s="100">
        <v>3852</v>
      </c>
    </row>
    <row r="47" spans="1:7" x14ac:dyDescent="0.35">
      <c r="A47" s="99" t="s">
        <v>1113</v>
      </c>
      <c r="B47" s="99" t="s">
        <v>1114</v>
      </c>
      <c r="C47" s="98" t="s">
        <v>1115</v>
      </c>
      <c r="D47" s="100">
        <v>0</v>
      </c>
      <c r="E47" s="100">
        <v>0</v>
      </c>
      <c r="F47" s="100">
        <v>0</v>
      </c>
      <c r="G47" s="100">
        <v>0</v>
      </c>
    </row>
    <row r="48" spans="1:7" x14ac:dyDescent="0.35">
      <c r="A48" s="99" t="s">
        <v>1116</v>
      </c>
      <c r="B48" s="99" t="s">
        <v>1117</v>
      </c>
      <c r="C48" s="98" t="s">
        <v>1118</v>
      </c>
      <c r="D48" s="100">
        <v>0</v>
      </c>
      <c r="E48" s="100">
        <v>0</v>
      </c>
      <c r="F48" s="100">
        <v>0</v>
      </c>
      <c r="G48" s="100">
        <v>0</v>
      </c>
    </row>
    <row r="49" spans="1:7" x14ac:dyDescent="0.35">
      <c r="A49" s="99" t="s">
        <v>1119</v>
      </c>
      <c r="B49" s="99" t="s">
        <v>1120</v>
      </c>
      <c r="C49" s="98" t="s">
        <v>1121</v>
      </c>
      <c r="D49" s="100">
        <v>0</v>
      </c>
      <c r="E49" s="100">
        <v>0</v>
      </c>
      <c r="F49" s="100">
        <v>0</v>
      </c>
      <c r="G49" s="100">
        <v>0</v>
      </c>
    </row>
    <row r="50" spans="1:7" x14ac:dyDescent="0.35">
      <c r="A50" s="99" t="s">
        <v>1122</v>
      </c>
      <c r="B50" s="99" t="s">
        <v>1123</v>
      </c>
      <c r="C50" s="98" t="s">
        <v>1124</v>
      </c>
      <c r="D50" s="100">
        <v>0</v>
      </c>
      <c r="E50" s="100">
        <v>0</v>
      </c>
      <c r="F50" s="100">
        <v>0</v>
      </c>
      <c r="G50" s="100">
        <v>0</v>
      </c>
    </row>
    <row r="51" spans="1:7" x14ac:dyDescent="0.35">
      <c r="A51" s="99" t="s">
        <v>1125</v>
      </c>
      <c r="B51" s="99" t="s">
        <v>1126</v>
      </c>
      <c r="C51" s="98" t="s">
        <v>1127</v>
      </c>
      <c r="D51" s="100">
        <v>0</v>
      </c>
      <c r="E51" s="100">
        <v>0</v>
      </c>
      <c r="F51" s="100">
        <v>0</v>
      </c>
      <c r="G51" s="100">
        <v>0</v>
      </c>
    </row>
    <row r="52" spans="1:7" x14ac:dyDescent="0.35">
      <c r="A52" s="99">
        <v>2</v>
      </c>
      <c r="B52" s="99" t="s">
        <v>1128</v>
      </c>
      <c r="C52" s="98" t="s">
        <v>1129</v>
      </c>
      <c r="D52" s="100">
        <v>0</v>
      </c>
      <c r="E52" s="100">
        <v>0</v>
      </c>
      <c r="F52" s="100">
        <v>0</v>
      </c>
      <c r="G52" s="100">
        <v>0</v>
      </c>
    </row>
    <row r="53" spans="1:7" x14ac:dyDescent="0.35">
      <c r="A53" s="99" t="s">
        <v>1130</v>
      </c>
      <c r="B53" s="99" t="s">
        <v>1131</v>
      </c>
      <c r="C53" s="98" t="s">
        <v>1132</v>
      </c>
      <c r="D53" s="100">
        <v>0</v>
      </c>
      <c r="E53" s="100">
        <v>0</v>
      </c>
      <c r="F53" s="100">
        <v>0</v>
      </c>
      <c r="G53" s="100">
        <v>0</v>
      </c>
    </row>
    <row r="54" spans="1:7" x14ac:dyDescent="0.35">
      <c r="A54" s="99" t="s">
        <v>1133</v>
      </c>
      <c r="B54" s="99" t="s">
        <v>1134</v>
      </c>
      <c r="C54" s="98" t="s">
        <v>1135</v>
      </c>
      <c r="D54" s="100">
        <v>0</v>
      </c>
      <c r="E54" s="100">
        <v>0</v>
      </c>
      <c r="F54" s="100">
        <v>0</v>
      </c>
      <c r="G54" s="100">
        <v>0</v>
      </c>
    </row>
    <row r="55" spans="1:7" x14ac:dyDescent="0.35">
      <c r="A55" s="99" t="s">
        <v>1136</v>
      </c>
      <c r="B55" s="99" t="s">
        <v>1137</v>
      </c>
      <c r="C55" s="98" t="s">
        <v>1138</v>
      </c>
      <c r="D55" s="100">
        <v>3722.7</v>
      </c>
      <c r="E55" s="100">
        <v>3852.02</v>
      </c>
      <c r="F55" s="100">
        <v>3723</v>
      </c>
      <c r="G55" s="100">
        <v>3852</v>
      </c>
    </row>
    <row r="56" spans="1:7" x14ac:dyDescent="0.35">
      <c r="A56" s="99" t="s">
        <v>1064</v>
      </c>
      <c r="B56" s="99" t="s">
        <v>1139</v>
      </c>
      <c r="C56" s="98" t="s">
        <v>1140</v>
      </c>
      <c r="D56" s="100">
        <v>3838.18</v>
      </c>
      <c r="E56" s="100">
        <v>2662.37</v>
      </c>
      <c r="F56" s="100">
        <v>3838</v>
      </c>
      <c r="G56" s="100">
        <v>2662</v>
      </c>
    </row>
    <row r="57" spans="1:7" x14ac:dyDescent="0.35">
      <c r="A57" s="99" t="s">
        <v>1141</v>
      </c>
      <c r="B57" s="99" t="s">
        <v>1142</v>
      </c>
      <c r="C57" s="98" t="s">
        <v>1143</v>
      </c>
      <c r="D57" s="100">
        <v>37393.67</v>
      </c>
      <c r="E57" s="100">
        <v>60422.04</v>
      </c>
      <c r="F57" s="100">
        <v>37393</v>
      </c>
      <c r="G57" s="100">
        <v>60423</v>
      </c>
    </row>
    <row r="58" spans="1:7" x14ac:dyDescent="0.35">
      <c r="A58" s="99" t="s">
        <v>1144</v>
      </c>
      <c r="B58" s="99" t="s">
        <v>1145</v>
      </c>
      <c r="C58" s="98" t="s">
        <v>1146</v>
      </c>
      <c r="D58" s="100">
        <v>8836.2900000000009</v>
      </c>
      <c r="E58" s="100">
        <v>13879.48</v>
      </c>
      <c r="F58" s="100">
        <v>8836</v>
      </c>
      <c r="G58" s="100">
        <v>13880</v>
      </c>
    </row>
    <row r="59" spans="1:7" x14ac:dyDescent="0.35">
      <c r="A59" s="99" t="s">
        <v>1147</v>
      </c>
      <c r="B59" s="99" t="s">
        <v>1148</v>
      </c>
      <c r="C59" s="98" t="s">
        <v>1149</v>
      </c>
      <c r="D59" s="100">
        <v>8041.95</v>
      </c>
      <c r="E59" s="100">
        <v>14522.65</v>
      </c>
      <c r="F59" s="100">
        <v>8042</v>
      </c>
      <c r="G59" s="100">
        <v>14523</v>
      </c>
    </row>
    <row r="60" spans="1:7" x14ac:dyDescent="0.35">
      <c r="A60" s="99">
        <v>2</v>
      </c>
      <c r="B60" s="99" t="s">
        <v>1150</v>
      </c>
      <c r="C60" s="98" t="s">
        <v>1151</v>
      </c>
      <c r="D60" s="100">
        <v>794.34</v>
      </c>
      <c r="E60" s="100">
        <v>-643.16999999999996</v>
      </c>
      <c r="F60" s="100">
        <v>794</v>
      </c>
      <c r="G60" s="100">
        <v>-643</v>
      </c>
    </row>
    <row r="61" spans="1:7" x14ac:dyDescent="0.35">
      <c r="A61" s="99" t="s">
        <v>1152</v>
      </c>
      <c r="B61" s="99" t="s">
        <v>1153</v>
      </c>
      <c r="C61" s="98" t="s">
        <v>1154</v>
      </c>
      <c r="D61" s="100">
        <v>0</v>
      </c>
      <c r="E61" s="100">
        <v>0</v>
      </c>
      <c r="F61" s="100">
        <v>0</v>
      </c>
      <c r="G61" s="100">
        <v>0</v>
      </c>
    </row>
    <row r="62" spans="1:7" x14ac:dyDescent="0.35">
      <c r="A62" s="99" t="s">
        <v>1141</v>
      </c>
      <c r="B62" s="99" t="s">
        <v>1155</v>
      </c>
      <c r="C62" s="98" t="s">
        <v>1156</v>
      </c>
      <c r="D62" s="100">
        <v>28557.38</v>
      </c>
      <c r="E62" s="100">
        <v>46542.559999999998</v>
      </c>
      <c r="F62" s="100">
        <v>28557</v>
      </c>
      <c r="G62" s="100">
        <v>46543</v>
      </c>
    </row>
  </sheetData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tabColor rgb="FF0070C0"/>
  </sheetPr>
  <dimension ref="A1:K79"/>
  <sheetViews>
    <sheetView workbookViewId="0">
      <selection activeCell="D2" sqref="D2"/>
    </sheetView>
  </sheetViews>
  <sheetFormatPr defaultColWidth="9.1796875" defaultRowHeight="14.5" x14ac:dyDescent="0.35"/>
  <cols>
    <col min="1" max="1" width="8.26953125" style="101" bestFit="1" customWidth="1"/>
    <col min="2" max="2" width="63.54296875" style="101" bestFit="1" customWidth="1"/>
    <col min="3" max="3" width="4.453125" style="102" bestFit="1" customWidth="1"/>
    <col min="4" max="11" width="15.26953125" style="103" bestFit="1" customWidth="1"/>
    <col min="12" max="16384" width="9.1796875" style="94"/>
  </cols>
  <sheetData>
    <row r="1" spans="1:11" ht="20" x14ac:dyDescent="0.35">
      <c r="A1" s="105" t="s">
        <v>226</v>
      </c>
      <c r="B1" s="105" t="s">
        <v>227</v>
      </c>
      <c r="C1" s="104" t="s">
        <v>248</v>
      </c>
      <c r="D1" s="106" t="s">
        <v>251</v>
      </c>
      <c r="E1" s="106" t="s">
        <v>252</v>
      </c>
      <c r="F1" s="106" t="s">
        <v>253</v>
      </c>
      <c r="G1" s="106" t="s">
        <v>254</v>
      </c>
      <c r="H1" s="106" t="s">
        <v>228</v>
      </c>
      <c r="I1" s="106" t="s">
        <v>229</v>
      </c>
      <c r="J1" s="106" t="s">
        <v>230</v>
      </c>
      <c r="K1" s="106" t="s">
        <v>231</v>
      </c>
    </row>
    <row r="2" spans="1:11" x14ac:dyDescent="0.35">
      <c r="A2" s="96"/>
      <c r="B2" s="96" t="s">
        <v>1157</v>
      </c>
      <c r="C2" s="95" t="s">
        <v>1158</v>
      </c>
      <c r="D2" s="97">
        <v>832404.88</v>
      </c>
      <c r="E2" s="97">
        <v>116432.71</v>
      </c>
      <c r="F2" s="97">
        <v>715972.17</v>
      </c>
      <c r="G2" s="97">
        <v>625989.05000000005</v>
      </c>
      <c r="H2" s="97">
        <v>832403</v>
      </c>
      <c r="I2" s="97">
        <v>116432</v>
      </c>
      <c r="J2" s="97">
        <v>715971</v>
      </c>
      <c r="K2" s="97">
        <v>625989</v>
      </c>
    </row>
    <row r="3" spans="1:11" x14ac:dyDescent="0.35">
      <c r="A3" s="96" t="s">
        <v>1021</v>
      </c>
      <c r="B3" s="96" t="s">
        <v>1159</v>
      </c>
      <c r="C3" s="95" t="s">
        <v>1160</v>
      </c>
      <c r="D3" s="97">
        <v>134749.54</v>
      </c>
      <c r="E3" s="97">
        <v>105570.65</v>
      </c>
      <c r="F3" s="97">
        <v>29178.89</v>
      </c>
      <c r="G3" s="97">
        <v>23855.87</v>
      </c>
      <c r="H3" s="97">
        <v>134750</v>
      </c>
      <c r="I3" s="97">
        <v>105570</v>
      </c>
      <c r="J3" s="97">
        <v>29180</v>
      </c>
      <c r="K3" s="97">
        <v>23857</v>
      </c>
    </row>
    <row r="4" spans="1:11" x14ac:dyDescent="0.35">
      <c r="A4" s="96" t="s">
        <v>1161</v>
      </c>
      <c r="B4" s="96" t="s">
        <v>1162</v>
      </c>
      <c r="C4" s="95" t="s">
        <v>1163</v>
      </c>
      <c r="D4" s="97">
        <v>4621.04</v>
      </c>
      <c r="E4" s="97">
        <v>4621.04</v>
      </c>
      <c r="F4" s="97">
        <v>0</v>
      </c>
      <c r="G4" s="97">
        <v>163.22</v>
      </c>
      <c r="H4" s="97">
        <v>4621</v>
      </c>
      <c r="I4" s="97">
        <v>4621</v>
      </c>
      <c r="J4" s="97">
        <v>0</v>
      </c>
      <c r="K4" s="97">
        <v>164</v>
      </c>
    </row>
    <row r="5" spans="1:11" x14ac:dyDescent="0.35">
      <c r="A5" s="96" t="s">
        <v>1164</v>
      </c>
      <c r="B5" s="96" t="s">
        <v>1165</v>
      </c>
      <c r="C5" s="95" t="s">
        <v>1166</v>
      </c>
      <c r="D5" s="97">
        <v>0</v>
      </c>
      <c r="E5" s="97">
        <v>0</v>
      </c>
      <c r="F5" s="97">
        <v>0</v>
      </c>
      <c r="G5" s="97">
        <v>0</v>
      </c>
      <c r="H5" s="97">
        <v>0</v>
      </c>
      <c r="I5" s="97">
        <v>0</v>
      </c>
      <c r="J5" s="97">
        <v>0</v>
      </c>
      <c r="K5" s="97">
        <v>0</v>
      </c>
    </row>
    <row r="6" spans="1:11" x14ac:dyDescent="0.35">
      <c r="A6" s="96">
        <v>2</v>
      </c>
      <c r="B6" s="96" t="s">
        <v>1167</v>
      </c>
      <c r="C6" s="95" t="s">
        <v>1168</v>
      </c>
      <c r="D6" s="97">
        <v>2485.4899999999998</v>
      </c>
      <c r="E6" s="97">
        <v>2485.4899999999998</v>
      </c>
      <c r="F6" s="97">
        <v>0</v>
      </c>
      <c r="G6" s="97">
        <v>0</v>
      </c>
      <c r="H6" s="97">
        <v>2485</v>
      </c>
      <c r="I6" s="97">
        <v>2485</v>
      </c>
      <c r="J6" s="97">
        <v>0</v>
      </c>
      <c r="K6" s="97">
        <v>0</v>
      </c>
    </row>
    <row r="7" spans="1:11" x14ac:dyDescent="0.35">
      <c r="A7" s="96">
        <v>3</v>
      </c>
      <c r="B7" s="96" t="s">
        <v>1169</v>
      </c>
      <c r="C7" s="95" t="s">
        <v>1170</v>
      </c>
      <c r="D7" s="97">
        <v>0</v>
      </c>
      <c r="E7" s="97">
        <v>0</v>
      </c>
      <c r="F7" s="97">
        <v>0</v>
      </c>
      <c r="G7" s="97">
        <v>0</v>
      </c>
      <c r="H7" s="97">
        <v>0</v>
      </c>
      <c r="I7" s="97">
        <v>0</v>
      </c>
      <c r="J7" s="97">
        <v>0</v>
      </c>
      <c r="K7" s="97">
        <v>0</v>
      </c>
    </row>
    <row r="8" spans="1:11" x14ac:dyDescent="0.35">
      <c r="A8" s="96">
        <v>4</v>
      </c>
      <c r="B8" s="96" t="s">
        <v>1171</v>
      </c>
      <c r="C8" s="95" t="s">
        <v>1172</v>
      </c>
      <c r="D8" s="97">
        <v>0</v>
      </c>
      <c r="E8" s="97">
        <v>0</v>
      </c>
      <c r="F8" s="97">
        <v>0</v>
      </c>
      <c r="G8" s="97">
        <v>0</v>
      </c>
      <c r="H8" s="97">
        <v>0</v>
      </c>
      <c r="I8" s="97">
        <v>0</v>
      </c>
      <c r="J8" s="97">
        <v>0</v>
      </c>
      <c r="K8" s="97">
        <v>0</v>
      </c>
    </row>
    <row r="9" spans="1:11" x14ac:dyDescent="0.35">
      <c r="A9" s="96">
        <v>5</v>
      </c>
      <c r="B9" s="96" t="s">
        <v>1173</v>
      </c>
      <c r="C9" s="95" t="s">
        <v>1174</v>
      </c>
      <c r="D9" s="97">
        <v>2135.5500000000002</v>
      </c>
      <c r="E9" s="97">
        <v>2135.5500000000002</v>
      </c>
      <c r="F9" s="97">
        <v>0</v>
      </c>
      <c r="G9" s="97">
        <v>163.22</v>
      </c>
      <c r="H9" s="97">
        <v>2136</v>
      </c>
      <c r="I9" s="97">
        <v>2136</v>
      </c>
      <c r="J9" s="97">
        <v>0</v>
      </c>
      <c r="K9" s="97">
        <v>164</v>
      </c>
    </row>
    <row r="10" spans="1:11" x14ac:dyDescent="0.35">
      <c r="A10" s="96">
        <v>6</v>
      </c>
      <c r="B10" s="96" t="s">
        <v>1175</v>
      </c>
      <c r="C10" s="95" t="s">
        <v>1176</v>
      </c>
      <c r="D10" s="97">
        <v>0</v>
      </c>
      <c r="E10" s="97">
        <v>0</v>
      </c>
      <c r="F10" s="97">
        <v>0</v>
      </c>
      <c r="G10" s="97">
        <v>0</v>
      </c>
      <c r="H10" s="97">
        <v>0</v>
      </c>
      <c r="I10" s="97">
        <v>0</v>
      </c>
      <c r="J10" s="97">
        <v>0</v>
      </c>
      <c r="K10" s="97">
        <v>0</v>
      </c>
    </row>
    <row r="11" spans="1:11" x14ac:dyDescent="0.35">
      <c r="A11" s="96">
        <v>7</v>
      </c>
      <c r="B11" s="96" t="s">
        <v>1177</v>
      </c>
      <c r="C11" s="95" t="s">
        <v>1178</v>
      </c>
      <c r="D11" s="97">
        <v>0</v>
      </c>
      <c r="E11" s="97">
        <v>0</v>
      </c>
      <c r="F11" s="97">
        <v>0</v>
      </c>
      <c r="G11" s="97">
        <v>0</v>
      </c>
      <c r="H11" s="97">
        <v>0</v>
      </c>
      <c r="I11" s="97">
        <v>0</v>
      </c>
      <c r="J11" s="97">
        <v>0</v>
      </c>
      <c r="K11" s="97">
        <v>0</v>
      </c>
    </row>
    <row r="12" spans="1:11" x14ac:dyDescent="0.35">
      <c r="A12" s="96" t="s">
        <v>1179</v>
      </c>
      <c r="B12" s="96" t="s">
        <v>1180</v>
      </c>
      <c r="C12" s="95" t="s">
        <v>1181</v>
      </c>
      <c r="D12" s="97">
        <v>130128.5</v>
      </c>
      <c r="E12" s="97">
        <v>100949.61</v>
      </c>
      <c r="F12" s="97">
        <v>29178.89</v>
      </c>
      <c r="G12" s="97">
        <v>23692.65</v>
      </c>
      <c r="H12" s="97">
        <v>130129</v>
      </c>
      <c r="I12" s="97">
        <v>100949</v>
      </c>
      <c r="J12" s="97">
        <v>29180</v>
      </c>
      <c r="K12" s="97">
        <v>23693</v>
      </c>
    </row>
    <row r="13" spans="1:11" x14ac:dyDescent="0.35">
      <c r="A13" s="96" t="s">
        <v>1182</v>
      </c>
      <c r="B13" s="96" t="s">
        <v>1183</v>
      </c>
      <c r="C13" s="95" t="s">
        <v>1184</v>
      </c>
      <c r="D13" s="97">
        <v>0</v>
      </c>
      <c r="E13" s="97">
        <v>0</v>
      </c>
      <c r="F13" s="97">
        <v>0</v>
      </c>
      <c r="G13" s="97">
        <v>0</v>
      </c>
      <c r="H13" s="97">
        <v>0</v>
      </c>
      <c r="I13" s="97">
        <v>0</v>
      </c>
      <c r="J13" s="97">
        <v>0</v>
      </c>
      <c r="K13" s="97">
        <v>0</v>
      </c>
    </row>
    <row r="14" spans="1:11" x14ac:dyDescent="0.35">
      <c r="A14" s="96">
        <v>2</v>
      </c>
      <c r="B14" s="96" t="s">
        <v>1185</v>
      </c>
      <c r="C14" s="95" t="s">
        <v>874</v>
      </c>
      <c r="D14" s="97">
        <v>76743.69</v>
      </c>
      <c r="E14" s="97">
        <v>60178.32</v>
      </c>
      <c r="F14" s="97">
        <v>16565.37</v>
      </c>
      <c r="G14" s="97">
        <v>20402.61</v>
      </c>
      <c r="H14" s="97">
        <v>76744</v>
      </c>
      <c r="I14" s="97">
        <v>60178</v>
      </c>
      <c r="J14" s="97">
        <v>16566</v>
      </c>
      <c r="K14" s="97">
        <v>20403</v>
      </c>
    </row>
    <row r="15" spans="1:11" x14ac:dyDescent="0.35">
      <c r="A15" s="96">
        <v>3</v>
      </c>
      <c r="B15" s="96" t="s">
        <v>1186</v>
      </c>
      <c r="C15" s="95" t="s">
        <v>1187</v>
      </c>
      <c r="D15" s="97">
        <v>40476.550000000003</v>
      </c>
      <c r="E15" s="97">
        <v>32254.92</v>
      </c>
      <c r="F15" s="97">
        <v>8221.6299999999992</v>
      </c>
      <c r="G15" s="97">
        <v>162.26</v>
      </c>
      <c r="H15" s="97">
        <v>40477</v>
      </c>
      <c r="I15" s="97">
        <v>32255</v>
      </c>
      <c r="J15" s="97">
        <v>8222</v>
      </c>
      <c r="K15" s="97">
        <v>162</v>
      </c>
    </row>
    <row r="16" spans="1:11" x14ac:dyDescent="0.35">
      <c r="A16" s="96">
        <v>4</v>
      </c>
      <c r="B16" s="96" t="s">
        <v>1188</v>
      </c>
      <c r="C16" s="95" t="s">
        <v>1189</v>
      </c>
      <c r="D16" s="97">
        <v>0</v>
      </c>
      <c r="E16" s="97">
        <v>0</v>
      </c>
      <c r="F16" s="97">
        <v>0</v>
      </c>
      <c r="G16" s="97">
        <v>0</v>
      </c>
      <c r="H16" s="97">
        <v>0</v>
      </c>
      <c r="I16" s="97">
        <v>0</v>
      </c>
      <c r="J16" s="97">
        <v>0</v>
      </c>
      <c r="K16" s="97">
        <v>0</v>
      </c>
    </row>
    <row r="17" spans="1:11" x14ac:dyDescent="0.35">
      <c r="A17" s="96">
        <v>5</v>
      </c>
      <c r="B17" s="96" t="s">
        <v>1190</v>
      </c>
      <c r="C17" s="95" t="s">
        <v>1191</v>
      </c>
      <c r="D17" s="97">
        <v>0</v>
      </c>
      <c r="E17" s="97">
        <v>0</v>
      </c>
      <c r="F17" s="97">
        <v>0</v>
      </c>
      <c r="G17" s="97">
        <v>0</v>
      </c>
      <c r="H17" s="97">
        <v>0</v>
      </c>
      <c r="I17" s="97">
        <v>0</v>
      </c>
      <c r="J17" s="97">
        <v>0</v>
      </c>
      <c r="K17" s="97">
        <v>0</v>
      </c>
    </row>
    <row r="18" spans="1:11" x14ac:dyDescent="0.35">
      <c r="A18" s="96">
        <v>6</v>
      </c>
      <c r="B18" s="96" t="s">
        <v>1192</v>
      </c>
      <c r="C18" s="95" t="s">
        <v>1193</v>
      </c>
      <c r="D18" s="97">
        <v>10136.280000000001</v>
      </c>
      <c r="E18" s="97">
        <v>8516.3700000000008</v>
      </c>
      <c r="F18" s="97">
        <v>1619.91</v>
      </c>
      <c r="G18" s="97">
        <v>737.95</v>
      </c>
      <c r="H18" s="97">
        <v>10136</v>
      </c>
      <c r="I18" s="97">
        <v>8516</v>
      </c>
      <c r="J18" s="97">
        <v>1620</v>
      </c>
      <c r="K18" s="97">
        <v>738</v>
      </c>
    </row>
    <row r="19" spans="1:11" x14ac:dyDescent="0.35">
      <c r="A19" s="96">
        <v>7</v>
      </c>
      <c r="B19" s="96" t="s">
        <v>1194</v>
      </c>
      <c r="C19" s="95" t="s">
        <v>1195</v>
      </c>
      <c r="D19" s="97">
        <v>2771.98</v>
      </c>
      <c r="E19" s="97">
        <v>0</v>
      </c>
      <c r="F19" s="97">
        <v>2771.98</v>
      </c>
      <c r="G19" s="97">
        <v>2389.83</v>
      </c>
      <c r="H19" s="97">
        <v>2772</v>
      </c>
      <c r="I19" s="97">
        <v>0</v>
      </c>
      <c r="J19" s="97">
        <v>2772</v>
      </c>
      <c r="K19" s="97">
        <v>2390</v>
      </c>
    </row>
    <row r="20" spans="1:11" x14ac:dyDescent="0.35">
      <c r="A20" s="96">
        <v>8</v>
      </c>
      <c r="B20" s="96" t="s">
        <v>1196</v>
      </c>
      <c r="C20" s="95" t="s">
        <v>875</v>
      </c>
      <c r="D20" s="97">
        <v>0</v>
      </c>
      <c r="E20" s="97">
        <v>0</v>
      </c>
      <c r="F20" s="97">
        <v>0</v>
      </c>
      <c r="G20" s="97">
        <v>0</v>
      </c>
      <c r="H20" s="97">
        <v>0</v>
      </c>
      <c r="I20" s="97">
        <v>0</v>
      </c>
      <c r="J20" s="97">
        <v>0</v>
      </c>
      <c r="K20" s="97">
        <v>0</v>
      </c>
    </row>
    <row r="21" spans="1:11" x14ac:dyDescent="0.35">
      <c r="A21" s="96">
        <v>9</v>
      </c>
      <c r="B21" s="96" t="s">
        <v>1197</v>
      </c>
      <c r="C21" s="95" t="s">
        <v>1198</v>
      </c>
      <c r="D21" s="97">
        <v>0</v>
      </c>
      <c r="E21" s="97">
        <v>0</v>
      </c>
      <c r="F21" s="97">
        <v>0</v>
      </c>
      <c r="G21" s="97">
        <v>0</v>
      </c>
      <c r="H21" s="97">
        <v>0</v>
      </c>
      <c r="I21" s="97">
        <v>0</v>
      </c>
      <c r="J21" s="97">
        <v>0</v>
      </c>
      <c r="K21" s="97">
        <v>0</v>
      </c>
    </row>
    <row r="22" spans="1:11" x14ac:dyDescent="0.35">
      <c r="A22" s="96" t="s">
        <v>1199</v>
      </c>
      <c r="B22" s="96" t="s">
        <v>1200</v>
      </c>
      <c r="C22" s="95" t="s">
        <v>876</v>
      </c>
      <c r="D22" s="97">
        <v>0</v>
      </c>
      <c r="E22" s="97">
        <v>0</v>
      </c>
      <c r="F22" s="97">
        <v>0</v>
      </c>
      <c r="G22" s="97">
        <v>0</v>
      </c>
      <c r="H22" s="97">
        <v>0</v>
      </c>
      <c r="I22" s="97">
        <v>0</v>
      </c>
      <c r="J22" s="97">
        <v>0</v>
      </c>
      <c r="K22" s="97">
        <v>0</v>
      </c>
    </row>
    <row r="23" spans="1:11" x14ac:dyDescent="0.35">
      <c r="A23" s="96" t="s">
        <v>1201</v>
      </c>
      <c r="B23" s="96" t="s">
        <v>1202</v>
      </c>
      <c r="C23" s="95" t="s">
        <v>877</v>
      </c>
      <c r="D23" s="97">
        <v>0</v>
      </c>
      <c r="E23" s="97">
        <v>0</v>
      </c>
      <c r="F23" s="97">
        <v>0</v>
      </c>
      <c r="G23" s="97">
        <v>0</v>
      </c>
      <c r="H23" s="97">
        <v>0</v>
      </c>
      <c r="I23" s="97">
        <v>0</v>
      </c>
      <c r="J23" s="97">
        <v>0</v>
      </c>
      <c r="K23" s="97">
        <v>0</v>
      </c>
    </row>
    <row r="24" spans="1:11" x14ac:dyDescent="0.35">
      <c r="A24" s="96">
        <v>2</v>
      </c>
      <c r="B24" s="96" t="s">
        <v>1203</v>
      </c>
      <c r="C24" s="95" t="s">
        <v>1204</v>
      </c>
      <c r="D24" s="97">
        <v>0</v>
      </c>
      <c r="E24" s="97">
        <v>0</v>
      </c>
      <c r="F24" s="97">
        <v>0</v>
      </c>
      <c r="G24" s="97">
        <v>0</v>
      </c>
      <c r="H24" s="97">
        <v>0</v>
      </c>
      <c r="I24" s="97">
        <v>0</v>
      </c>
      <c r="J24" s="97">
        <v>0</v>
      </c>
      <c r="K24" s="97">
        <v>0</v>
      </c>
    </row>
    <row r="25" spans="1:11" x14ac:dyDescent="0.35">
      <c r="A25" s="96">
        <v>3</v>
      </c>
      <c r="B25" s="96" t="s">
        <v>1205</v>
      </c>
      <c r="C25" s="95" t="s">
        <v>1206</v>
      </c>
      <c r="D25" s="97">
        <v>0</v>
      </c>
      <c r="E25" s="97">
        <v>0</v>
      </c>
      <c r="F25" s="97">
        <v>0</v>
      </c>
      <c r="G25" s="97">
        <v>0</v>
      </c>
      <c r="H25" s="97">
        <v>0</v>
      </c>
      <c r="I25" s="97">
        <v>0</v>
      </c>
      <c r="J25" s="97">
        <v>0</v>
      </c>
      <c r="K25" s="97">
        <v>0</v>
      </c>
    </row>
    <row r="26" spans="1:11" x14ac:dyDescent="0.35">
      <c r="A26" s="96">
        <v>4</v>
      </c>
      <c r="B26" s="96" t="s">
        <v>1207</v>
      </c>
      <c r="C26" s="95" t="s">
        <v>1208</v>
      </c>
      <c r="D26" s="97">
        <v>0</v>
      </c>
      <c r="E26" s="97">
        <v>0</v>
      </c>
      <c r="F26" s="97">
        <v>0</v>
      </c>
      <c r="G26" s="97">
        <v>0</v>
      </c>
      <c r="H26" s="97">
        <v>0</v>
      </c>
      <c r="I26" s="97">
        <v>0</v>
      </c>
      <c r="J26" s="97">
        <v>0</v>
      </c>
      <c r="K26" s="97">
        <v>0</v>
      </c>
    </row>
    <row r="27" spans="1:11" x14ac:dyDescent="0.35">
      <c r="A27" s="96">
        <v>5</v>
      </c>
      <c r="B27" s="96" t="s">
        <v>1209</v>
      </c>
      <c r="C27" s="95" t="s">
        <v>1210</v>
      </c>
      <c r="D27" s="97">
        <v>0</v>
      </c>
      <c r="E27" s="97">
        <v>0</v>
      </c>
      <c r="F27" s="97">
        <v>0</v>
      </c>
      <c r="G27" s="97">
        <v>0</v>
      </c>
      <c r="H27" s="97">
        <v>0</v>
      </c>
      <c r="I27" s="97">
        <v>0</v>
      </c>
      <c r="J27" s="97">
        <v>0</v>
      </c>
      <c r="K27" s="97">
        <v>0</v>
      </c>
    </row>
    <row r="28" spans="1:11" x14ac:dyDescent="0.35">
      <c r="A28" s="96">
        <v>6</v>
      </c>
      <c r="B28" s="96" t="s">
        <v>1211</v>
      </c>
      <c r="C28" s="95" t="s">
        <v>1212</v>
      </c>
      <c r="D28" s="97">
        <v>0</v>
      </c>
      <c r="E28" s="97">
        <v>0</v>
      </c>
      <c r="F28" s="97">
        <v>0</v>
      </c>
      <c r="G28" s="97">
        <v>0</v>
      </c>
      <c r="H28" s="97">
        <v>0</v>
      </c>
      <c r="I28" s="97">
        <v>0</v>
      </c>
      <c r="J28" s="97">
        <v>0</v>
      </c>
      <c r="K28" s="97">
        <v>0</v>
      </c>
    </row>
    <row r="29" spans="1:11" x14ac:dyDescent="0.35">
      <c r="A29" s="96">
        <v>7</v>
      </c>
      <c r="B29" s="96" t="s">
        <v>1213</v>
      </c>
      <c r="C29" s="95" t="s">
        <v>1214</v>
      </c>
      <c r="D29" s="97">
        <v>0</v>
      </c>
      <c r="E29" s="97">
        <v>0</v>
      </c>
      <c r="F29" s="97">
        <v>0</v>
      </c>
      <c r="G29" s="97">
        <v>0</v>
      </c>
      <c r="H29" s="97">
        <v>0</v>
      </c>
      <c r="I29" s="97">
        <v>0</v>
      </c>
      <c r="J29" s="97">
        <v>0</v>
      </c>
      <c r="K29" s="97">
        <v>0</v>
      </c>
    </row>
    <row r="30" spans="1:11" x14ac:dyDescent="0.35">
      <c r="A30" s="96">
        <v>8</v>
      </c>
      <c r="B30" s="96" t="s">
        <v>1215</v>
      </c>
      <c r="C30" s="95" t="s">
        <v>879</v>
      </c>
      <c r="D30" s="97">
        <v>0</v>
      </c>
      <c r="E30" s="97">
        <v>0</v>
      </c>
      <c r="F30" s="97">
        <v>0</v>
      </c>
      <c r="G30" s="97">
        <v>0</v>
      </c>
      <c r="H30" s="97">
        <v>0</v>
      </c>
      <c r="I30" s="97">
        <v>0</v>
      </c>
      <c r="J30" s="97">
        <v>0</v>
      </c>
      <c r="K30" s="97">
        <v>0</v>
      </c>
    </row>
    <row r="31" spans="1:11" x14ac:dyDescent="0.35">
      <c r="A31" s="96">
        <v>9</v>
      </c>
      <c r="B31" s="96" t="s">
        <v>1216</v>
      </c>
      <c r="C31" s="95" t="s">
        <v>1217</v>
      </c>
      <c r="D31" s="97">
        <v>0</v>
      </c>
      <c r="E31" s="97">
        <v>0</v>
      </c>
      <c r="F31" s="97">
        <v>0</v>
      </c>
      <c r="G31" s="97">
        <v>0</v>
      </c>
      <c r="H31" s="97">
        <v>0</v>
      </c>
      <c r="I31" s="97">
        <v>0</v>
      </c>
      <c r="J31" s="97">
        <v>0</v>
      </c>
      <c r="K31" s="97">
        <v>0</v>
      </c>
    </row>
    <row r="32" spans="1:11" x14ac:dyDescent="0.35">
      <c r="A32" s="96">
        <v>10</v>
      </c>
      <c r="B32" s="96" t="s">
        <v>1218</v>
      </c>
      <c r="C32" s="95" t="s">
        <v>1219</v>
      </c>
      <c r="D32" s="97">
        <v>0</v>
      </c>
      <c r="E32" s="97">
        <v>0</v>
      </c>
      <c r="F32" s="97">
        <v>0</v>
      </c>
      <c r="G32" s="97">
        <v>0</v>
      </c>
      <c r="H32" s="97">
        <v>0</v>
      </c>
      <c r="I32" s="97">
        <v>0</v>
      </c>
      <c r="J32" s="97">
        <v>0</v>
      </c>
      <c r="K32" s="97">
        <v>0</v>
      </c>
    </row>
    <row r="33" spans="1:11" x14ac:dyDescent="0.35">
      <c r="A33" s="96">
        <v>11</v>
      </c>
      <c r="B33" s="96" t="s">
        <v>1220</v>
      </c>
      <c r="C33" s="95" t="s">
        <v>1221</v>
      </c>
      <c r="D33" s="97">
        <v>0</v>
      </c>
      <c r="E33" s="97">
        <v>0</v>
      </c>
      <c r="F33" s="97">
        <v>0</v>
      </c>
      <c r="G33" s="97">
        <v>0</v>
      </c>
      <c r="H33" s="97">
        <v>0</v>
      </c>
      <c r="I33" s="97">
        <v>0</v>
      </c>
      <c r="J33" s="97">
        <v>0</v>
      </c>
      <c r="K33" s="97">
        <v>0</v>
      </c>
    </row>
    <row r="34" spans="1:11" x14ac:dyDescent="0.35">
      <c r="A34" s="96" t="s">
        <v>1024</v>
      </c>
      <c r="B34" s="96" t="s">
        <v>1222</v>
      </c>
      <c r="C34" s="95" t="s">
        <v>1223</v>
      </c>
      <c r="D34" s="97">
        <v>688591.93</v>
      </c>
      <c r="E34" s="97">
        <v>10862.06</v>
      </c>
      <c r="F34" s="97">
        <v>677729.87</v>
      </c>
      <c r="G34" s="97">
        <v>589926.53</v>
      </c>
      <c r="H34" s="97">
        <v>688590</v>
      </c>
      <c r="I34" s="97">
        <v>10862</v>
      </c>
      <c r="J34" s="97">
        <v>677728</v>
      </c>
      <c r="K34" s="97">
        <v>589925</v>
      </c>
    </row>
    <row r="35" spans="1:11" x14ac:dyDescent="0.35">
      <c r="A35" s="96" t="s">
        <v>1224</v>
      </c>
      <c r="B35" s="96" t="s">
        <v>1225</v>
      </c>
      <c r="C35" s="95" t="s">
        <v>1226</v>
      </c>
      <c r="D35" s="97">
        <v>136492.28</v>
      </c>
      <c r="E35" s="97">
        <v>3135.79</v>
      </c>
      <c r="F35" s="97">
        <v>133356.49</v>
      </c>
      <c r="G35" s="97">
        <v>122277.57</v>
      </c>
      <c r="H35" s="97">
        <v>136492</v>
      </c>
      <c r="I35" s="97">
        <v>3136</v>
      </c>
      <c r="J35" s="97">
        <v>133356</v>
      </c>
      <c r="K35" s="97">
        <v>122277</v>
      </c>
    </row>
    <row r="36" spans="1:11" x14ac:dyDescent="0.35">
      <c r="A36" s="96" t="s">
        <v>1227</v>
      </c>
      <c r="B36" s="96" t="s">
        <v>1228</v>
      </c>
      <c r="C36" s="95" t="s">
        <v>1229</v>
      </c>
      <c r="D36" s="97">
        <v>0</v>
      </c>
      <c r="E36" s="97">
        <v>0</v>
      </c>
      <c r="F36" s="97">
        <v>0</v>
      </c>
      <c r="G36" s="97">
        <v>0</v>
      </c>
      <c r="H36" s="97">
        <v>0</v>
      </c>
      <c r="I36" s="97">
        <v>0</v>
      </c>
      <c r="J36" s="97">
        <v>0</v>
      </c>
      <c r="K36" s="97">
        <v>0</v>
      </c>
    </row>
    <row r="37" spans="1:11" x14ac:dyDescent="0.35">
      <c r="A37" s="96">
        <v>2</v>
      </c>
      <c r="B37" s="96" t="s">
        <v>1230</v>
      </c>
      <c r="C37" s="95" t="s">
        <v>1231</v>
      </c>
      <c r="D37" s="97">
        <v>0</v>
      </c>
      <c r="E37" s="97">
        <v>0</v>
      </c>
      <c r="F37" s="97">
        <v>0</v>
      </c>
      <c r="G37" s="97">
        <v>0</v>
      </c>
      <c r="H37" s="97">
        <v>0</v>
      </c>
      <c r="I37" s="97">
        <v>0</v>
      </c>
      <c r="J37" s="97">
        <v>0</v>
      </c>
      <c r="K37" s="97">
        <v>0</v>
      </c>
    </row>
    <row r="38" spans="1:11" x14ac:dyDescent="0.35">
      <c r="A38" s="96">
        <v>3</v>
      </c>
      <c r="B38" s="96" t="s">
        <v>1232</v>
      </c>
      <c r="C38" s="95" t="s">
        <v>1233</v>
      </c>
      <c r="D38" s="97">
        <v>0</v>
      </c>
      <c r="E38" s="97">
        <v>0</v>
      </c>
      <c r="F38" s="97">
        <v>0</v>
      </c>
      <c r="G38" s="97">
        <v>0</v>
      </c>
      <c r="H38" s="97">
        <v>0</v>
      </c>
      <c r="I38" s="97">
        <v>0</v>
      </c>
      <c r="J38" s="97">
        <v>0</v>
      </c>
      <c r="K38" s="97">
        <v>0</v>
      </c>
    </row>
    <row r="39" spans="1:11" x14ac:dyDescent="0.35">
      <c r="A39" s="96">
        <v>4</v>
      </c>
      <c r="B39" s="96" t="s">
        <v>1234</v>
      </c>
      <c r="C39" s="95" t="s">
        <v>1235</v>
      </c>
      <c r="D39" s="97">
        <v>0</v>
      </c>
      <c r="E39" s="97">
        <v>0</v>
      </c>
      <c r="F39" s="97">
        <v>0</v>
      </c>
      <c r="G39" s="97">
        <v>0</v>
      </c>
      <c r="H39" s="97">
        <v>0</v>
      </c>
      <c r="I39" s="97">
        <v>0</v>
      </c>
      <c r="J39" s="97">
        <v>0</v>
      </c>
      <c r="K39" s="97">
        <v>0</v>
      </c>
    </row>
    <row r="40" spans="1:11" x14ac:dyDescent="0.35">
      <c r="A40" s="96">
        <v>5</v>
      </c>
      <c r="B40" s="96" t="s">
        <v>1236</v>
      </c>
      <c r="C40" s="95" t="s">
        <v>1237</v>
      </c>
      <c r="D40" s="97">
        <v>136492.28</v>
      </c>
      <c r="E40" s="97">
        <v>3135.79</v>
      </c>
      <c r="F40" s="97">
        <v>133356.49</v>
      </c>
      <c r="G40" s="97">
        <v>122277.57</v>
      </c>
      <c r="H40" s="97">
        <v>136492</v>
      </c>
      <c r="I40" s="97">
        <v>3136</v>
      </c>
      <c r="J40" s="97">
        <v>133356</v>
      </c>
      <c r="K40" s="97">
        <v>122277</v>
      </c>
    </row>
    <row r="41" spans="1:11" x14ac:dyDescent="0.35">
      <c r="A41" s="96">
        <v>6</v>
      </c>
      <c r="B41" s="96" t="s">
        <v>1238</v>
      </c>
      <c r="C41" s="95" t="s">
        <v>1239</v>
      </c>
      <c r="D41" s="97">
        <v>0</v>
      </c>
      <c r="E41" s="97">
        <v>0</v>
      </c>
      <c r="F41" s="97">
        <v>0</v>
      </c>
      <c r="G41" s="97">
        <v>0</v>
      </c>
      <c r="H41" s="97">
        <v>0</v>
      </c>
      <c r="I41" s="97">
        <v>0</v>
      </c>
      <c r="J41" s="97">
        <v>0</v>
      </c>
      <c r="K41" s="97">
        <v>0</v>
      </c>
    </row>
    <row r="42" spans="1:11" x14ac:dyDescent="0.35">
      <c r="A42" s="96" t="s">
        <v>1240</v>
      </c>
      <c r="B42" s="96" t="s">
        <v>1241</v>
      </c>
      <c r="C42" s="95" t="s">
        <v>1242</v>
      </c>
      <c r="D42" s="97">
        <v>18410.22</v>
      </c>
      <c r="E42" s="97">
        <v>0</v>
      </c>
      <c r="F42" s="97">
        <v>18410.22</v>
      </c>
      <c r="G42" s="97">
        <v>18527.28</v>
      </c>
      <c r="H42" s="97">
        <v>18410</v>
      </c>
      <c r="I42" s="97">
        <v>0</v>
      </c>
      <c r="J42" s="97">
        <v>18410</v>
      </c>
      <c r="K42" s="97">
        <v>18527</v>
      </c>
    </row>
    <row r="43" spans="1:11" x14ac:dyDescent="0.35">
      <c r="A43" s="96" t="s">
        <v>1243</v>
      </c>
      <c r="B43" s="96" t="s">
        <v>1244</v>
      </c>
      <c r="C43" s="95" t="s">
        <v>881</v>
      </c>
      <c r="D43" s="97">
        <v>15283.08</v>
      </c>
      <c r="E43" s="97">
        <v>0</v>
      </c>
      <c r="F43" s="97">
        <v>15283.08</v>
      </c>
      <c r="G43" s="97">
        <v>15283.08</v>
      </c>
      <c r="H43" s="97">
        <v>15283</v>
      </c>
      <c r="I43" s="97">
        <v>0</v>
      </c>
      <c r="J43" s="97">
        <v>15283</v>
      </c>
      <c r="K43" s="97">
        <v>15283</v>
      </c>
    </row>
    <row r="44" spans="1:11" x14ac:dyDescent="0.35">
      <c r="A44" s="96" t="s">
        <v>1245</v>
      </c>
      <c r="B44" s="96" t="s">
        <v>1246</v>
      </c>
      <c r="C44" s="95" t="s">
        <v>1247</v>
      </c>
      <c r="D44" s="97">
        <v>0</v>
      </c>
      <c r="E44" s="97">
        <v>0</v>
      </c>
      <c r="F44" s="97">
        <v>0</v>
      </c>
      <c r="G44" s="97">
        <v>0</v>
      </c>
      <c r="H44" s="97">
        <v>0</v>
      </c>
      <c r="I44" s="97">
        <v>0</v>
      </c>
      <c r="J44" s="97">
        <v>0</v>
      </c>
      <c r="K44" s="97">
        <v>0</v>
      </c>
    </row>
    <row r="45" spans="1:11" x14ac:dyDescent="0.35">
      <c r="A45" s="96" t="s">
        <v>1248</v>
      </c>
      <c r="B45" s="96" t="s">
        <v>1249</v>
      </c>
      <c r="C45" s="95" t="s">
        <v>1250</v>
      </c>
      <c r="D45" s="97">
        <v>0</v>
      </c>
      <c r="E45" s="97">
        <v>0</v>
      </c>
      <c r="F45" s="97">
        <v>0</v>
      </c>
      <c r="G45" s="97">
        <v>0</v>
      </c>
      <c r="H45" s="97">
        <v>0</v>
      </c>
      <c r="I45" s="97">
        <v>0</v>
      </c>
      <c r="J45" s="97">
        <v>0</v>
      </c>
      <c r="K45" s="97">
        <v>0</v>
      </c>
    </row>
    <row r="46" spans="1:11" x14ac:dyDescent="0.35">
      <c r="A46" s="96" t="s">
        <v>1251</v>
      </c>
      <c r="B46" s="96" t="s">
        <v>1252</v>
      </c>
      <c r="C46" s="95" t="s">
        <v>1253</v>
      </c>
      <c r="D46" s="97">
        <v>15283.08</v>
      </c>
      <c r="E46" s="97">
        <v>0</v>
      </c>
      <c r="F46" s="97">
        <v>15283.08</v>
      </c>
      <c r="G46" s="97">
        <v>15283.08</v>
      </c>
      <c r="H46" s="97">
        <v>15283</v>
      </c>
      <c r="I46" s="97">
        <v>0</v>
      </c>
      <c r="J46" s="97">
        <v>15283</v>
      </c>
      <c r="K46" s="97">
        <v>15283</v>
      </c>
    </row>
    <row r="47" spans="1:11" x14ac:dyDescent="0.35">
      <c r="A47" s="96">
        <v>2</v>
      </c>
      <c r="B47" s="96" t="s">
        <v>1254</v>
      </c>
      <c r="C47" s="95" t="s">
        <v>1255</v>
      </c>
      <c r="D47" s="97">
        <v>0</v>
      </c>
      <c r="E47" s="97">
        <v>0</v>
      </c>
      <c r="F47" s="97">
        <v>0</v>
      </c>
      <c r="G47" s="97">
        <v>0</v>
      </c>
      <c r="H47" s="97">
        <v>0</v>
      </c>
      <c r="I47" s="97">
        <v>0</v>
      </c>
      <c r="J47" s="97">
        <v>0</v>
      </c>
      <c r="K47" s="97">
        <v>0</v>
      </c>
    </row>
    <row r="48" spans="1:11" x14ac:dyDescent="0.35">
      <c r="A48" s="96">
        <v>3</v>
      </c>
      <c r="B48" s="96" t="s">
        <v>1256</v>
      </c>
      <c r="C48" s="95" t="s">
        <v>1257</v>
      </c>
      <c r="D48" s="97">
        <v>0</v>
      </c>
      <c r="E48" s="97">
        <v>0</v>
      </c>
      <c r="F48" s="97">
        <v>0</v>
      </c>
      <c r="G48" s="97">
        <v>0</v>
      </c>
      <c r="H48" s="97">
        <v>0</v>
      </c>
      <c r="I48" s="97">
        <v>0</v>
      </c>
      <c r="J48" s="97">
        <v>0</v>
      </c>
      <c r="K48" s="97">
        <v>0</v>
      </c>
    </row>
    <row r="49" spans="1:11" x14ac:dyDescent="0.35">
      <c r="A49" s="96">
        <v>4</v>
      </c>
      <c r="B49" s="96" t="s">
        <v>1258</v>
      </c>
      <c r="C49" s="95" t="s">
        <v>1259</v>
      </c>
      <c r="D49" s="97">
        <v>0</v>
      </c>
      <c r="E49" s="97">
        <v>0</v>
      </c>
      <c r="F49" s="97">
        <v>0</v>
      </c>
      <c r="G49" s="97">
        <v>0</v>
      </c>
      <c r="H49" s="97">
        <v>0</v>
      </c>
      <c r="I49" s="97">
        <v>0</v>
      </c>
      <c r="J49" s="97">
        <v>0</v>
      </c>
      <c r="K49" s="97">
        <v>0</v>
      </c>
    </row>
    <row r="50" spans="1:11" x14ac:dyDescent="0.35">
      <c r="A50" s="96">
        <v>5</v>
      </c>
      <c r="B50" s="96" t="s">
        <v>1260</v>
      </c>
      <c r="C50" s="95" t="s">
        <v>1261</v>
      </c>
      <c r="D50" s="97">
        <v>0</v>
      </c>
      <c r="E50" s="97">
        <v>0</v>
      </c>
      <c r="F50" s="97">
        <v>0</v>
      </c>
      <c r="G50" s="97">
        <v>0</v>
      </c>
      <c r="H50" s="97">
        <v>0</v>
      </c>
      <c r="I50" s="97">
        <v>0</v>
      </c>
      <c r="J50" s="97">
        <v>0</v>
      </c>
      <c r="K50" s="97">
        <v>0</v>
      </c>
    </row>
    <row r="51" spans="1:11" x14ac:dyDescent="0.35">
      <c r="A51" s="96">
        <v>6</v>
      </c>
      <c r="B51" s="96" t="s">
        <v>1262</v>
      </c>
      <c r="C51" s="95" t="s">
        <v>1263</v>
      </c>
      <c r="D51" s="97">
        <v>0</v>
      </c>
      <c r="E51" s="97">
        <v>0</v>
      </c>
      <c r="F51" s="97">
        <v>0</v>
      </c>
      <c r="G51" s="97">
        <v>0</v>
      </c>
      <c r="H51" s="97">
        <v>0</v>
      </c>
      <c r="I51" s="97">
        <v>0</v>
      </c>
      <c r="J51" s="97">
        <v>0</v>
      </c>
      <c r="K51" s="97">
        <v>0</v>
      </c>
    </row>
    <row r="52" spans="1:11" x14ac:dyDescent="0.35">
      <c r="A52" s="96">
        <v>7</v>
      </c>
      <c r="B52" s="96" t="s">
        <v>1264</v>
      </c>
      <c r="C52" s="95" t="s">
        <v>1265</v>
      </c>
      <c r="D52" s="97">
        <v>0</v>
      </c>
      <c r="E52" s="97">
        <v>0</v>
      </c>
      <c r="F52" s="97">
        <v>0</v>
      </c>
      <c r="G52" s="97">
        <v>0</v>
      </c>
      <c r="H52" s="97">
        <v>0</v>
      </c>
      <c r="I52" s="97">
        <v>0</v>
      </c>
      <c r="J52" s="97">
        <v>0</v>
      </c>
      <c r="K52" s="97">
        <v>0</v>
      </c>
    </row>
    <row r="53" spans="1:11" x14ac:dyDescent="0.35">
      <c r="A53" s="96">
        <v>8</v>
      </c>
      <c r="B53" s="96" t="s">
        <v>1266</v>
      </c>
      <c r="C53" s="95" t="s">
        <v>1267</v>
      </c>
      <c r="D53" s="97">
        <v>3127.14</v>
      </c>
      <c r="E53" s="97">
        <v>0</v>
      </c>
      <c r="F53" s="97">
        <v>3127.14</v>
      </c>
      <c r="G53" s="97">
        <v>3244.2</v>
      </c>
      <c r="H53" s="97">
        <v>3127</v>
      </c>
      <c r="I53" s="97">
        <v>0</v>
      </c>
      <c r="J53" s="97">
        <v>3127</v>
      </c>
      <c r="K53" s="97">
        <v>3244</v>
      </c>
    </row>
    <row r="54" spans="1:11" x14ac:dyDescent="0.35">
      <c r="A54" s="96" t="s">
        <v>1268</v>
      </c>
      <c r="B54" s="96" t="s">
        <v>1269</v>
      </c>
      <c r="C54" s="95" t="s">
        <v>1270</v>
      </c>
      <c r="D54" s="97">
        <v>528854.05000000005</v>
      </c>
      <c r="E54" s="97">
        <v>7726.27</v>
      </c>
      <c r="F54" s="97">
        <v>521127.78</v>
      </c>
      <c r="G54" s="97">
        <v>437890.43</v>
      </c>
      <c r="H54" s="97">
        <v>528853</v>
      </c>
      <c r="I54" s="97">
        <v>7726</v>
      </c>
      <c r="J54" s="97">
        <v>521127</v>
      </c>
      <c r="K54" s="97">
        <v>437890</v>
      </c>
    </row>
    <row r="55" spans="1:11" x14ac:dyDescent="0.35">
      <c r="A55" s="96" t="s">
        <v>1271</v>
      </c>
      <c r="B55" s="96" t="s">
        <v>1272</v>
      </c>
      <c r="C55" s="95" t="s">
        <v>1273</v>
      </c>
      <c r="D55" s="97">
        <v>157872.29999999999</v>
      </c>
      <c r="E55" s="97">
        <v>0</v>
      </c>
      <c r="F55" s="97">
        <v>157872.29999999999</v>
      </c>
      <c r="G55" s="97">
        <v>167205.68</v>
      </c>
      <c r="H55" s="97">
        <v>157872</v>
      </c>
      <c r="I55" s="97">
        <v>0</v>
      </c>
      <c r="J55" s="97">
        <v>157872</v>
      </c>
      <c r="K55" s="97">
        <v>167206</v>
      </c>
    </row>
    <row r="56" spans="1:11" x14ac:dyDescent="0.35">
      <c r="A56" s="96" t="s">
        <v>1245</v>
      </c>
      <c r="B56" s="96" t="s">
        <v>1246</v>
      </c>
      <c r="C56" s="95" t="s">
        <v>1274</v>
      </c>
      <c r="D56" s="97">
        <v>50391.16</v>
      </c>
      <c r="E56" s="97">
        <v>0</v>
      </c>
      <c r="F56" s="97">
        <v>50391.16</v>
      </c>
      <c r="G56" s="97">
        <v>38798.720000000001</v>
      </c>
      <c r="H56" s="97">
        <v>50391</v>
      </c>
      <c r="I56" s="97">
        <v>0</v>
      </c>
      <c r="J56" s="97">
        <v>50391</v>
      </c>
      <c r="K56" s="97">
        <v>38799</v>
      </c>
    </row>
    <row r="57" spans="1:11" x14ac:dyDescent="0.35">
      <c r="A57" s="96" t="s">
        <v>1248</v>
      </c>
      <c r="B57" s="96" t="s">
        <v>1249</v>
      </c>
      <c r="C57" s="95" t="s">
        <v>1275</v>
      </c>
      <c r="D57" s="97">
        <v>0</v>
      </c>
      <c r="E57" s="97">
        <v>0</v>
      </c>
      <c r="F57" s="97">
        <v>0</v>
      </c>
      <c r="G57" s="97">
        <v>0</v>
      </c>
      <c r="H57" s="97">
        <v>0</v>
      </c>
      <c r="I57" s="97">
        <v>0</v>
      </c>
      <c r="J57" s="97">
        <v>0</v>
      </c>
      <c r="K57" s="97">
        <v>0</v>
      </c>
    </row>
    <row r="58" spans="1:11" x14ac:dyDescent="0.35">
      <c r="A58" s="96" t="s">
        <v>1251</v>
      </c>
      <c r="B58" s="96" t="s">
        <v>1252</v>
      </c>
      <c r="C58" s="95" t="s">
        <v>1276</v>
      </c>
      <c r="D58" s="97">
        <v>107481.14</v>
      </c>
      <c r="E58" s="97">
        <v>0</v>
      </c>
      <c r="F58" s="97">
        <v>107481.14</v>
      </c>
      <c r="G58" s="97">
        <v>128406.96</v>
      </c>
      <c r="H58" s="97">
        <v>107481</v>
      </c>
      <c r="I58" s="97">
        <v>0</v>
      </c>
      <c r="J58" s="97">
        <v>107481</v>
      </c>
      <c r="K58" s="97">
        <v>128407</v>
      </c>
    </row>
    <row r="59" spans="1:11" x14ac:dyDescent="0.35">
      <c r="A59" s="96">
        <v>2</v>
      </c>
      <c r="B59" s="96" t="s">
        <v>1254</v>
      </c>
      <c r="C59" s="95" t="s">
        <v>1277</v>
      </c>
      <c r="D59" s="97">
        <v>0</v>
      </c>
      <c r="E59" s="97">
        <v>0</v>
      </c>
      <c r="F59" s="97">
        <v>0</v>
      </c>
      <c r="G59" s="97">
        <v>0</v>
      </c>
      <c r="H59" s="97">
        <v>0</v>
      </c>
      <c r="I59" s="97">
        <v>0</v>
      </c>
      <c r="J59" s="97">
        <v>0</v>
      </c>
      <c r="K59" s="97">
        <v>0</v>
      </c>
    </row>
    <row r="60" spans="1:11" x14ac:dyDescent="0.35">
      <c r="A60" s="96">
        <v>3</v>
      </c>
      <c r="B60" s="96" t="s">
        <v>1256</v>
      </c>
      <c r="C60" s="95" t="s">
        <v>1278</v>
      </c>
      <c r="D60" s="97">
        <v>363255.48</v>
      </c>
      <c r="E60" s="97">
        <v>0</v>
      </c>
      <c r="F60" s="97">
        <v>363255.48</v>
      </c>
      <c r="G60" s="97">
        <v>266909.46000000002</v>
      </c>
      <c r="H60" s="97">
        <v>363255</v>
      </c>
      <c r="I60" s="97">
        <v>0</v>
      </c>
      <c r="J60" s="97">
        <v>363255</v>
      </c>
      <c r="K60" s="97">
        <v>266909</v>
      </c>
    </row>
    <row r="61" spans="1:11" x14ac:dyDescent="0.35">
      <c r="A61" s="96">
        <v>4</v>
      </c>
      <c r="B61" s="96" t="s">
        <v>1258</v>
      </c>
      <c r="C61" s="95" t="s">
        <v>1279</v>
      </c>
      <c r="D61" s="97">
        <v>0</v>
      </c>
      <c r="E61" s="97">
        <v>0</v>
      </c>
      <c r="F61" s="97">
        <v>0</v>
      </c>
      <c r="G61" s="97">
        <v>0</v>
      </c>
      <c r="H61" s="97">
        <v>0</v>
      </c>
      <c r="I61" s="97">
        <v>0</v>
      </c>
      <c r="J61" s="97">
        <v>0</v>
      </c>
      <c r="K61" s="97">
        <v>0</v>
      </c>
    </row>
    <row r="62" spans="1:11" x14ac:dyDescent="0.35">
      <c r="A62" s="96">
        <v>5</v>
      </c>
      <c r="B62" s="96" t="s">
        <v>1280</v>
      </c>
      <c r="C62" s="95" t="s">
        <v>1281</v>
      </c>
      <c r="D62" s="97">
        <v>0</v>
      </c>
      <c r="E62" s="97">
        <v>0</v>
      </c>
      <c r="F62" s="97">
        <v>0</v>
      </c>
      <c r="G62" s="97">
        <v>0</v>
      </c>
      <c r="H62" s="97">
        <v>0</v>
      </c>
      <c r="I62" s="97">
        <v>0</v>
      </c>
      <c r="J62" s="97">
        <v>0</v>
      </c>
      <c r="K62" s="97">
        <v>0</v>
      </c>
    </row>
    <row r="63" spans="1:11" x14ac:dyDescent="0.35">
      <c r="A63" s="96" t="s">
        <v>1282</v>
      </c>
      <c r="B63" s="96" t="s">
        <v>1283</v>
      </c>
      <c r="C63" s="95" t="s">
        <v>1284</v>
      </c>
      <c r="D63" s="97">
        <v>0</v>
      </c>
      <c r="E63" s="97">
        <v>0</v>
      </c>
      <c r="F63" s="97">
        <v>0</v>
      </c>
      <c r="G63" s="97">
        <v>0</v>
      </c>
      <c r="H63" s="97">
        <v>0</v>
      </c>
      <c r="I63" s="97">
        <v>0</v>
      </c>
      <c r="J63" s="97">
        <v>0</v>
      </c>
      <c r="K63" s="97">
        <v>0</v>
      </c>
    </row>
    <row r="64" spans="1:11" x14ac:dyDescent="0.35">
      <c r="A64" s="96">
        <v>7</v>
      </c>
      <c r="B64" s="96" t="s">
        <v>1285</v>
      </c>
      <c r="C64" s="95" t="s">
        <v>1286</v>
      </c>
      <c r="D64" s="97">
        <v>0</v>
      </c>
      <c r="E64" s="97">
        <v>0</v>
      </c>
      <c r="F64" s="97">
        <v>0</v>
      </c>
      <c r="G64" s="97">
        <v>3775.29</v>
      </c>
      <c r="H64" s="97">
        <v>0</v>
      </c>
      <c r="I64" s="97">
        <v>0</v>
      </c>
      <c r="J64" s="97">
        <v>0</v>
      </c>
      <c r="K64" s="97">
        <v>3775</v>
      </c>
    </row>
    <row r="65" spans="1:11" x14ac:dyDescent="0.35">
      <c r="A65" s="96">
        <v>8</v>
      </c>
      <c r="B65" s="96" t="s">
        <v>1262</v>
      </c>
      <c r="C65" s="95" t="s">
        <v>1287</v>
      </c>
      <c r="D65" s="97">
        <v>0</v>
      </c>
      <c r="E65" s="97">
        <v>0</v>
      </c>
      <c r="F65" s="97">
        <v>0</v>
      </c>
      <c r="G65" s="97">
        <v>0</v>
      </c>
      <c r="H65" s="97">
        <v>0</v>
      </c>
      <c r="I65" s="97">
        <v>0</v>
      </c>
      <c r="J65" s="97">
        <v>0</v>
      </c>
      <c r="K65" s="97">
        <v>0</v>
      </c>
    </row>
    <row r="66" spans="1:11" x14ac:dyDescent="0.35">
      <c r="A66" s="96">
        <v>9</v>
      </c>
      <c r="B66" s="96" t="s">
        <v>1288</v>
      </c>
      <c r="C66" s="95" t="s">
        <v>1289</v>
      </c>
      <c r="D66" s="97">
        <v>7726.27</v>
      </c>
      <c r="E66" s="97">
        <v>7726.27</v>
      </c>
      <c r="F66" s="97">
        <v>0</v>
      </c>
      <c r="G66" s="97">
        <v>0</v>
      </c>
      <c r="H66" s="97">
        <v>7726</v>
      </c>
      <c r="I66" s="97">
        <v>7726</v>
      </c>
      <c r="J66" s="97">
        <v>0</v>
      </c>
      <c r="K66" s="97">
        <v>0</v>
      </c>
    </row>
    <row r="67" spans="1:11" x14ac:dyDescent="0.35">
      <c r="A67" s="96" t="s">
        <v>1290</v>
      </c>
      <c r="B67" s="96" t="s">
        <v>1291</v>
      </c>
      <c r="C67" s="95" t="s">
        <v>1292</v>
      </c>
      <c r="D67" s="97">
        <v>0</v>
      </c>
      <c r="E67" s="97">
        <v>0</v>
      </c>
      <c r="F67" s="97">
        <v>0</v>
      </c>
      <c r="G67" s="97">
        <v>0</v>
      </c>
      <c r="H67" s="97">
        <v>0</v>
      </c>
      <c r="I67" s="97">
        <v>0</v>
      </c>
      <c r="J67" s="97">
        <v>0</v>
      </c>
      <c r="K67" s="97">
        <v>0</v>
      </c>
    </row>
    <row r="68" spans="1:11" x14ac:dyDescent="0.35">
      <c r="A68" s="96" t="s">
        <v>1293</v>
      </c>
      <c r="B68" s="96" t="s">
        <v>1294</v>
      </c>
      <c r="C68" s="95" t="s">
        <v>1295</v>
      </c>
      <c r="D68" s="97">
        <v>0</v>
      </c>
      <c r="E68" s="97">
        <v>0</v>
      </c>
      <c r="F68" s="97">
        <v>0</v>
      </c>
      <c r="G68" s="97">
        <v>0</v>
      </c>
      <c r="H68" s="97">
        <v>0</v>
      </c>
      <c r="I68" s="97">
        <v>0</v>
      </c>
      <c r="J68" s="97">
        <v>0</v>
      </c>
      <c r="K68" s="97">
        <v>0</v>
      </c>
    </row>
    <row r="69" spans="1:11" x14ac:dyDescent="0.35">
      <c r="A69" s="101">
        <v>2</v>
      </c>
      <c r="B69" s="101" t="s">
        <v>1296</v>
      </c>
      <c r="C69" s="102" t="s">
        <v>1297</v>
      </c>
      <c r="D69" s="103">
        <v>0</v>
      </c>
      <c r="E69" s="103">
        <v>0</v>
      </c>
      <c r="F69" s="103">
        <v>0</v>
      </c>
      <c r="G69" s="103">
        <v>0</v>
      </c>
      <c r="H69" s="103">
        <v>0</v>
      </c>
      <c r="I69" s="103">
        <v>0</v>
      </c>
      <c r="J69" s="103">
        <v>0</v>
      </c>
      <c r="K69" s="103">
        <v>0</v>
      </c>
    </row>
    <row r="70" spans="1:11" x14ac:dyDescent="0.35">
      <c r="A70" s="101">
        <v>3</v>
      </c>
      <c r="B70" s="101" t="s">
        <v>1298</v>
      </c>
      <c r="C70" s="102" t="s">
        <v>1299</v>
      </c>
      <c r="D70" s="103">
        <v>0</v>
      </c>
      <c r="E70" s="103">
        <v>0</v>
      </c>
      <c r="F70" s="103">
        <v>0</v>
      </c>
      <c r="G70" s="103">
        <v>0</v>
      </c>
      <c r="H70" s="103">
        <v>0</v>
      </c>
      <c r="I70" s="103">
        <v>0</v>
      </c>
      <c r="J70" s="103">
        <v>0</v>
      </c>
      <c r="K70" s="103">
        <v>0</v>
      </c>
    </row>
    <row r="71" spans="1:11" x14ac:dyDescent="0.35">
      <c r="A71" s="101">
        <v>4</v>
      </c>
      <c r="B71" s="101" t="s">
        <v>1300</v>
      </c>
      <c r="C71" s="102" t="s">
        <v>1301</v>
      </c>
      <c r="D71" s="103">
        <v>0</v>
      </c>
      <c r="E71" s="103">
        <v>0</v>
      </c>
      <c r="F71" s="103">
        <v>0</v>
      </c>
      <c r="G71" s="103">
        <v>0</v>
      </c>
      <c r="H71" s="103">
        <v>0</v>
      </c>
      <c r="I71" s="103">
        <v>0</v>
      </c>
      <c r="J71" s="103">
        <v>0</v>
      </c>
      <c r="K71" s="103">
        <v>0</v>
      </c>
    </row>
    <row r="72" spans="1:11" x14ac:dyDescent="0.35">
      <c r="A72" s="101" t="s">
        <v>1302</v>
      </c>
      <c r="B72" s="101" t="s">
        <v>1303</v>
      </c>
      <c r="C72" s="102" t="s">
        <v>1304</v>
      </c>
      <c r="D72" s="103">
        <v>4835.38</v>
      </c>
      <c r="E72" s="103">
        <v>0</v>
      </c>
      <c r="F72" s="103">
        <v>4835.38</v>
      </c>
      <c r="G72" s="103">
        <v>11231.25</v>
      </c>
      <c r="H72" s="103">
        <v>4835</v>
      </c>
      <c r="I72" s="103">
        <v>0</v>
      </c>
      <c r="J72" s="103">
        <v>4835</v>
      </c>
      <c r="K72" s="103">
        <v>11231</v>
      </c>
    </row>
    <row r="73" spans="1:11" x14ac:dyDescent="0.35">
      <c r="A73" s="101" t="s">
        <v>1305</v>
      </c>
      <c r="B73" s="101" t="s">
        <v>1306</v>
      </c>
      <c r="C73" s="102" t="s">
        <v>1307</v>
      </c>
      <c r="D73" s="103">
        <v>4835.38</v>
      </c>
      <c r="E73" s="103">
        <v>0</v>
      </c>
      <c r="F73" s="103">
        <v>4835.38</v>
      </c>
      <c r="G73" s="103">
        <v>11231.25</v>
      </c>
      <c r="H73" s="103">
        <v>4835</v>
      </c>
      <c r="I73" s="103">
        <v>0</v>
      </c>
      <c r="J73" s="103">
        <v>4835</v>
      </c>
      <c r="K73" s="103">
        <v>11231</v>
      </c>
    </row>
    <row r="74" spans="1:11" x14ac:dyDescent="0.35">
      <c r="A74" s="101">
        <v>2</v>
      </c>
      <c r="B74" s="101" t="s">
        <v>1308</v>
      </c>
      <c r="C74" s="102" t="s">
        <v>882</v>
      </c>
      <c r="D74" s="103">
        <v>0</v>
      </c>
      <c r="E74" s="103">
        <v>0</v>
      </c>
      <c r="F74" s="103">
        <v>0</v>
      </c>
      <c r="G74" s="103">
        <v>0</v>
      </c>
      <c r="H74" s="103">
        <v>0</v>
      </c>
      <c r="I74" s="103">
        <v>0</v>
      </c>
      <c r="J74" s="103">
        <v>0</v>
      </c>
      <c r="K74" s="103">
        <v>0</v>
      </c>
    </row>
    <row r="75" spans="1:11" x14ac:dyDescent="0.35">
      <c r="A75" s="101" t="s">
        <v>1027</v>
      </c>
      <c r="B75" s="101" t="s">
        <v>1309</v>
      </c>
      <c r="C75" s="102" t="s">
        <v>1310</v>
      </c>
      <c r="D75" s="103">
        <v>9063.41</v>
      </c>
      <c r="E75" s="103">
        <v>0</v>
      </c>
      <c r="F75" s="103">
        <v>9063.41</v>
      </c>
      <c r="G75" s="103">
        <v>12206.65</v>
      </c>
      <c r="H75" s="103">
        <v>9063</v>
      </c>
      <c r="I75" s="103">
        <v>0</v>
      </c>
      <c r="J75" s="103">
        <v>9063</v>
      </c>
      <c r="K75" s="103">
        <v>12207</v>
      </c>
    </row>
    <row r="76" spans="1:11" x14ac:dyDescent="0.35">
      <c r="A76" s="101" t="s">
        <v>1311</v>
      </c>
      <c r="B76" s="101" t="s">
        <v>1312</v>
      </c>
      <c r="C76" s="102" t="s">
        <v>1313</v>
      </c>
      <c r="D76" s="103">
        <v>6000</v>
      </c>
      <c r="E76" s="103">
        <v>0</v>
      </c>
      <c r="F76" s="103">
        <v>6000</v>
      </c>
      <c r="G76" s="103">
        <v>9000</v>
      </c>
      <c r="H76" s="103">
        <v>6000</v>
      </c>
      <c r="I76" s="103">
        <v>0</v>
      </c>
      <c r="J76" s="103">
        <v>6000</v>
      </c>
      <c r="K76" s="103">
        <v>9000</v>
      </c>
    </row>
    <row r="77" spans="1:11" x14ac:dyDescent="0.35">
      <c r="A77" s="101">
        <v>2</v>
      </c>
      <c r="B77" s="101" t="s">
        <v>1314</v>
      </c>
      <c r="C77" s="102" t="s">
        <v>1315</v>
      </c>
      <c r="D77" s="103">
        <v>3063.41</v>
      </c>
      <c r="E77" s="103">
        <v>0</v>
      </c>
      <c r="F77" s="103">
        <v>3063.41</v>
      </c>
      <c r="G77" s="103">
        <v>3206.65</v>
      </c>
      <c r="H77" s="103">
        <v>3063</v>
      </c>
      <c r="I77" s="103">
        <v>0</v>
      </c>
      <c r="J77" s="103">
        <v>3063</v>
      </c>
      <c r="K77" s="103">
        <v>3207</v>
      </c>
    </row>
    <row r="78" spans="1:11" x14ac:dyDescent="0.35">
      <c r="A78" s="101">
        <v>3</v>
      </c>
      <c r="B78" s="101" t="s">
        <v>1316</v>
      </c>
      <c r="C78" s="102" t="s">
        <v>1317</v>
      </c>
      <c r="D78" s="103">
        <v>0</v>
      </c>
      <c r="E78" s="103">
        <v>0</v>
      </c>
      <c r="F78" s="103">
        <v>0</v>
      </c>
      <c r="G78" s="103">
        <v>0</v>
      </c>
      <c r="H78" s="103">
        <v>0</v>
      </c>
      <c r="I78" s="103">
        <v>0</v>
      </c>
      <c r="J78" s="103">
        <v>0</v>
      </c>
      <c r="K78" s="103">
        <v>0</v>
      </c>
    </row>
    <row r="79" spans="1:11" x14ac:dyDescent="0.35">
      <c r="A79" s="101">
        <v>4</v>
      </c>
      <c r="B79" s="101" t="s">
        <v>1318</v>
      </c>
      <c r="C79" s="102" t="s">
        <v>1319</v>
      </c>
      <c r="D79" s="103">
        <v>0</v>
      </c>
      <c r="E79" s="103">
        <v>0</v>
      </c>
      <c r="F79" s="103">
        <v>0</v>
      </c>
      <c r="G79" s="103">
        <v>0</v>
      </c>
      <c r="H79" s="103">
        <v>0</v>
      </c>
      <c r="I79" s="103">
        <v>0</v>
      </c>
      <c r="J79" s="103">
        <v>0</v>
      </c>
      <c r="K79" s="103">
        <v>0</v>
      </c>
    </row>
  </sheetData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tabColor rgb="FF0070C0"/>
  </sheetPr>
  <dimension ref="A1:G68"/>
  <sheetViews>
    <sheetView workbookViewId="0">
      <selection activeCell="B2" sqref="B2"/>
    </sheetView>
  </sheetViews>
  <sheetFormatPr defaultColWidth="9.1796875" defaultRowHeight="14.5" x14ac:dyDescent="0.35"/>
  <cols>
    <col min="1" max="1" width="9.1796875" style="99"/>
    <col min="2" max="2" width="79.453125" style="99" bestFit="1" customWidth="1"/>
    <col min="3" max="3" width="4.453125" style="98" bestFit="1" customWidth="1"/>
    <col min="4" max="7" width="15.26953125" style="100" bestFit="1" customWidth="1"/>
    <col min="8" max="16384" width="9.1796875" style="94"/>
  </cols>
  <sheetData>
    <row r="1" spans="1:7" ht="20" x14ac:dyDescent="0.35">
      <c r="A1" s="105" t="s">
        <v>226</v>
      </c>
      <c r="B1" s="105" t="s">
        <v>232</v>
      </c>
      <c r="C1" s="104" t="s">
        <v>248</v>
      </c>
      <c r="D1" s="106" t="s">
        <v>255</v>
      </c>
      <c r="E1" s="106" t="s">
        <v>256</v>
      </c>
      <c r="F1" s="106" t="s">
        <v>233</v>
      </c>
      <c r="G1" s="106" t="s">
        <v>231</v>
      </c>
    </row>
    <row r="2" spans="1:7" x14ac:dyDescent="0.35">
      <c r="B2" s="99" t="s">
        <v>1320</v>
      </c>
      <c r="C2" s="98" t="s">
        <v>883</v>
      </c>
      <c r="D2" s="100">
        <v>715972.17</v>
      </c>
      <c r="E2" s="100">
        <v>625989.05000000005</v>
      </c>
      <c r="F2" s="100">
        <v>715971</v>
      </c>
      <c r="G2" s="100">
        <v>625989</v>
      </c>
    </row>
    <row r="3" spans="1:7" x14ac:dyDescent="0.35">
      <c r="A3" s="99" t="s">
        <v>1021</v>
      </c>
      <c r="B3" s="99" t="s">
        <v>1321</v>
      </c>
      <c r="C3" s="98" t="s">
        <v>1322</v>
      </c>
      <c r="D3" s="97">
        <v>179349.69</v>
      </c>
      <c r="E3" s="97">
        <v>141723.62</v>
      </c>
      <c r="F3" s="97">
        <v>179350</v>
      </c>
      <c r="G3" s="97">
        <v>141723</v>
      </c>
    </row>
    <row r="4" spans="1:7" x14ac:dyDescent="0.35">
      <c r="A4" s="99" t="s">
        <v>1161</v>
      </c>
      <c r="B4" s="99" t="s">
        <v>1323</v>
      </c>
      <c r="C4" s="98" t="s">
        <v>884</v>
      </c>
      <c r="D4" s="100">
        <v>5000</v>
      </c>
      <c r="E4" s="100">
        <v>5000</v>
      </c>
      <c r="F4" s="100">
        <v>5000</v>
      </c>
      <c r="G4" s="100">
        <v>5000</v>
      </c>
    </row>
    <row r="5" spans="1:7" x14ac:dyDescent="0.35">
      <c r="A5" s="99" t="s">
        <v>1324</v>
      </c>
      <c r="B5" s="99" t="s">
        <v>1325</v>
      </c>
      <c r="C5" s="98" t="s">
        <v>886</v>
      </c>
      <c r="D5" s="100">
        <v>5000</v>
      </c>
      <c r="E5" s="100">
        <v>5000</v>
      </c>
      <c r="F5" s="100">
        <v>5000</v>
      </c>
      <c r="G5" s="100">
        <v>5000</v>
      </c>
    </row>
    <row r="6" spans="1:7" x14ac:dyDescent="0.35">
      <c r="A6" s="99">
        <v>2</v>
      </c>
      <c r="B6" s="99" t="s">
        <v>1326</v>
      </c>
      <c r="C6" s="98" t="s">
        <v>1327</v>
      </c>
      <c r="D6" s="100">
        <v>0</v>
      </c>
      <c r="E6" s="100">
        <v>0</v>
      </c>
      <c r="F6" s="100">
        <v>0</v>
      </c>
      <c r="G6" s="100">
        <v>0</v>
      </c>
    </row>
    <row r="7" spans="1:7" x14ac:dyDescent="0.35">
      <c r="A7" s="99">
        <v>3</v>
      </c>
      <c r="B7" s="99" t="s">
        <v>1328</v>
      </c>
      <c r="C7" s="98" t="s">
        <v>1329</v>
      </c>
      <c r="D7" s="100">
        <v>0</v>
      </c>
      <c r="E7" s="100">
        <v>0</v>
      </c>
      <c r="F7" s="100">
        <v>0</v>
      </c>
      <c r="G7" s="100">
        <v>0</v>
      </c>
    </row>
    <row r="8" spans="1:7" x14ac:dyDescent="0.35">
      <c r="A8" s="99" t="s">
        <v>1179</v>
      </c>
      <c r="B8" s="99" t="s">
        <v>1330</v>
      </c>
      <c r="C8" s="98" t="s">
        <v>1331</v>
      </c>
      <c r="D8" s="100">
        <v>0</v>
      </c>
      <c r="E8" s="100">
        <v>0</v>
      </c>
      <c r="F8" s="100">
        <v>0</v>
      </c>
      <c r="G8" s="100">
        <v>0</v>
      </c>
    </row>
    <row r="9" spans="1:7" x14ac:dyDescent="0.35">
      <c r="A9" s="99" t="s">
        <v>1332</v>
      </c>
      <c r="B9" s="99" t="s">
        <v>1333</v>
      </c>
      <c r="C9" s="98" t="s">
        <v>1334</v>
      </c>
      <c r="D9" s="100">
        <v>22000</v>
      </c>
      <c r="E9" s="100">
        <v>22000</v>
      </c>
      <c r="F9" s="100">
        <v>22000</v>
      </c>
      <c r="G9" s="100">
        <v>22000</v>
      </c>
    </row>
    <row r="10" spans="1:7" x14ac:dyDescent="0.35">
      <c r="A10" s="99" t="s">
        <v>1335</v>
      </c>
      <c r="B10" s="99" t="s">
        <v>1336</v>
      </c>
      <c r="C10" s="98" t="s">
        <v>1337</v>
      </c>
      <c r="D10" s="100">
        <v>500</v>
      </c>
      <c r="E10" s="100">
        <v>500</v>
      </c>
      <c r="F10" s="100">
        <v>500</v>
      </c>
      <c r="G10" s="100">
        <v>500</v>
      </c>
    </row>
    <row r="11" spans="1:7" x14ac:dyDescent="0.35">
      <c r="A11" s="99" t="s">
        <v>1338</v>
      </c>
      <c r="B11" s="99" t="s">
        <v>1339</v>
      </c>
      <c r="C11" s="98" t="s">
        <v>1340</v>
      </c>
      <c r="D11" s="100">
        <v>500</v>
      </c>
      <c r="E11" s="100">
        <v>500</v>
      </c>
      <c r="F11" s="100">
        <v>500</v>
      </c>
      <c r="G11" s="100">
        <v>500</v>
      </c>
    </row>
    <row r="12" spans="1:7" x14ac:dyDescent="0.35">
      <c r="A12" s="99">
        <v>2</v>
      </c>
      <c r="B12" s="99" t="s">
        <v>1341</v>
      </c>
      <c r="C12" s="98" t="s">
        <v>888</v>
      </c>
      <c r="D12" s="100">
        <v>0</v>
      </c>
      <c r="E12" s="100">
        <v>0</v>
      </c>
      <c r="F12" s="100">
        <v>0</v>
      </c>
      <c r="G12" s="100">
        <v>0</v>
      </c>
    </row>
    <row r="13" spans="1:7" x14ac:dyDescent="0.35">
      <c r="A13" s="99" t="s">
        <v>1342</v>
      </c>
      <c r="B13" s="99" t="s">
        <v>1343</v>
      </c>
      <c r="C13" s="98" t="s">
        <v>1344</v>
      </c>
      <c r="D13" s="100">
        <v>0</v>
      </c>
      <c r="E13" s="100">
        <v>0</v>
      </c>
      <c r="F13" s="100">
        <v>0</v>
      </c>
      <c r="G13" s="100">
        <v>0</v>
      </c>
    </row>
    <row r="14" spans="1:7" x14ac:dyDescent="0.35">
      <c r="A14" s="99" t="s">
        <v>1345</v>
      </c>
      <c r="B14" s="99" t="s">
        <v>1346</v>
      </c>
      <c r="C14" s="98" t="s">
        <v>1347</v>
      </c>
      <c r="D14" s="100">
        <v>0</v>
      </c>
      <c r="E14" s="100">
        <v>0</v>
      </c>
      <c r="F14" s="100">
        <v>0</v>
      </c>
      <c r="G14" s="100">
        <v>0</v>
      </c>
    </row>
    <row r="15" spans="1:7" x14ac:dyDescent="0.35">
      <c r="A15" s="99">
        <v>2</v>
      </c>
      <c r="B15" s="99" t="s">
        <v>1348</v>
      </c>
      <c r="C15" s="98" t="s">
        <v>1349</v>
      </c>
      <c r="D15" s="100">
        <v>0</v>
      </c>
      <c r="E15" s="100">
        <v>0</v>
      </c>
      <c r="F15" s="100">
        <v>0</v>
      </c>
      <c r="G15" s="100">
        <v>0</v>
      </c>
    </row>
    <row r="16" spans="1:7" x14ac:dyDescent="0.35">
      <c r="A16" s="99" t="s">
        <v>1350</v>
      </c>
      <c r="B16" s="99" t="s">
        <v>1351</v>
      </c>
      <c r="C16" s="98" t="s">
        <v>1352</v>
      </c>
      <c r="D16" s="100">
        <v>0</v>
      </c>
      <c r="E16" s="100">
        <v>0</v>
      </c>
      <c r="F16" s="100">
        <v>0</v>
      </c>
      <c r="G16" s="100">
        <v>0</v>
      </c>
    </row>
    <row r="17" spans="1:7" x14ac:dyDescent="0.35">
      <c r="A17" s="99" t="s">
        <v>1353</v>
      </c>
      <c r="B17" s="99" t="s">
        <v>1354</v>
      </c>
      <c r="C17" s="98" t="s">
        <v>1355</v>
      </c>
      <c r="D17" s="100">
        <v>0</v>
      </c>
      <c r="E17" s="100">
        <v>0</v>
      </c>
      <c r="F17" s="100">
        <v>0</v>
      </c>
      <c r="G17" s="100">
        <v>0</v>
      </c>
    </row>
    <row r="18" spans="1:7" x14ac:dyDescent="0.35">
      <c r="A18" s="99">
        <v>2</v>
      </c>
      <c r="B18" s="99" t="s">
        <v>1356</v>
      </c>
      <c r="C18" s="98" t="s">
        <v>1357</v>
      </c>
      <c r="D18" s="100">
        <v>0</v>
      </c>
      <c r="E18" s="100">
        <v>0</v>
      </c>
      <c r="F18" s="100">
        <v>0</v>
      </c>
      <c r="G18" s="100">
        <v>0</v>
      </c>
    </row>
    <row r="19" spans="1:7" x14ac:dyDescent="0.35">
      <c r="A19" s="99">
        <v>3</v>
      </c>
      <c r="B19" s="99" t="s">
        <v>1358</v>
      </c>
      <c r="C19" s="98" t="s">
        <v>1359</v>
      </c>
      <c r="D19" s="100">
        <v>0</v>
      </c>
      <c r="E19" s="100">
        <v>0</v>
      </c>
      <c r="F19" s="100">
        <v>0</v>
      </c>
      <c r="G19" s="100">
        <v>0</v>
      </c>
    </row>
    <row r="20" spans="1:7" x14ac:dyDescent="0.35">
      <c r="A20" s="99" t="s">
        <v>1360</v>
      </c>
      <c r="B20" s="99" t="s">
        <v>1361</v>
      </c>
      <c r="C20" s="98" t="s">
        <v>1362</v>
      </c>
      <c r="D20" s="100">
        <v>114223.62</v>
      </c>
      <c r="E20" s="100">
        <v>85666.240000000005</v>
      </c>
      <c r="F20" s="100">
        <v>114224</v>
      </c>
      <c r="G20" s="100">
        <v>85666</v>
      </c>
    </row>
    <row r="21" spans="1:7" x14ac:dyDescent="0.35">
      <c r="A21" s="99" t="s">
        <v>1363</v>
      </c>
      <c r="B21" s="99" t="s">
        <v>1364</v>
      </c>
      <c r="C21" s="98" t="s">
        <v>1365</v>
      </c>
      <c r="D21" s="100">
        <v>114223.62</v>
      </c>
      <c r="E21" s="100">
        <v>85666.240000000005</v>
      </c>
      <c r="F21" s="100">
        <v>114224</v>
      </c>
      <c r="G21" s="100">
        <v>85666</v>
      </c>
    </row>
    <row r="22" spans="1:7" x14ac:dyDescent="0.35">
      <c r="A22" s="99">
        <v>2</v>
      </c>
      <c r="B22" s="99" t="s">
        <v>1366</v>
      </c>
      <c r="C22" s="98" t="s">
        <v>1367</v>
      </c>
      <c r="D22" s="100">
        <v>0</v>
      </c>
      <c r="E22" s="100">
        <v>0</v>
      </c>
      <c r="F22" s="100">
        <v>0</v>
      </c>
      <c r="G22" s="100">
        <v>0</v>
      </c>
    </row>
    <row r="23" spans="1:7" x14ac:dyDescent="0.35">
      <c r="A23" s="99" t="s">
        <v>1368</v>
      </c>
      <c r="B23" s="99" t="s">
        <v>1369</v>
      </c>
      <c r="C23" s="98" t="s">
        <v>1370</v>
      </c>
      <c r="D23" s="100">
        <v>37626.07</v>
      </c>
      <c r="E23" s="100">
        <v>28557.38</v>
      </c>
      <c r="F23" s="100">
        <v>37626</v>
      </c>
      <c r="G23" s="100">
        <v>28557</v>
      </c>
    </row>
    <row r="24" spans="1:7" x14ac:dyDescent="0.35">
      <c r="A24" s="99" t="s">
        <v>1024</v>
      </c>
      <c r="B24" s="99" t="s">
        <v>1371</v>
      </c>
      <c r="C24" s="98" t="s">
        <v>1372</v>
      </c>
      <c r="D24" s="100">
        <v>536622.48</v>
      </c>
      <c r="E24" s="100">
        <v>484265.43</v>
      </c>
      <c r="F24" s="100">
        <v>536621</v>
      </c>
      <c r="G24" s="100">
        <v>484266</v>
      </c>
    </row>
    <row r="25" spans="1:7" x14ac:dyDescent="0.35">
      <c r="A25" s="99" t="s">
        <v>1224</v>
      </c>
      <c r="B25" s="99" t="s">
        <v>1373</v>
      </c>
      <c r="C25" s="98" t="s">
        <v>1374</v>
      </c>
      <c r="D25" s="100">
        <v>632.49</v>
      </c>
      <c r="E25" s="100">
        <v>1688.7</v>
      </c>
      <c r="F25" s="100">
        <v>632</v>
      </c>
      <c r="G25" s="100">
        <v>1689</v>
      </c>
    </row>
    <row r="26" spans="1:7" x14ac:dyDescent="0.35">
      <c r="A26" s="99" t="s">
        <v>1227</v>
      </c>
      <c r="B26" s="99" t="s">
        <v>1375</v>
      </c>
      <c r="C26" s="98" t="s">
        <v>1376</v>
      </c>
      <c r="D26" s="100">
        <v>0</v>
      </c>
      <c r="E26" s="100">
        <v>0</v>
      </c>
      <c r="F26" s="100">
        <v>0</v>
      </c>
      <c r="G26" s="100">
        <v>0</v>
      </c>
    </row>
    <row r="27" spans="1:7" x14ac:dyDescent="0.35">
      <c r="A27" s="99" t="s">
        <v>1245</v>
      </c>
      <c r="B27" s="99" t="s">
        <v>1377</v>
      </c>
      <c r="C27" s="98" t="s">
        <v>1378</v>
      </c>
      <c r="D27" s="100">
        <v>0</v>
      </c>
      <c r="E27" s="100">
        <v>0</v>
      </c>
      <c r="F27" s="100">
        <v>0</v>
      </c>
      <c r="G27" s="100">
        <v>0</v>
      </c>
    </row>
    <row r="28" spans="1:7" x14ac:dyDescent="0.35">
      <c r="A28" s="99" t="s">
        <v>1248</v>
      </c>
      <c r="B28" s="99" t="s">
        <v>1379</v>
      </c>
      <c r="C28" s="98" t="s">
        <v>1380</v>
      </c>
      <c r="D28" s="100">
        <v>0</v>
      </c>
      <c r="E28" s="100">
        <v>0</v>
      </c>
      <c r="F28" s="100">
        <v>0</v>
      </c>
      <c r="G28" s="100">
        <v>0</v>
      </c>
    </row>
    <row r="29" spans="1:7" x14ac:dyDescent="0.35">
      <c r="A29" s="99" t="s">
        <v>1251</v>
      </c>
      <c r="B29" s="99" t="s">
        <v>1381</v>
      </c>
      <c r="C29" s="98" t="s">
        <v>1382</v>
      </c>
      <c r="D29" s="100">
        <v>0</v>
      </c>
      <c r="E29" s="100">
        <v>0</v>
      </c>
      <c r="F29" s="100">
        <v>0</v>
      </c>
      <c r="G29" s="100">
        <v>0</v>
      </c>
    </row>
    <row r="30" spans="1:7" x14ac:dyDescent="0.35">
      <c r="A30" s="99">
        <v>2</v>
      </c>
      <c r="B30" s="99" t="s">
        <v>1254</v>
      </c>
      <c r="C30" s="98" t="s">
        <v>1383</v>
      </c>
      <c r="D30" s="100">
        <v>0</v>
      </c>
      <c r="E30" s="100">
        <v>0</v>
      </c>
      <c r="F30" s="100">
        <v>0</v>
      </c>
      <c r="G30" s="100">
        <v>0</v>
      </c>
    </row>
    <row r="31" spans="1:7" x14ac:dyDescent="0.35">
      <c r="A31" s="99">
        <v>3</v>
      </c>
      <c r="B31" s="99" t="s">
        <v>1384</v>
      </c>
      <c r="C31" s="98" t="s">
        <v>1385</v>
      </c>
      <c r="D31" s="100">
        <v>0</v>
      </c>
      <c r="E31" s="100">
        <v>0</v>
      </c>
      <c r="F31" s="100">
        <v>0</v>
      </c>
      <c r="G31" s="100">
        <v>0</v>
      </c>
    </row>
    <row r="32" spans="1:7" x14ac:dyDescent="0.35">
      <c r="A32" s="99">
        <v>4</v>
      </c>
      <c r="B32" s="99" t="s">
        <v>1386</v>
      </c>
      <c r="C32" s="98" t="s">
        <v>1387</v>
      </c>
      <c r="D32" s="100">
        <v>0</v>
      </c>
      <c r="E32" s="100">
        <v>0</v>
      </c>
      <c r="F32" s="100">
        <v>0</v>
      </c>
      <c r="G32" s="100">
        <v>0</v>
      </c>
    </row>
    <row r="33" spans="1:7" x14ac:dyDescent="0.35">
      <c r="A33" s="99">
        <v>5</v>
      </c>
      <c r="B33" s="99" t="s">
        <v>1388</v>
      </c>
      <c r="C33" s="98" t="s">
        <v>1389</v>
      </c>
      <c r="D33" s="100">
        <v>0</v>
      </c>
      <c r="E33" s="100">
        <v>0</v>
      </c>
      <c r="F33" s="100">
        <v>0</v>
      </c>
      <c r="G33" s="100">
        <v>0</v>
      </c>
    </row>
    <row r="34" spans="1:7" x14ac:dyDescent="0.35">
      <c r="A34" s="99">
        <v>6</v>
      </c>
      <c r="B34" s="99" t="s">
        <v>1390</v>
      </c>
      <c r="C34" s="98" t="s">
        <v>1391</v>
      </c>
      <c r="D34" s="100">
        <v>0</v>
      </c>
      <c r="E34" s="100">
        <v>0</v>
      </c>
      <c r="F34" s="100">
        <v>0</v>
      </c>
      <c r="G34" s="100">
        <v>0</v>
      </c>
    </row>
    <row r="35" spans="1:7" x14ac:dyDescent="0.35">
      <c r="A35" s="99">
        <v>7</v>
      </c>
      <c r="B35" s="99" t="s">
        <v>1392</v>
      </c>
      <c r="C35" s="98" t="s">
        <v>1393</v>
      </c>
      <c r="D35" s="100">
        <v>0</v>
      </c>
      <c r="E35" s="100">
        <v>0</v>
      </c>
      <c r="F35" s="100">
        <v>0</v>
      </c>
      <c r="G35" s="100">
        <v>0</v>
      </c>
    </row>
    <row r="36" spans="1:7" x14ac:dyDescent="0.35">
      <c r="A36" s="99">
        <v>8</v>
      </c>
      <c r="B36" s="99" t="s">
        <v>1394</v>
      </c>
      <c r="C36" s="98" t="s">
        <v>1395</v>
      </c>
      <c r="D36" s="100">
        <v>0</v>
      </c>
      <c r="E36" s="100">
        <v>0</v>
      </c>
      <c r="F36" s="100">
        <v>0</v>
      </c>
      <c r="G36" s="100">
        <v>0</v>
      </c>
    </row>
    <row r="37" spans="1:7" x14ac:dyDescent="0.35">
      <c r="A37" s="99">
        <v>9</v>
      </c>
      <c r="B37" s="99" t="s">
        <v>1396</v>
      </c>
      <c r="C37" s="98" t="s">
        <v>1397</v>
      </c>
      <c r="D37" s="100">
        <v>632.49</v>
      </c>
      <c r="E37" s="100">
        <v>1688.7</v>
      </c>
      <c r="F37" s="100">
        <v>632</v>
      </c>
      <c r="G37" s="100">
        <v>1689</v>
      </c>
    </row>
    <row r="38" spans="1:7" x14ac:dyDescent="0.35">
      <c r="A38" s="99">
        <v>10</v>
      </c>
      <c r="B38" s="99" t="s">
        <v>1398</v>
      </c>
      <c r="C38" s="98" t="s">
        <v>1399</v>
      </c>
      <c r="D38" s="100">
        <v>0</v>
      </c>
      <c r="E38" s="100">
        <v>0</v>
      </c>
      <c r="F38" s="100">
        <v>0</v>
      </c>
      <c r="G38" s="100">
        <v>0</v>
      </c>
    </row>
    <row r="39" spans="1:7" x14ac:dyDescent="0.35">
      <c r="A39" s="99">
        <v>11</v>
      </c>
      <c r="B39" s="99" t="s">
        <v>1400</v>
      </c>
      <c r="C39" s="98" t="s">
        <v>1401</v>
      </c>
      <c r="D39" s="100">
        <v>0</v>
      </c>
      <c r="E39" s="100">
        <v>0</v>
      </c>
      <c r="F39" s="100">
        <v>0</v>
      </c>
      <c r="G39" s="100">
        <v>0</v>
      </c>
    </row>
    <row r="40" spans="1:7" x14ac:dyDescent="0.35">
      <c r="A40" s="99">
        <v>12</v>
      </c>
      <c r="B40" s="99" t="s">
        <v>1402</v>
      </c>
      <c r="C40" s="98" t="s">
        <v>1403</v>
      </c>
      <c r="D40" s="100">
        <v>0</v>
      </c>
      <c r="E40" s="100">
        <v>0</v>
      </c>
      <c r="F40" s="100">
        <v>0</v>
      </c>
      <c r="G40" s="100">
        <v>0</v>
      </c>
    </row>
    <row r="41" spans="1:7" x14ac:dyDescent="0.35">
      <c r="A41" s="99" t="s">
        <v>1404</v>
      </c>
      <c r="B41" s="99" t="s">
        <v>1405</v>
      </c>
      <c r="C41" s="98" t="s">
        <v>1406</v>
      </c>
      <c r="D41" s="100">
        <v>0</v>
      </c>
      <c r="E41" s="100">
        <v>0</v>
      </c>
      <c r="F41" s="100">
        <v>0</v>
      </c>
      <c r="G41" s="100">
        <v>0</v>
      </c>
    </row>
    <row r="42" spans="1:7" x14ac:dyDescent="0.35">
      <c r="A42" s="99" t="s">
        <v>1407</v>
      </c>
      <c r="B42" s="99" t="s">
        <v>1408</v>
      </c>
      <c r="C42" s="98" t="s">
        <v>1409</v>
      </c>
      <c r="D42" s="100">
        <v>0</v>
      </c>
      <c r="E42" s="100">
        <v>0</v>
      </c>
      <c r="F42" s="100">
        <v>0</v>
      </c>
      <c r="G42" s="100">
        <v>0</v>
      </c>
    </row>
    <row r="43" spans="1:7" x14ac:dyDescent="0.35">
      <c r="A43" s="99">
        <v>2</v>
      </c>
      <c r="B43" s="99" t="s">
        <v>1410</v>
      </c>
      <c r="C43" s="98" t="s">
        <v>1411</v>
      </c>
      <c r="D43" s="100">
        <v>0</v>
      </c>
      <c r="E43" s="100">
        <v>0</v>
      </c>
      <c r="F43" s="100">
        <v>0</v>
      </c>
      <c r="G43" s="100">
        <v>0</v>
      </c>
    </row>
    <row r="44" spans="1:7" x14ac:dyDescent="0.35">
      <c r="A44" s="99" t="s">
        <v>1412</v>
      </c>
      <c r="B44" s="99" t="s">
        <v>1413</v>
      </c>
      <c r="C44" s="98" t="s">
        <v>1414</v>
      </c>
      <c r="D44" s="100">
        <v>0</v>
      </c>
      <c r="E44" s="100">
        <v>0</v>
      </c>
      <c r="F44" s="100">
        <v>0</v>
      </c>
      <c r="G44" s="100">
        <v>0</v>
      </c>
    </row>
    <row r="45" spans="1:7" x14ac:dyDescent="0.35">
      <c r="A45" s="99" t="s">
        <v>1415</v>
      </c>
      <c r="B45" s="99" t="s">
        <v>1416</v>
      </c>
      <c r="C45" s="98" t="s">
        <v>1417</v>
      </c>
      <c r="D45" s="100">
        <v>528831.31999999995</v>
      </c>
      <c r="E45" s="100">
        <v>465942.41</v>
      </c>
      <c r="F45" s="100">
        <v>528830</v>
      </c>
      <c r="G45" s="100">
        <v>465943</v>
      </c>
    </row>
    <row r="46" spans="1:7" x14ac:dyDescent="0.35">
      <c r="A46" s="99" t="s">
        <v>1418</v>
      </c>
      <c r="B46" s="99" t="s">
        <v>1419</v>
      </c>
      <c r="C46" s="98" t="s">
        <v>1420</v>
      </c>
      <c r="D46" s="100">
        <v>490678.33</v>
      </c>
      <c r="E46" s="100">
        <v>437922.77</v>
      </c>
      <c r="F46" s="100">
        <v>490677</v>
      </c>
      <c r="G46" s="100">
        <v>437923</v>
      </c>
    </row>
    <row r="47" spans="1:7" x14ac:dyDescent="0.35">
      <c r="A47" s="99" t="s">
        <v>1245</v>
      </c>
      <c r="B47" s="99" t="s">
        <v>1421</v>
      </c>
      <c r="C47" s="98" t="s">
        <v>1422</v>
      </c>
      <c r="D47" s="100">
        <v>149135.69</v>
      </c>
      <c r="E47" s="100">
        <v>80924.460000000006</v>
      </c>
      <c r="F47" s="100">
        <v>149136</v>
      </c>
      <c r="G47" s="100">
        <v>80924</v>
      </c>
    </row>
    <row r="48" spans="1:7" x14ac:dyDescent="0.35">
      <c r="A48" s="99" t="s">
        <v>1248</v>
      </c>
      <c r="B48" s="99" t="s">
        <v>1423</v>
      </c>
      <c r="C48" s="98" t="s">
        <v>1424</v>
      </c>
      <c r="D48" s="100">
        <v>0</v>
      </c>
      <c r="E48" s="100">
        <v>0</v>
      </c>
      <c r="F48" s="100">
        <v>0</v>
      </c>
      <c r="G48" s="100">
        <v>0</v>
      </c>
    </row>
    <row r="49" spans="1:7" x14ac:dyDescent="0.35">
      <c r="A49" s="99" t="s">
        <v>1251</v>
      </c>
      <c r="B49" s="99" t="s">
        <v>1425</v>
      </c>
      <c r="C49" s="98" t="s">
        <v>1426</v>
      </c>
      <c r="D49" s="100">
        <v>341542.64</v>
      </c>
      <c r="E49" s="100">
        <v>356998.31</v>
      </c>
      <c r="F49" s="100">
        <v>341541</v>
      </c>
      <c r="G49" s="100">
        <v>356999</v>
      </c>
    </row>
    <row r="50" spans="1:7" x14ac:dyDescent="0.35">
      <c r="A50" s="99">
        <v>2</v>
      </c>
      <c r="B50" s="99" t="s">
        <v>1254</v>
      </c>
      <c r="C50" s="98" t="s">
        <v>1427</v>
      </c>
      <c r="D50" s="100">
        <v>0</v>
      </c>
      <c r="E50" s="100">
        <v>0</v>
      </c>
      <c r="F50" s="100">
        <v>0</v>
      </c>
      <c r="G50" s="100">
        <v>0</v>
      </c>
    </row>
    <row r="51" spans="1:7" x14ac:dyDescent="0.35">
      <c r="A51" s="99">
        <v>3</v>
      </c>
      <c r="B51" s="99" t="s">
        <v>1428</v>
      </c>
      <c r="C51" s="98" t="s">
        <v>1429</v>
      </c>
      <c r="D51" s="100">
        <v>0</v>
      </c>
      <c r="E51" s="100">
        <v>0</v>
      </c>
      <c r="F51" s="100">
        <v>0</v>
      </c>
      <c r="G51" s="100">
        <v>0</v>
      </c>
    </row>
    <row r="52" spans="1:7" x14ac:dyDescent="0.35">
      <c r="A52" s="99">
        <v>4</v>
      </c>
      <c r="B52" s="99" t="s">
        <v>1430</v>
      </c>
      <c r="C52" s="98" t="s">
        <v>1431</v>
      </c>
      <c r="D52" s="100">
        <v>0</v>
      </c>
      <c r="E52" s="100">
        <v>0</v>
      </c>
      <c r="F52" s="100">
        <v>0</v>
      </c>
      <c r="G52" s="100">
        <v>0</v>
      </c>
    </row>
    <row r="53" spans="1:7" x14ac:dyDescent="0.35">
      <c r="A53" s="99">
        <v>5</v>
      </c>
      <c r="B53" s="99" t="s">
        <v>1432</v>
      </c>
      <c r="C53" s="98" t="s">
        <v>1433</v>
      </c>
      <c r="D53" s="100">
        <v>0</v>
      </c>
      <c r="E53" s="100">
        <v>0</v>
      </c>
      <c r="F53" s="100">
        <v>0</v>
      </c>
      <c r="G53" s="100">
        <v>0</v>
      </c>
    </row>
    <row r="54" spans="1:7" x14ac:dyDescent="0.35">
      <c r="A54" s="99">
        <v>6</v>
      </c>
      <c r="B54" s="99" t="s">
        <v>1434</v>
      </c>
      <c r="C54" s="98" t="s">
        <v>889</v>
      </c>
      <c r="D54" s="100">
        <v>11497.11</v>
      </c>
      <c r="E54" s="100">
        <v>10486.43</v>
      </c>
      <c r="F54" s="100">
        <v>11497</v>
      </c>
      <c r="G54" s="100">
        <v>10486</v>
      </c>
    </row>
    <row r="55" spans="1:7" x14ac:dyDescent="0.35">
      <c r="A55" s="99">
        <v>7</v>
      </c>
      <c r="B55" s="99" t="s">
        <v>1435</v>
      </c>
      <c r="C55" s="98" t="s">
        <v>890</v>
      </c>
      <c r="D55" s="100">
        <v>7399.86</v>
      </c>
      <c r="E55" s="100">
        <v>6629.51</v>
      </c>
      <c r="F55" s="100">
        <v>7400</v>
      </c>
      <c r="G55" s="100">
        <v>6630</v>
      </c>
    </row>
    <row r="56" spans="1:7" x14ac:dyDescent="0.35">
      <c r="A56" s="99">
        <v>8</v>
      </c>
      <c r="B56" s="99" t="s">
        <v>1436</v>
      </c>
      <c r="C56" s="98" t="s">
        <v>1437</v>
      </c>
      <c r="D56" s="100">
        <v>4698.72</v>
      </c>
      <c r="E56" s="100">
        <v>1392.65</v>
      </c>
      <c r="F56" s="100">
        <v>4699</v>
      </c>
      <c r="G56" s="100">
        <v>1393</v>
      </c>
    </row>
    <row r="57" spans="1:7" x14ac:dyDescent="0.35">
      <c r="A57" s="99">
        <v>9</v>
      </c>
      <c r="B57" s="99" t="s">
        <v>1438</v>
      </c>
      <c r="C57" s="98" t="s">
        <v>1439</v>
      </c>
      <c r="D57" s="100">
        <v>0</v>
      </c>
      <c r="E57" s="100">
        <v>0</v>
      </c>
      <c r="F57" s="100">
        <v>0</v>
      </c>
      <c r="G57" s="100">
        <v>0</v>
      </c>
    </row>
    <row r="58" spans="1:7" x14ac:dyDescent="0.35">
      <c r="A58" s="99">
        <v>10</v>
      </c>
      <c r="B58" s="99" t="s">
        <v>1440</v>
      </c>
      <c r="C58" s="98" t="s">
        <v>1441</v>
      </c>
      <c r="D58" s="100">
        <v>14557.3</v>
      </c>
      <c r="E58" s="100">
        <v>9511.0499999999993</v>
      </c>
      <c r="F58" s="100">
        <v>14557</v>
      </c>
      <c r="G58" s="100">
        <v>9511</v>
      </c>
    </row>
    <row r="59" spans="1:7" x14ac:dyDescent="0.35">
      <c r="A59" s="99" t="s">
        <v>1302</v>
      </c>
      <c r="B59" s="99" t="s">
        <v>1442</v>
      </c>
      <c r="C59" s="98" t="s">
        <v>1443</v>
      </c>
      <c r="D59" s="100">
        <v>7158.67</v>
      </c>
      <c r="E59" s="100">
        <v>16634.32</v>
      </c>
      <c r="F59" s="100">
        <v>7159</v>
      </c>
      <c r="G59" s="100">
        <v>16634</v>
      </c>
    </row>
    <row r="60" spans="1:7" x14ac:dyDescent="0.35">
      <c r="A60" s="99" t="s">
        <v>1305</v>
      </c>
      <c r="B60" s="99" t="s">
        <v>1444</v>
      </c>
      <c r="C60" s="98" t="s">
        <v>1445</v>
      </c>
      <c r="D60" s="100">
        <v>0</v>
      </c>
      <c r="E60" s="100">
        <v>1181</v>
      </c>
      <c r="F60" s="100">
        <v>0</v>
      </c>
      <c r="G60" s="100">
        <v>1181</v>
      </c>
    </row>
    <row r="61" spans="1:7" x14ac:dyDescent="0.35">
      <c r="A61" s="99">
        <v>2</v>
      </c>
      <c r="B61" s="99" t="s">
        <v>1446</v>
      </c>
      <c r="C61" s="98" t="s">
        <v>1447</v>
      </c>
      <c r="D61" s="100">
        <v>7158.67</v>
      </c>
      <c r="E61" s="100">
        <v>15453.32</v>
      </c>
      <c r="F61" s="100">
        <v>7159</v>
      </c>
      <c r="G61" s="100">
        <v>15453</v>
      </c>
    </row>
    <row r="62" spans="1:7" x14ac:dyDescent="0.35">
      <c r="A62" s="99" t="s">
        <v>1448</v>
      </c>
      <c r="B62" s="99" t="s">
        <v>1449</v>
      </c>
      <c r="C62" s="98" t="s">
        <v>892</v>
      </c>
      <c r="D62" s="100">
        <v>0</v>
      </c>
      <c r="E62" s="100">
        <v>0</v>
      </c>
      <c r="F62" s="100">
        <v>0</v>
      </c>
      <c r="G62" s="100">
        <v>0</v>
      </c>
    </row>
    <row r="63" spans="1:7" x14ac:dyDescent="0.35">
      <c r="A63" s="99" t="s">
        <v>1450</v>
      </c>
      <c r="B63" s="99" t="s">
        <v>1451</v>
      </c>
      <c r="C63" s="98" t="s">
        <v>1452</v>
      </c>
      <c r="D63" s="100">
        <v>0</v>
      </c>
      <c r="E63" s="100">
        <v>0</v>
      </c>
      <c r="F63" s="100">
        <v>0</v>
      </c>
      <c r="G63" s="100">
        <v>0</v>
      </c>
    </row>
    <row r="64" spans="1:7" x14ac:dyDescent="0.35">
      <c r="A64" s="99" t="s">
        <v>1027</v>
      </c>
      <c r="B64" s="99" t="s">
        <v>1453</v>
      </c>
      <c r="C64" s="98" t="s">
        <v>1454</v>
      </c>
      <c r="D64" s="100">
        <v>0</v>
      </c>
      <c r="E64" s="100">
        <v>0</v>
      </c>
      <c r="F64" s="100">
        <v>0</v>
      </c>
      <c r="G64" s="100">
        <v>0</v>
      </c>
    </row>
    <row r="65" spans="1:7" x14ac:dyDescent="0.35">
      <c r="A65" s="99" t="s">
        <v>1311</v>
      </c>
      <c r="B65" s="99" t="s">
        <v>1455</v>
      </c>
      <c r="C65" s="98" t="s">
        <v>1456</v>
      </c>
      <c r="D65" s="100">
        <v>0</v>
      </c>
      <c r="E65" s="100">
        <v>0</v>
      </c>
      <c r="F65" s="100">
        <v>0</v>
      </c>
      <c r="G65" s="100">
        <v>0</v>
      </c>
    </row>
    <row r="66" spans="1:7" x14ac:dyDescent="0.35">
      <c r="A66" s="99">
        <v>2</v>
      </c>
      <c r="B66" s="99" t="s">
        <v>1457</v>
      </c>
      <c r="C66" s="98" t="s">
        <v>1458</v>
      </c>
      <c r="D66" s="100">
        <v>0</v>
      </c>
      <c r="E66" s="100">
        <v>0</v>
      </c>
      <c r="F66" s="100">
        <v>0</v>
      </c>
      <c r="G66" s="100">
        <v>0</v>
      </c>
    </row>
    <row r="67" spans="1:7" x14ac:dyDescent="0.35">
      <c r="A67" s="99">
        <v>3</v>
      </c>
      <c r="B67" s="99" t="s">
        <v>1459</v>
      </c>
      <c r="C67" s="98" t="s">
        <v>1460</v>
      </c>
      <c r="D67" s="100">
        <v>0</v>
      </c>
      <c r="E67" s="100">
        <v>0</v>
      </c>
      <c r="F67" s="100">
        <v>0</v>
      </c>
      <c r="G67" s="100">
        <v>0</v>
      </c>
    </row>
    <row r="68" spans="1:7" x14ac:dyDescent="0.35">
      <c r="A68" s="99">
        <v>4</v>
      </c>
      <c r="B68" s="99" t="s">
        <v>1461</v>
      </c>
      <c r="C68" s="98" t="s">
        <v>1462</v>
      </c>
      <c r="D68" s="100">
        <v>0</v>
      </c>
      <c r="E68" s="100">
        <v>0</v>
      </c>
      <c r="F68" s="100">
        <v>0</v>
      </c>
      <c r="G68" s="100">
        <v>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F56DA-630E-4DB9-AB12-0D6782E75268}">
  <dimension ref="A1:A56"/>
  <sheetViews>
    <sheetView tabSelected="1" workbookViewId="0">
      <selection activeCell="B13" sqref="B13"/>
    </sheetView>
  </sheetViews>
  <sheetFormatPr defaultRowHeight="14.5" x14ac:dyDescent="0.35"/>
  <cols>
    <col min="1" max="1" width="66.90625" customWidth="1"/>
  </cols>
  <sheetData>
    <row r="1" spans="1:1" x14ac:dyDescent="0.35">
      <c r="A1" s="235" t="s">
        <v>1491</v>
      </c>
    </row>
    <row r="2" spans="1:1" x14ac:dyDescent="0.35">
      <c r="A2" s="235"/>
    </row>
    <row r="3" spans="1:1" ht="15" x14ac:dyDescent="0.35">
      <c r="A3" s="240" t="s">
        <v>1492</v>
      </c>
    </row>
    <row r="4" spans="1:1" x14ac:dyDescent="0.35">
      <c r="A4" s="237" t="s">
        <v>1493</v>
      </c>
    </row>
    <row r="5" spans="1:1" ht="26" x14ac:dyDescent="0.35">
      <c r="A5" s="239" t="s">
        <v>1494</v>
      </c>
    </row>
    <row r="6" spans="1:1" x14ac:dyDescent="0.35">
      <c r="A6" s="239" t="s">
        <v>1495</v>
      </c>
    </row>
    <row r="7" spans="1:1" x14ac:dyDescent="0.35">
      <c r="A7" s="239" t="s">
        <v>1496</v>
      </c>
    </row>
    <row r="8" spans="1:1" x14ac:dyDescent="0.35">
      <c r="A8" s="237" t="s">
        <v>1497</v>
      </c>
    </row>
    <row r="9" spans="1:1" ht="52" x14ac:dyDescent="0.35">
      <c r="A9" s="239" t="s">
        <v>1498</v>
      </c>
    </row>
    <row r="10" spans="1:1" ht="26" x14ac:dyDescent="0.35">
      <c r="A10" s="237" t="s">
        <v>1499</v>
      </c>
    </row>
    <row r="11" spans="1:1" ht="26" x14ac:dyDescent="0.35">
      <c r="A11" s="246" t="s">
        <v>1500</v>
      </c>
    </row>
    <row r="12" spans="1:1" ht="15" x14ac:dyDescent="0.35">
      <c r="A12" s="236" t="s">
        <v>1501</v>
      </c>
    </row>
    <row r="13" spans="1:1" ht="39" x14ac:dyDescent="0.35">
      <c r="A13" s="238" t="s">
        <v>1502</v>
      </c>
    </row>
    <row r="14" spans="1:1" ht="52" x14ac:dyDescent="0.35">
      <c r="A14" s="239" t="s">
        <v>1503</v>
      </c>
    </row>
    <row r="15" spans="1:1" ht="65" x14ac:dyDescent="0.35">
      <c r="A15" s="238" t="s">
        <v>1504</v>
      </c>
    </row>
    <row r="16" spans="1:1" x14ac:dyDescent="0.35">
      <c r="A16" s="247"/>
    </row>
    <row r="17" spans="1:1" ht="15" x14ac:dyDescent="0.35">
      <c r="A17" s="240" t="s">
        <v>1505</v>
      </c>
    </row>
    <row r="18" spans="1:1" x14ac:dyDescent="0.35">
      <c r="A18" s="242" t="s">
        <v>1506</v>
      </c>
    </row>
    <row r="19" spans="1:1" ht="52" x14ac:dyDescent="0.35">
      <c r="A19" s="239" t="s">
        <v>1507</v>
      </c>
    </row>
    <row r="20" spans="1:1" ht="39" x14ac:dyDescent="0.35">
      <c r="A20" s="239" t="s">
        <v>1508</v>
      </c>
    </row>
    <row r="21" spans="1:1" x14ac:dyDescent="0.35">
      <c r="A21" s="241" t="s">
        <v>1509</v>
      </c>
    </row>
    <row r="22" spans="1:1" ht="65" x14ac:dyDescent="0.35">
      <c r="A22" s="239" t="s">
        <v>1510</v>
      </c>
    </row>
    <row r="23" spans="1:1" x14ac:dyDescent="0.35">
      <c r="A23" s="239"/>
    </row>
    <row r="24" spans="1:1" x14ac:dyDescent="0.35">
      <c r="A24" s="239"/>
    </row>
    <row r="25" spans="1:1" ht="26" x14ac:dyDescent="0.35">
      <c r="A25" s="239" t="s">
        <v>1511</v>
      </c>
    </row>
    <row r="26" spans="1:1" x14ac:dyDescent="0.35">
      <c r="A26" s="239"/>
    </row>
    <row r="27" spans="1:1" x14ac:dyDescent="0.35">
      <c r="A27" s="243" t="s">
        <v>1512</v>
      </c>
    </row>
    <row r="28" spans="1:1" ht="52" x14ac:dyDescent="0.35">
      <c r="A28" s="239" t="s">
        <v>1513</v>
      </c>
    </row>
    <row r="29" spans="1:1" x14ac:dyDescent="0.35">
      <c r="A29" s="239"/>
    </row>
    <row r="30" spans="1:1" x14ac:dyDescent="0.35">
      <c r="A30" s="239" t="s">
        <v>1514</v>
      </c>
    </row>
    <row r="31" spans="1:1" x14ac:dyDescent="0.35">
      <c r="A31" s="239"/>
    </row>
    <row r="32" spans="1:1" x14ac:dyDescent="0.35">
      <c r="A32" s="243" t="s">
        <v>1515</v>
      </c>
    </row>
    <row r="33" spans="1:1" ht="52" x14ac:dyDescent="0.35">
      <c r="A33" s="239" t="s">
        <v>1516</v>
      </c>
    </row>
    <row r="34" spans="1:1" x14ac:dyDescent="0.35">
      <c r="A34" s="239"/>
    </row>
    <row r="35" spans="1:1" x14ac:dyDescent="0.35">
      <c r="A35" s="241" t="s">
        <v>1517</v>
      </c>
    </row>
    <row r="36" spans="1:1" ht="26" x14ac:dyDescent="0.35">
      <c r="A36" s="239" t="s">
        <v>1518</v>
      </c>
    </row>
    <row r="37" spans="1:1" x14ac:dyDescent="0.35">
      <c r="A37" s="244"/>
    </row>
    <row r="38" spans="1:1" x14ac:dyDescent="0.35">
      <c r="A38" s="244"/>
    </row>
    <row r="39" spans="1:1" x14ac:dyDescent="0.35">
      <c r="A39" s="241" t="s">
        <v>1519</v>
      </c>
    </row>
    <row r="40" spans="1:1" ht="26" x14ac:dyDescent="0.35">
      <c r="A40" s="239" t="s">
        <v>1520</v>
      </c>
    </row>
    <row r="41" spans="1:1" x14ac:dyDescent="0.35">
      <c r="A41" s="244"/>
    </row>
    <row r="42" spans="1:1" x14ac:dyDescent="0.35">
      <c r="A42" s="241" t="s">
        <v>1521</v>
      </c>
    </row>
    <row r="43" spans="1:1" ht="26" x14ac:dyDescent="0.35">
      <c r="A43" s="239" t="s">
        <v>1522</v>
      </c>
    </row>
    <row r="44" spans="1:1" x14ac:dyDescent="0.35">
      <c r="A44" s="244"/>
    </row>
    <row r="45" spans="1:1" x14ac:dyDescent="0.35">
      <c r="A45" s="241" t="s">
        <v>1523</v>
      </c>
    </row>
    <row r="46" spans="1:1" ht="52" x14ac:dyDescent="0.35">
      <c r="A46" s="239" t="s">
        <v>1524</v>
      </c>
    </row>
    <row r="47" spans="1:1" x14ac:dyDescent="0.35">
      <c r="A47" s="239"/>
    </row>
    <row r="48" spans="1:1" x14ac:dyDescent="0.35">
      <c r="A48" s="237" t="s">
        <v>1525</v>
      </c>
    </row>
    <row r="49" spans="1:1" ht="26" x14ac:dyDescent="0.35">
      <c r="A49" s="239" t="s">
        <v>1526</v>
      </c>
    </row>
    <row r="50" spans="1:1" x14ac:dyDescent="0.35">
      <c r="A50" s="239"/>
    </row>
    <row r="51" spans="1:1" x14ac:dyDescent="0.35">
      <c r="A51" s="239"/>
    </row>
    <row r="52" spans="1:1" x14ac:dyDescent="0.35">
      <c r="A52" s="237" t="s">
        <v>1527</v>
      </c>
    </row>
    <row r="53" spans="1:1" ht="52" x14ac:dyDescent="0.35">
      <c r="A53" s="239" t="s">
        <v>1528</v>
      </c>
    </row>
    <row r="54" spans="1:1" x14ac:dyDescent="0.35">
      <c r="A54" s="239"/>
    </row>
    <row r="55" spans="1:1" ht="30" x14ac:dyDescent="0.35">
      <c r="A55" s="245" t="s">
        <v>1529</v>
      </c>
    </row>
    <row r="56" spans="1:1" ht="39" x14ac:dyDescent="0.35">
      <c r="A56" s="239" t="s">
        <v>1530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tabColor rgb="FF0070C0"/>
  </sheetPr>
  <dimension ref="A1:K79"/>
  <sheetViews>
    <sheetView workbookViewId="0">
      <selection activeCell="B2" sqref="B2"/>
    </sheetView>
  </sheetViews>
  <sheetFormatPr defaultColWidth="9.1796875" defaultRowHeight="14.5" x14ac:dyDescent="0.35"/>
  <cols>
    <col min="1" max="1" width="8.26953125" style="99" bestFit="1" customWidth="1"/>
    <col min="2" max="2" width="63.54296875" style="99" bestFit="1" customWidth="1"/>
    <col min="3" max="3" width="4.453125" style="98" bestFit="1" customWidth="1"/>
    <col min="4" max="11" width="15.26953125" style="100" bestFit="1" customWidth="1"/>
    <col min="12" max="16384" width="9.1796875" style="94"/>
  </cols>
  <sheetData>
    <row r="1" spans="1:11" ht="20" x14ac:dyDescent="0.35">
      <c r="A1" s="105" t="s">
        <v>226</v>
      </c>
      <c r="B1" s="105" t="s">
        <v>227</v>
      </c>
      <c r="C1" s="104" t="s">
        <v>248</v>
      </c>
      <c r="D1" s="106" t="s">
        <v>251</v>
      </c>
      <c r="E1" s="106" t="s">
        <v>252</v>
      </c>
      <c r="F1" s="106" t="s">
        <v>253</v>
      </c>
      <c r="G1" s="106" t="s">
        <v>254</v>
      </c>
      <c r="H1" s="106" t="s">
        <v>228</v>
      </c>
      <c r="I1" s="106" t="s">
        <v>229</v>
      </c>
      <c r="J1" s="106" t="s">
        <v>230</v>
      </c>
      <c r="K1" s="106" t="s">
        <v>231</v>
      </c>
    </row>
    <row r="2" spans="1:11" x14ac:dyDescent="0.35">
      <c r="B2" s="99" t="s">
        <v>1157</v>
      </c>
      <c r="C2" s="98" t="s">
        <v>1158</v>
      </c>
      <c r="D2" s="100">
        <v>731386.07</v>
      </c>
      <c r="E2" s="100">
        <v>105397.02</v>
      </c>
      <c r="F2" s="100">
        <v>625989.05000000005</v>
      </c>
      <c r="G2" s="100">
        <v>589803.57999999996</v>
      </c>
      <c r="H2" s="100">
        <v>731385</v>
      </c>
      <c r="I2" s="100">
        <v>105396</v>
      </c>
      <c r="J2" s="100">
        <v>625989</v>
      </c>
      <c r="K2" s="100">
        <v>589805</v>
      </c>
    </row>
    <row r="3" spans="1:11" x14ac:dyDescent="0.35">
      <c r="A3" s="99" t="s">
        <v>1021</v>
      </c>
      <c r="B3" s="99" t="s">
        <v>1159</v>
      </c>
      <c r="C3" s="98" t="s">
        <v>1160</v>
      </c>
      <c r="D3" s="97">
        <v>126126.01</v>
      </c>
      <c r="E3" s="97">
        <v>102270.14</v>
      </c>
      <c r="F3" s="97">
        <v>23855.87</v>
      </c>
      <c r="G3" s="97">
        <v>28522.97</v>
      </c>
      <c r="H3" s="97">
        <v>126126</v>
      </c>
      <c r="I3" s="97">
        <v>102269</v>
      </c>
      <c r="J3" s="97">
        <v>23857</v>
      </c>
      <c r="K3" s="97">
        <v>28524</v>
      </c>
    </row>
    <row r="4" spans="1:11" x14ac:dyDescent="0.35">
      <c r="A4" s="99" t="s">
        <v>1161</v>
      </c>
      <c r="B4" s="99" t="s">
        <v>1162</v>
      </c>
      <c r="C4" s="98" t="s">
        <v>1163</v>
      </c>
      <c r="D4" s="100">
        <v>4621.04</v>
      </c>
      <c r="E4" s="100">
        <v>4457.82</v>
      </c>
      <c r="F4" s="100">
        <v>163.22</v>
      </c>
      <c r="G4" s="100">
        <v>443.3</v>
      </c>
      <c r="H4" s="100">
        <v>4621</v>
      </c>
      <c r="I4" s="100">
        <v>4457</v>
      </c>
      <c r="J4" s="100">
        <v>164</v>
      </c>
      <c r="K4" s="100">
        <v>444</v>
      </c>
    </row>
    <row r="5" spans="1:11" x14ac:dyDescent="0.35">
      <c r="A5" s="99" t="s">
        <v>1164</v>
      </c>
      <c r="B5" s="99" t="s">
        <v>1165</v>
      </c>
      <c r="C5" s="98" t="s">
        <v>1166</v>
      </c>
      <c r="D5" s="100">
        <v>0</v>
      </c>
      <c r="E5" s="100">
        <v>0</v>
      </c>
      <c r="F5" s="100">
        <v>0</v>
      </c>
      <c r="G5" s="100">
        <v>0</v>
      </c>
      <c r="H5" s="100">
        <v>0</v>
      </c>
      <c r="I5" s="100">
        <v>0</v>
      </c>
      <c r="J5" s="100">
        <v>0</v>
      </c>
      <c r="K5" s="100">
        <v>0</v>
      </c>
    </row>
    <row r="6" spans="1:11" x14ac:dyDescent="0.35">
      <c r="A6" s="99">
        <v>2</v>
      </c>
      <c r="B6" s="99" t="s">
        <v>1167</v>
      </c>
      <c r="C6" s="98" t="s">
        <v>1168</v>
      </c>
      <c r="D6" s="100">
        <v>2485.4899999999998</v>
      </c>
      <c r="E6" s="100">
        <v>2485.4899999999998</v>
      </c>
      <c r="F6" s="100">
        <v>0</v>
      </c>
      <c r="G6" s="100">
        <v>0</v>
      </c>
      <c r="H6" s="100">
        <v>2485</v>
      </c>
      <c r="I6" s="100">
        <v>2485</v>
      </c>
      <c r="J6" s="100">
        <v>0</v>
      </c>
      <c r="K6" s="100">
        <v>0</v>
      </c>
    </row>
    <row r="7" spans="1:11" x14ac:dyDescent="0.35">
      <c r="A7" s="99">
        <v>3</v>
      </c>
      <c r="B7" s="99" t="s">
        <v>1169</v>
      </c>
      <c r="C7" s="98" t="s">
        <v>1170</v>
      </c>
      <c r="D7" s="100">
        <v>0</v>
      </c>
      <c r="E7" s="100">
        <v>0</v>
      </c>
      <c r="F7" s="100">
        <v>0</v>
      </c>
      <c r="G7" s="100">
        <v>0</v>
      </c>
      <c r="H7" s="100">
        <v>0</v>
      </c>
      <c r="I7" s="100">
        <v>0</v>
      </c>
      <c r="J7" s="100">
        <v>0</v>
      </c>
      <c r="K7" s="100">
        <v>0</v>
      </c>
    </row>
    <row r="8" spans="1:11" x14ac:dyDescent="0.35">
      <c r="A8" s="99">
        <v>4</v>
      </c>
      <c r="B8" s="99" t="s">
        <v>1171</v>
      </c>
      <c r="C8" s="98" t="s">
        <v>1172</v>
      </c>
      <c r="D8" s="100">
        <v>0</v>
      </c>
      <c r="E8" s="100">
        <v>0</v>
      </c>
      <c r="F8" s="100">
        <v>0</v>
      </c>
      <c r="G8" s="100">
        <v>0</v>
      </c>
      <c r="H8" s="100">
        <v>0</v>
      </c>
      <c r="I8" s="100">
        <v>0</v>
      </c>
      <c r="J8" s="100">
        <v>0</v>
      </c>
      <c r="K8" s="100">
        <v>0</v>
      </c>
    </row>
    <row r="9" spans="1:11" x14ac:dyDescent="0.35">
      <c r="A9" s="99">
        <v>5</v>
      </c>
      <c r="B9" s="99" t="s">
        <v>1173</v>
      </c>
      <c r="C9" s="98" t="s">
        <v>1174</v>
      </c>
      <c r="D9" s="100">
        <v>2135.5500000000002</v>
      </c>
      <c r="E9" s="100">
        <v>1972.33</v>
      </c>
      <c r="F9" s="100">
        <v>163.22</v>
      </c>
      <c r="G9" s="100">
        <v>443.3</v>
      </c>
      <c r="H9" s="100">
        <v>2136</v>
      </c>
      <c r="I9" s="100">
        <v>1972</v>
      </c>
      <c r="J9" s="100">
        <v>164</v>
      </c>
      <c r="K9" s="100">
        <v>444</v>
      </c>
    </row>
    <row r="10" spans="1:11" x14ac:dyDescent="0.35">
      <c r="A10" s="99">
        <v>6</v>
      </c>
      <c r="B10" s="99" t="s">
        <v>1175</v>
      </c>
      <c r="C10" s="98" t="s">
        <v>1176</v>
      </c>
      <c r="D10" s="100">
        <v>0</v>
      </c>
      <c r="E10" s="100">
        <v>0</v>
      </c>
      <c r="F10" s="100">
        <v>0</v>
      </c>
      <c r="G10" s="100">
        <v>0</v>
      </c>
      <c r="H10" s="100">
        <v>0</v>
      </c>
      <c r="I10" s="100">
        <v>0</v>
      </c>
      <c r="J10" s="100">
        <v>0</v>
      </c>
      <c r="K10" s="100">
        <v>0</v>
      </c>
    </row>
    <row r="11" spans="1:11" x14ac:dyDescent="0.35">
      <c r="A11" s="99">
        <v>7</v>
      </c>
      <c r="B11" s="99" t="s">
        <v>1177</v>
      </c>
      <c r="C11" s="98" t="s">
        <v>1178</v>
      </c>
      <c r="D11" s="100">
        <v>0</v>
      </c>
      <c r="E11" s="100">
        <v>0</v>
      </c>
      <c r="F11" s="100">
        <v>0</v>
      </c>
      <c r="G11" s="100">
        <v>0</v>
      </c>
      <c r="H11" s="100">
        <v>0</v>
      </c>
      <c r="I11" s="100">
        <v>0</v>
      </c>
      <c r="J11" s="100">
        <v>0</v>
      </c>
      <c r="K11" s="100">
        <v>0</v>
      </c>
    </row>
    <row r="12" spans="1:11" x14ac:dyDescent="0.35">
      <c r="A12" s="99" t="s">
        <v>1179</v>
      </c>
      <c r="B12" s="99" t="s">
        <v>1180</v>
      </c>
      <c r="C12" s="98" t="s">
        <v>1181</v>
      </c>
      <c r="D12" s="100">
        <v>121504.97</v>
      </c>
      <c r="E12" s="100">
        <v>97812.32</v>
      </c>
      <c r="F12" s="100">
        <v>23692.65</v>
      </c>
      <c r="G12" s="100">
        <v>28079.67</v>
      </c>
      <c r="H12" s="100">
        <v>121505</v>
      </c>
      <c r="I12" s="100">
        <v>97812</v>
      </c>
      <c r="J12" s="100">
        <v>23693</v>
      </c>
      <c r="K12" s="100">
        <v>28080</v>
      </c>
    </row>
    <row r="13" spans="1:11" x14ac:dyDescent="0.35">
      <c r="A13" s="99" t="s">
        <v>1182</v>
      </c>
      <c r="B13" s="99" t="s">
        <v>1183</v>
      </c>
      <c r="C13" s="98" t="s">
        <v>1184</v>
      </c>
      <c r="D13" s="100">
        <v>0</v>
      </c>
      <c r="E13" s="100">
        <v>0</v>
      </c>
      <c r="F13" s="100">
        <v>0</v>
      </c>
      <c r="G13" s="100">
        <v>0</v>
      </c>
      <c r="H13" s="100">
        <v>0</v>
      </c>
      <c r="I13" s="100">
        <v>0</v>
      </c>
      <c r="J13" s="100">
        <v>0</v>
      </c>
      <c r="K13" s="100">
        <v>0</v>
      </c>
    </row>
    <row r="14" spans="1:11" x14ac:dyDescent="0.35">
      <c r="A14" s="99">
        <v>2</v>
      </c>
      <c r="B14" s="99" t="s">
        <v>1185</v>
      </c>
      <c r="C14" s="98" t="s">
        <v>874</v>
      </c>
      <c r="D14" s="100">
        <v>76743.69</v>
      </c>
      <c r="E14" s="100">
        <v>56341.08</v>
      </c>
      <c r="F14" s="100">
        <v>20402.61</v>
      </c>
      <c r="G14" s="100">
        <v>24239.85</v>
      </c>
      <c r="H14" s="100">
        <v>76744</v>
      </c>
      <c r="I14" s="100">
        <v>56341</v>
      </c>
      <c r="J14" s="100">
        <v>20403</v>
      </c>
      <c r="K14" s="100">
        <v>24240</v>
      </c>
    </row>
    <row r="15" spans="1:11" x14ac:dyDescent="0.35">
      <c r="A15" s="99">
        <v>3</v>
      </c>
      <c r="B15" s="99" t="s">
        <v>1186</v>
      </c>
      <c r="C15" s="98" t="s">
        <v>1187</v>
      </c>
      <c r="D15" s="100">
        <v>33768.01</v>
      </c>
      <c r="E15" s="100">
        <v>33605.75</v>
      </c>
      <c r="F15" s="100">
        <v>162.26</v>
      </c>
      <c r="G15" s="100">
        <v>2161.59</v>
      </c>
      <c r="H15" s="100">
        <v>33768</v>
      </c>
      <c r="I15" s="100">
        <v>33606</v>
      </c>
      <c r="J15" s="100">
        <v>162</v>
      </c>
      <c r="K15" s="100">
        <v>2162</v>
      </c>
    </row>
    <row r="16" spans="1:11" x14ac:dyDescent="0.35">
      <c r="A16" s="99">
        <v>4</v>
      </c>
      <c r="B16" s="99" t="s">
        <v>1188</v>
      </c>
      <c r="C16" s="98" t="s">
        <v>1189</v>
      </c>
      <c r="D16" s="100">
        <v>0</v>
      </c>
      <c r="E16" s="100">
        <v>0</v>
      </c>
      <c r="F16" s="100">
        <v>0</v>
      </c>
      <c r="G16" s="100">
        <v>0</v>
      </c>
      <c r="H16" s="100">
        <v>0</v>
      </c>
      <c r="I16" s="100">
        <v>0</v>
      </c>
      <c r="J16" s="100">
        <v>0</v>
      </c>
      <c r="K16" s="100">
        <v>0</v>
      </c>
    </row>
    <row r="17" spans="1:11" x14ac:dyDescent="0.35">
      <c r="A17" s="99">
        <v>5</v>
      </c>
      <c r="B17" s="99" t="s">
        <v>1190</v>
      </c>
      <c r="C17" s="98" t="s">
        <v>1191</v>
      </c>
      <c r="D17" s="100">
        <v>0</v>
      </c>
      <c r="E17" s="100">
        <v>0</v>
      </c>
      <c r="F17" s="100">
        <v>0</v>
      </c>
      <c r="G17" s="100">
        <v>0</v>
      </c>
      <c r="H17" s="100">
        <v>0</v>
      </c>
      <c r="I17" s="100">
        <v>0</v>
      </c>
      <c r="J17" s="100">
        <v>0</v>
      </c>
      <c r="K17" s="100">
        <v>0</v>
      </c>
    </row>
    <row r="18" spans="1:11" x14ac:dyDescent="0.35">
      <c r="A18" s="99">
        <v>6</v>
      </c>
      <c r="B18" s="99" t="s">
        <v>1192</v>
      </c>
      <c r="C18" s="98" t="s">
        <v>1193</v>
      </c>
      <c r="D18" s="100">
        <v>8603.44</v>
      </c>
      <c r="E18" s="100">
        <v>7865.49</v>
      </c>
      <c r="F18" s="100">
        <v>737.95</v>
      </c>
      <c r="G18" s="100">
        <v>917.23</v>
      </c>
      <c r="H18" s="100">
        <v>8603</v>
      </c>
      <c r="I18" s="100">
        <v>7865</v>
      </c>
      <c r="J18" s="100">
        <v>738</v>
      </c>
      <c r="K18" s="100">
        <v>917</v>
      </c>
    </row>
    <row r="19" spans="1:11" x14ac:dyDescent="0.35">
      <c r="A19" s="99">
        <v>7</v>
      </c>
      <c r="B19" s="99" t="s">
        <v>1194</v>
      </c>
      <c r="C19" s="98" t="s">
        <v>1195</v>
      </c>
      <c r="D19" s="100">
        <v>2389.83</v>
      </c>
      <c r="E19" s="100">
        <v>0</v>
      </c>
      <c r="F19" s="100">
        <v>2389.83</v>
      </c>
      <c r="G19" s="100">
        <v>761</v>
      </c>
      <c r="H19" s="100">
        <v>2390</v>
      </c>
      <c r="I19" s="100">
        <v>0</v>
      </c>
      <c r="J19" s="100">
        <v>2390</v>
      </c>
      <c r="K19" s="100">
        <v>761</v>
      </c>
    </row>
    <row r="20" spans="1:11" x14ac:dyDescent="0.35">
      <c r="A20" s="99">
        <v>8</v>
      </c>
      <c r="B20" s="99" t="s">
        <v>1196</v>
      </c>
      <c r="C20" s="98" t="s">
        <v>875</v>
      </c>
      <c r="D20" s="100">
        <v>0</v>
      </c>
      <c r="E20" s="100">
        <v>0</v>
      </c>
      <c r="F20" s="100">
        <v>0</v>
      </c>
      <c r="G20" s="100">
        <v>0</v>
      </c>
      <c r="H20" s="100">
        <v>0</v>
      </c>
      <c r="I20" s="100">
        <v>0</v>
      </c>
      <c r="J20" s="100">
        <v>0</v>
      </c>
      <c r="K20" s="100">
        <v>0</v>
      </c>
    </row>
    <row r="21" spans="1:11" x14ac:dyDescent="0.35">
      <c r="A21" s="99">
        <v>9</v>
      </c>
      <c r="B21" s="99" t="s">
        <v>1197</v>
      </c>
      <c r="C21" s="98" t="s">
        <v>1198</v>
      </c>
      <c r="D21" s="100">
        <v>0</v>
      </c>
      <c r="E21" s="100">
        <v>0</v>
      </c>
      <c r="F21" s="100">
        <v>0</v>
      </c>
      <c r="G21" s="100">
        <v>0</v>
      </c>
      <c r="H21" s="100">
        <v>0</v>
      </c>
      <c r="I21" s="100">
        <v>0</v>
      </c>
      <c r="J21" s="100">
        <v>0</v>
      </c>
      <c r="K21" s="100">
        <v>0</v>
      </c>
    </row>
    <row r="22" spans="1:11" x14ac:dyDescent="0.35">
      <c r="A22" s="99" t="s">
        <v>1199</v>
      </c>
      <c r="B22" s="99" t="s">
        <v>1200</v>
      </c>
      <c r="C22" s="98" t="s">
        <v>876</v>
      </c>
      <c r="D22" s="100">
        <v>0</v>
      </c>
      <c r="E22" s="100">
        <v>0</v>
      </c>
      <c r="F22" s="100">
        <v>0</v>
      </c>
      <c r="G22" s="100">
        <v>0</v>
      </c>
      <c r="H22" s="100">
        <v>0</v>
      </c>
      <c r="I22" s="100">
        <v>0</v>
      </c>
      <c r="J22" s="100">
        <v>0</v>
      </c>
      <c r="K22" s="100">
        <v>0</v>
      </c>
    </row>
    <row r="23" spans="1:11" x14ac:dyDescent="0.35">
      <c r="A23" s="99" t="s">
        <v>1201</v>
      </c>
      <c r="B23" s="99" t="s">
        <v>1202</v>
      </c>
      <c r="C23" s="98" t="s">
        <v>877</v>
      </c>
      <c r="D23" s="100">
        <v>0</v>
      </c>
      <c r="E23" s="100">
        <v>0</v>
      </c>
      <c r="F23" s="100">
        <v>0</v>
      </c>
      <c r="G23" s="100">
        <v>0</v>
      </c>
      <c r="H23" s="100">
        <v>0</v>
      </c>
      <c r="I23" s="100">
        <v>0</v>
      </c>
      <c r="J23" s="100">
        <v>0</v>
      </c>
      <c r="K23" s="100">
        <v>0</v>
      </c>
    </row>
    <row r="24" spans="1:11" x14ac:dyDescent="0.35">
      <c r="A24" s="99">
        <v>2</v>
      </c>
      <c r="B24" s="99" t="s">
        <v>1203</v>
      </c>
      <c r="C24" s="98" t="s">
        <v>1204</v>
      </c>
      <c r="D24" s="100">
        <v>0</v>
      </c>
      <c r="E24" s="100">
        <v>0</v>
      </c>
      <c r="F24" s="100">
        <v>0</v>
      </c>
      <c r="G24" s="100">
        <v>0</v>
      </c>
      <c r="H24" s="100">
        <v>0</v>
      </c>
      <c r="I24" s="100">
        <v>0</v>
      </c>
      <c r="J24" s="100">
        <v>0</v>
      </c>
      <c r="K24" s="100">
        <v>0</v>
      </c>
    </row>
    <row r="25" spans="1:11" x14ac:dyDescent="0.35">
      <c r="A25" s="99">
        <v>3</v>
      </c>
      <c r="B25" s="99" t="s">
        <v>1205</v>
      </c>
      <c r="C25" s="98" t="s">
        <v>1206</v>
      </c>
      <c r="D25" s="100">
        <v>0</v>
      </c>
      <c r="E25" s="100">
        <v>0</v>
      </c>
      <c r="F25" s="100">
        <v>0</v>
      </c>
      <c r="G25" s="100">
        <v>0</v>
      </c>
      <c r="H25" s="100">
        <v>0</v>
      </c>
      <c r="I25" s="100">
        <v>0</v>
      </c>
      <c r="J25" s="100">
        <v>0</v>
      </c>
      <c r="K25" s="100">
        <v>0</v>
      </c>
    </row>
    <row r="26" spans="1:11" x14ac:dyDescent="0.35">
      <c r="A26" s="99">
        <v>4</v>
      </c>
      <c r="B26" s="99" t="s">
        <v>1207</v>
      </c>
      <c r="C26" s="98" t="s">
        <v>1208</v>
      </c>
      <c r="D26" s="100">
        <v>0</v>
      </c>
      <c r="E26" s="100">
        <v>0</v>
      </c>
      <c r="F26" s="100">
        <v>0</v>
      </c>
      <c r="G26" s="100">
        <v>0</v>
      </c>
      <c r="H26" s="100">
        <v>0</v>
      </c>
      <c r="I26" s="100">
        <v>0</v>
      </c>
      <c r="J26" s="100">
        <v>0</v>
      </c>
      <c r="K26" s="100">
        <v>0</v>
      </c>
    </row>
    <row r="27" spans="1:11" x14ac:dyDescent="0.35">
      <c r="A27" s="99">
        <v>5</v>
      </c>
      <c r="B27" s="99" t="s">
        <v>1209</v>
      </c>
      <c r="C27" s="98" t="s">
        <v>1210</v>
      </c>
      <c r="D27" s="100">
        <v>0</v>
      </c>
      <c r="E27" s="100">
        <v>0</v>
      </c>
      <c r="F27" s="100">
        <v>0</v>
      </c>
      <c r="G27" s="100">
        <v>0</v>
      </c>
      <c r="H27" s="100">
        <v>0</v>
      </c>
      <c r="I27" s="100">
        <v>0</v>
      </c>
      <c r="J27" s="100">
        <v>0</v>
      </c>
      <c r="K27" s="100">
        <v>0</v>
      </c>
    </row>
    <row r="28" spans="1:11" x14ac:dyDescent="0.35">
      <c r="A28" s="99">
        <v>6</v>
      </c>
      <c r="B28" s="99" t="s">
        <v>1211</v>
      </c>
      <c r="C28" s="98" t="s">
        <v>1212</v>
      </c>
      <c r="D28" s="100">
        <v>0</v>
      </c>
      <c r="E28" s="100">
        <v>0</v>
      </c>
      <c r="F28" s="100">
        <v>0</v>
      </c>
      <c r="G28" s="100">
        <v>0</v>
      </c>
      <c r="H28" s="100">
        <v>0</v>
      </c>
      <c r="I28" s="100">
        <v>0</v>
      </c>
      <c r="J28" s="100">
        <v>0</v>
      </c>
      <c r="K28" s="100">
        <v>0</v>
      </c>
    </row>
    <row r="29" spans="1:11" x14ac:dyDescent="0.35">
      <c r="A29" s="99">
        <v>7</v>
      </c>
      <c r="B29" s="99" t="s">
        <v>1213</v>
      </c>
      <c r="C29" s="98" t="s">
        <v>1214</v>
      </c>
      <c r="D29" s="100">
        <v>0</v>
      </c>
      <c r="E29" s="100">
        <v>0</v>
      </c>
      <c r="F29" s="100">
        <v>0</v>
      </c>
      <c r="G29" s="100">
        <v>0</v>
      </c>
      <c r="H29" s="100">
        <v>0</v>
      </c>
      <c r="I29" s="100">
        <v>0</v>
      </c>
      <c r="J29" s="100">
        <v>0</v>
      </c>
      <c r="K29" s="100">
        <v>0</v>
      </c>
    </row>
    <row r="30" spans="1:11" x14ac:dyDescent="0.35">
      <c r="A30" s="99">
        <v>8</v>
      </c>
      <c r="B30" s="99" t="s">
        <v>1215</v>
      </c>
      <c r="C30" s="98" t="s">
        <v>879</v>
      </c>
      <c r="D30" s="100">
        <v>0</v>
      </c>
      <c r="E30" s="100">
        <v>0</v>
      </c>
      <c r="F30" s="100">
        <v>0</v>
      </c>
      <c r="G30" s="100">
        <v>0</v>
      </c>
      <c r="H30" s="100">
        <v>0</v>
      </c>
      <c r="I30" s="100">
        <v>0</v>
      </c>
      <c r="J30" s="100">
        <v>0</v>
      </c>
      <c r="K30" s="100">
        <v>0</v>
      </c>
    </row>
    <row r="31" spans="1:11" x14ac:dyDescent="0.35">
      <c r="A31" s="99">
        <v>9</v>
      </c>
      <c r="B31" s="99" t="s">
        <v>1216</v>
      </c>
      <c r="C31" s="98" t="s">
        <v>1217</v>
      </c>
      <c r="D31" s="100">
        <v>0</v>
      </c>
      <c r="E31" s="100">
        <v>0</v>
      </c>
      <c r="F31" s="100">
        <v>0</v>
      </c>
      <c r="G31" s="100">
        <v>0</v>
      </c>
      <c r="H31" s="100">
        <v>0</v>
      </c>
      <c r="I31" s="100">
        <v>0</v>
      </c>
      <c r="J31" s="100">
        <v>0</v>
      </c>
      <c r="K31" s="100">
        <v>0</v>
      </c>
    </row>
    <row r="32" spans="1:11" x14ac:dyDescent="0.35">
      <c r="A32" s="99">
        <v>10</v>
      </c>
      <c r="B32" s="99" t="s">
        <v>1218</v>
      </c>
      <c r="C32" s="98" t="s">
        <v>1219</v>
      </c>
      <c r="D32" s="100">
        <v>0</v>
      </c>
      <c r="E32" s="100">
        <v>0</v>
      </c>
      <c r="F32" s="100">
        <v>0</v>
      </c>
      <c r="G32" s="100">
        <v>0</v>
      </c>
      <c r="H32" s="100">
        <v>0</v>
      </c>
      <c r="I32" s="100">
        <v>0</v>
      </c>
      <c r="J32" s="100">
        <v>0</v>
      </c>
      <c r="K32" s="100">
        <v>0</v>
      </c>
    </row>
    <row r="33" spans="1:11" x14ac:dyDescent="0.35">
      <c r="A33" s="99">
        <v>11</v>
      </c>
      <c r="B33" s="99" t="s">
        <v>1220</v>
      </c>
      <c r="C33" s="98" t="s">
        <v>1221</v>
      </c>
      <c r="D33" s="100">
        <v>0</v>
      </c>
      <c r="E33" s="100">
        <v>0</v>
      </c>
      <c r="F33" s="100">
        <v>0</v>
      </c>
      <c r="G33" s="100">
        <v>0</v>
      </c>
      <c r="H33" s="100">
        <v>0</v>
      </c>
      <c r="I33" s="100">
        <v>0</v>
      </c>
      <c r="J33" s="100">
        <v>0</v>
      </c>
      <c r="K33" s="100">
        <v>0</v>
      </c>
    </row>
    <row r="34" spans="1:11" x14ac:dyDescent="0.35">
      <c r="A34" s="99" t="s">
        <v>1024</v>
      </c>
      <c r="B34" s="99" t="s">
        <v>1222</v>
      </c>
      <c r="C34" s="98" t="s">
        <v>1223</v>
      </c>
      <c r="D34" s="100">
        <v>593053.41</v>
      </c>
      <c r="E34" s="100">
        <v>3126.88</v>
      </c>
      <c r="F34" s="100">
        <v>589926.53</v>
      </c>
      <c r="G34" s="100">
        <v>546280.61</v>
      </c>
      <c r="H34" s="100">
        <v>593052</v>
      </c>
      <c r="I34" s="100">
        <v>3127</v>
      </c>
      <c r="J34" s="100">
        <v>589925</v>
      </c>
      <c r="K34" s="100">
        <v>546281</v>
      </c>
    </row>
    <row r="35" spans="1:11" x14ac:dyDescent="0.35">
      <c r="A35" s="99" t="s">
        <v>1224</v>
      </c>
      <c r="B35" s="99" t="s">
        <v>1225</v>
      </c>
      <c r="C35" s="98" t="s">
        <v>1226</v>
      </c>
      <c r="D35" s="100">
        <v>125404.45</v>
      </c>
      <c r="E35" s="100">
        <v>3126.88</v>
      </c>
      <c r="F35" s="100">
        <v>122277.57</v>
      </c>
      <c r="G35" s="100">
        <v>113737.77</v>
      </c>
      <c r="H35" s="100">
        <v>125404</v>
      </c>
      <c r="I35" s="100">
        <v>3127</v>
      </c>
      <c r="J35" s="100">
        <v>122277</v>
      </c>
      <c r="K35" s="100">
        <v>113738</v>
      </c>
    </row>
    <row r="36" spans="1:11" x14ac:dyDescent="0.35">
      <c r="A36" s="99" t="s">
        <v>1227</v>
      </c>
      <c r="B36" s="99" t="s">
        <v>1228</v>
      </c>
      <c r="C36" s="98" t="s">
        <v>1229</v>
      </c>
      <c r="D36" s="100">
        <v>0</v>
      </c>
      <c r="E36" s="100">
        <v>0</v>
      </c>
      <c r="F36" s="100">
        <v>0</v>
      </c>
      <c r="G36" s="100">
        <v>0</v>
      </c>
      <c r="H36" s="100">
        <v>0</v>
      </c>
      <c r="I36" s="100">
        <v>0</v>
      </c>
      <c r="J36" s="100">
        <v>0</v>
      </c>
      <c r="K36" s="100">
        <v>0</v>
      </c>
    </row>
    <row r="37" spans="1:11" x14ac:dyDescent="0.35">
      <c r="A37" s="99">
        <v>2</v>
      </c>
      <c r="B37" s="99" t="s">
        <v>1230</v>
      </c>
      <c r="C37" s="98" t="s">
        <v>1231</v>
      </c>
      <c r="D37" s="100">
        <v>0</v>
      </c>
      <c r="E37" s="100">
        <v>0</v>
      </c>
      <c r="F37" s="100">
        <v>0</v>
      </c>
      <c r="G37" s="100">
        <v>0</v>
      </c>
      <c r="H37" s="100">
        <v>0</v>
      </c>
      <c r="I37" s="100">
        <v>0</v>
      </c>
      <c r="J37" s="100">
        <v>0</v>
      </c>
      <c r="K37" s="100">
        <v>0</v>
      </c>
    </row>
    <row r="38" spans="1:11" x14ac:dyDescent="0.35">
      <c r="A38" s="99">
        <v>3</v>
      </c>
      <c r="B38" s="99" t="s">
        <v>1232</v>
      </c>
      <c r="C38" s="98" t="s">
        <v>1233</v>
      </c>
      <c r="D38" s="100">
        <v>0</v>
      </c>
      <c r="E38" s="100">
        <v>0</v>
      </c>
      <c r="F38" s="100">
        <v>0</v>
      </c>
      <c r="G38" s="100">
        <v>0</v>
      </c>
      <c r="H38" s="100">
        <v>0</v>
      </c>
      <c r="I38" s="100">
        <v>0</v>
      </c>
      <c r="J38" s="100">
        <v>0</v>
      </c>
      <c r="K38" s="100">
        <v>0</v>
      </c>
    </row>
    <row r="39" spans="1:11" x14ac:dyDescent="0.35">
      <c r="A39" s="99">
        <v>4</v>
      </c>
      <c r="B39" s="99" t="s">
        <v>1234</v>
      </c>
      <c r="C39" s="98" t="s">
        <v>1235</v>
      </c>
      <c r="D39" s="100">
        <v>0</v>
      </c>
      <c r="E39" s="100">
        <v>0</v>
      </c>
      <c r="F39" s="100">
        <v>0</v>
      </c>
      <c r="G39" s="100">
        <v>0</v>
      </c>
      <c r="H39" s="100">
        <v>0</v>
      </c>
      <c r="I39" s="100">
        <v>0</v>
      </c>
      <c r="J39" s="100">
        <v>0</v>
      </c>
      <c r="K39" s="100">
        <v>0</v>
      </c>
    </row>
    <row r="40" spans="1:11" x14ac:dyDescent="0.35">
      <c r="A40" s="99">
        <v>5</v>
      </c>
      <c r="B40" s="99" t="s">
        <v>1236</v>
      </c>
      <c r="C40" s="98" t="s">
        <v>1237</v>
      </c>
      <c r="D40" s="100">
        <v>125404.45</v>
      </c>
      <c r="E40" s="100">
        <v>3126.88</v>
      </c>
      <c r="F40" s="100">
        <v>122277.57</v>
      </c>
      <c r="G40" s="100">
        <v>113737.77</v>
      </c>
      <c r="H40" s="100">
        <v>125404</v>
      </c>
      <c r="I40" s="100">
        <v>3127</v>
      </c>
      <c r="J40" s="100">
        <v>122277</v>
      </c>
      <c r="K40" s="100">
        <v>113738</v>
      </c>
    </row>
    <row r="41" spans="1:11" x14ac:dyDescent="0.35">
      <c r="A41" s="99">
        <v>6</v>
      </c>
      <c r="B41" s="99" t="s">
        <v>1238</v>
      </c>
      <c r="C41" s="98" t="s">
        <v>1239</v>
      </c>
      <c r="D41" s="100">
        <v>0</v>
      </c>
      <c r="E41" s="100">
        <v>0</v>
      </c>
      <c r="F41" s="100">
        <v>0</v>
      </c>
      <c r="G41" s="100">
        <v>0</v>
      </c>
      <c r="H41" s="100">
        <v>0</v>
      </c>
      <c r="I41" s="100">
        <v>0</v>
      </c>
      <c r="J41" s="100">
        <v>0</v>
      </c>
      <c r="K41" s="100">
        <v>0</v>
      </c>
    </row>
    <row r="42" spans="1:11" x14ac:dyDescent="0.35">
      <c r="A42" s="99" t="s">
        <v>1240</v>
      </c>
      <c r="B42" s="99" t="s">
        <v>1241</v>
      </c>
      <c r="C42" s="98" t="s">
        <v>1242</v>
      </c>
      <c r="D42" s="100">
        <v>18527.28</v>
      </c>
      <c r="E42" s="100">
        <v>0</v>
      </c>
      <c r="F42" s="100">
        <v>18527.28</v>
      </c>
      <c r="G42" s="100">
        <v>15204.68</v>
      </c>
      <c r="H42" s="100">
        <v>18527</v>
      </c>
      <c r="I42" s="100">
        <v>0</v>
      </c>
      <c r="J42" s="100">
        <v>18527</v>
      </c>
      <c r="K42" s="100">
        <v>15205</v>
      </c>
    </row>
    <row r="43" spans="1:11" x14ac:dyDescent="0.35">
      <c r="A43" s="99" t="s">
        <v>1243</v>
      </c>
      <c r="B43" s="99" t="s">
        <v>1244</v>
      </c>
      <c r="C43" s="98" t="s">
        <v>881</v>
      </c>
      <c r="D43" s="100">
        <v>15283.08</v>
      </c>
      <c r="E43" s="100">
        <v>0</v>
      </c>
      <c r="F43" s="100">
        <v>15283.08</v>
      </c>
      <c r="G43" s="100">
        <v>11166.14</v>
      </c>
      <c r="H43" s="100">
        <v>15283</v>
      </c>
      <c r="I43" s="100">
        <v>0</v>
      </c>
      <c r="J43" s="100">
        <v>15283</v>
      </c>
      <c r="K43" s="100">
        <v>11166</v>
      </c>
    </row>
    <row r="44" spans="1:11" x14ac:dyDescent="0.35">
      <c r="A44" s="99" t="s">
        <v>1245</v>
      </c>
      <c r="B44" s="99" t="s">
        <v>1246</v>
      </c>
      <c r="C44" s="98" t="s">
        <v>1247</v>
      </c>
      <c r="D44" s="100">
        <v>0</v>
      </c>
      <c r="E44" s="100">
        <v>0</v>
      </c>
      <c r="F44" s="100">
        <v>0</v>
      </c>
      <c r="G44" s="100">
        <v>0</v>
      </c>
      <c r="H44" s="100">
        <v>0</v>
      </c>
      <c r="I44" s="100">
        <v>0</v>
      </c>
      <c r="J44" s="100">
        <v>0</v>
      </c>
      <c r="K44" s="100">
        <v>0</v>
      </c>
    </row>
    <row r="45" spans="1:11" x14ac:dyDescent="0.35">
      <c r="A45" s="99" t="s">
        <v>1248</v>
      </c>
      <c r="B45" s="99" t="s">
        <v>1249</v>
      </c>
      <c r="C45" s="98" t="s">
        <v>1250</v>
      </c>
      <c r="D45" s="100">
        <v>0</v>
      </c>
      <c r="E45" s="100">
        <v>0</v>
      </c>
      <c r="F45" s="100">
        <v>0</v>
      </c>
      <c r="G45" s="100">
        <v>0</v>
      </c>
      <c r="H45" s="100">
        <v>0</v>
      </c>
      <c r="I45" s="100">
        <v>0</v>
      </c>
      <c r="J45" s="100">
        <v>0</v>
      </c>
      <c r="K45" s="100">
        <v>0</v>
      </c>
    </row>
    <row r="46" spans="1:11" x14ac:dyDescent="0.35">
      <c r="A46" s="99" t="s">
        <v>1251</v>
      </c>
      <c r="B46" s="99" t="s">
        <v>1252</v>
      </c>
      <c r="C46" s="98" t="s">
        <v>1253</v>
      </c>
      <c r="D46" s="100">
        <v>15283.08</v>
      </c>
      <c r="E46" s="100">
        <v>0</v>
      </c>
      <c r="F46" s="100">
        <v>15283.08</v>
      </c>
      <c r="G46" s="100">
        <v>11166.14</v>
      </c>
      <c r="H46" s="100">
        <v>15283</v>
      </c>
      <c r="I46" s="100">
        <v>0</v>
      </c>
      <c r="J46" s="100">
        <v>15283</v>
      </c>
      <c r="K46" s="100">
        <v>11166</v>
      </c>
    </row>
    <row r="47" spans="1:11" x14ac:dyDescent="0.35">
      <c r="A47" s="99">
        <v>2</v>
      </c>
      <c r="B47" s="99" t="s">
        <v>1254</v>
      </c>
      <c r="C47" s="98" t="s">
        <v>1255</v>
      </c>
      <c r="D47" s="100">
        <v>0</v>
      </c>
      <c r="E47" s="100">
        <v>0</v>
      </c>
      <c r="F47" s="100">
        <v>0</v>
      </c>
      <c r="G47" s="100">
        <v>0</v>
      </c>
      <c r="H47" s="100">
        <v>0</v>
      </c>
      <c r="I47" s="100">
        <v>0</v>
      </c>
      <c r="J47" s="100">
        <v>0</v>
      </c>
      <c r="K47" s="100">
        <v>0</v>
      </c>
    </row>
    <row r="48" spans="1:11" x14ac:dyDescent="0.35">
      <c r="A48" s="99">
        <v>3</v>
      </c>
      <c r="B48" s="99" t="s">
        <v>1256</v>
      </c>
      <c r="C48" s="98" t="s">
        <v>1257</v>
      </c>
      <c r="D48" s="100">
        <v>0</v>
      </c>
      <c r="E48" s="100">
        <v>0</v>
      </c>
      <c r="F48" s="100">
        <v>0</v>
      </c>
      <c r="G48" s="100">
        <v>0</v>
      </c>
      <c r="H48" s="100">
        <v>0</v>
      </c>
      <c r="I48" s="100">
        <v>0</v>
      </c>
      <c r="J48" s="100">
        <v>0</v>
      </c>
      <c r="K48" s="100">
        <v>0</v>
      </c>
    </row>
    <row r="49" spans="1:11" x14ac:dyDescent="0.35">
      <c r="A49" s="99">
        <v>4</v>
      </c>
      <c r="B49" s="99" t="s">
        <v>1258</v>
      </c>
      <c r="C49" s="98" t="s">
        <v>1259</v>
      </c>
      <c r="D49" s="100">
        <v>0</v>
      </c>
      <c r="E49" s="100">
        <v>0</v>
      </c>
      <c r="F49" s="100">
        <v>0</v>
      </c>
      <c r="G49" s="100">
        <v>0</v>
      </c>
      <c r="H49" s="100">
        <v>0</v>
      </c>
      <c r="I49" s="100">
        <v>0</v>
      </c>
      <c r="J49" s="100">
        <v>0</v>
      </c>
      <c r="K49" s="100">
        <v>0</v>
      </c>
    </row>
    <row r="50" spans="1:11" x14ac:dyDescent="0.35">
      <c r="A50" s="99">
        <v>5</v>
      </c>
      <c r="B50" s="99" t="s">
        <v>1260</v>
      </c>
      <c r="C50" s="98" t="s">
        <v>1261</v>
      </c>
      <c r="D50" s="100">
        <v>0</v>
      </c>
      <c r="E50" s="100">
        <v>0</v>
      </c>
      <c r="F50" s="100">
        <v>0</v>
      </c>
      <c r="G50" s="100">
        <v>0</v>
      </c>
      <c r="H50" s="100">
        <v>0</v>
      </c>
      <c r="I50" s="100">
        <v>0</v>
      </c>
      <c r="J50" s="100">
        <v>0</v>
      </c>
      <c r="K50" s="100">
        <v>0</v>
      </c>
    </row>
    <row r="51" spans="1:11" x14ac:dyDescent="0.35">
      <c r="A51" s="99">
        <v>6</v>
      </c>
      <c r="B51" s="99" t="s">
        <v>1262</v>
      </c>
      <c r="C51" s="98" t="s">
        <v>1263</v>
      </c>
      <c r="D51" s="100">
        <v>0</v>
      </c>
      <c r="E51" s="100">
        <v>0</v>
      </c>
      <c r="F51" s="100">
        <v>0</v>
      </c>
      <c r="G51" s="100">
        <v>0</v>
      </c>
      <c r="H51" s="100">
        <v>0</v>
      </c>
      <c r="I51" s="100">
        <v>0</v>
      </c>
      <c r="J51" s="100">
        <v>0</v>
      </c>
      <c r="K51" s="100">
        <v>0</v>
      </c>
    </row>
    <row r="52" spans="1:11" x14ac:dyDescent="0.35">
      <c r="A52" s="99">
        <v>7</v>
      </c>
      <c r="B52" s="99" t="s">
        <v>1264</v>
      </c>
      <c r="C52" s="98" t="s">
        <v>1265</v>
      </c>
      <c r="D52" s="100">
        <v>0</v>
      </c>
      <c r="E52" s="100">
        <v>0</v>
      </c>
      <c r="F52" s="100">
        <v>0</v>
      </c>
      <c r="G52" s="100">
        <v>0</v>
      </c>
      <c r="H52" s="100">
        <v>0</v>
      </c>
      <c r="I52" s="100">
        <v>0</v>
      </c>
      <c r="J52" s="100">
        <v>0</v>
      </c>
      <c r="K52" s="100">
        <v>0</v>
      </c>
    </row>
    <row r="53" spans="1:11" x14ac:dyDescent="0.35">
      <c r="A53" s="99">
        <v>8</v>
      </c>
      <c r="B53" s="99" t="s">
        <v>1266</v>
      </c>
      <c r="C53" s="98" t="s">
        <v>1267</v>
      </c>
      <c r="D53" s="100">
        <v>3244.2</v>
      </c>
      <c r="E53" s="100">
        <v>0</v>
      </c>
      <c r="F53" s="100">
        <v>3244.2</v>
      </c>
      <c r="G53" s="100">
        <v>4038.54</v>
      </c>
      <c r="H53" s="100">
        <v>3244</v>
      </c>
      <c r="I53" s="100">
        <v>0</v>
      </c>
      <c r="J53" s="100">
        <v>3244</v>
      </c>
      <c r="K53" s="100">
        <v>4039</v>
      </c>
    </row>
    <row r="54" spans="1:11" x14ac:dyDescent="0.35">
      <c r="A54" s="99" t="s">
        <v>1268</v>
      </c>
      <c r="B54" s="99" t="s">
        <v>1269</v>
      </c>
      <c r="C54" s="98" t="s">
        <v>1270</v>
      </c>
      <c r="D54" s="100">
        <v>437890.43</v>
      </c>
      <c r="E54" s="100">
        <v>0</v>
      </c>
      <c r="F54" s="100">
        <v>437890.43</v>
      </c>
      <c r="G54" s="100">
        <v>413876.81</v>
      </c>
      <c r="H54" s="100">
        <v>437890</v>
      </c>
      <c r="I54" s="100">
        <v>0</v>
      </c>
      <c r="J54" s="100">
        <v>437890</v>
      </c>
      <c r="K54" s="100">
        <v>413877</v>
      </c>
    </row>
    <row r="55" spans="1:11" x14ac:dyDescent="0.35">
      <c r="A55" s="99" t="s">
        <v>1271</v>
      </c>
      <c r="B55" s="99" t="s">
        <v>1272</v>
      </c>
      <c r="C55" s="98" t="s">
        <v>1273</v>
      </c>
      <c r="D55" s="100">
        <v>167205.68</v>
      </c>
      <c r="E55" s="100">
        <v>0</v>
      </c>
      <c r="F55" s="100">
        <v>167205.68</v>
      </c>
      <c r="G55" s="100">
        <v>122074.22</v>
      </c>
      <c r="H55" s="100">
        <v>167206</v>
      </c>
      <c r="I55" s="100">
        <v>0</v>
      </c>
      <c r="J55" s="100">
        <v>167206</v>
      </c>
      <c r="K55" s="100">
        <v>122074</v>
      </c>
    </row>
    <row r="56" spans="1:11" x14ac:dyDescent="0.35">
      <c r="A56" s="99" t="s">
        <v>1245</v>
      </c>
      <c r="B56" s="99" t="s">
        <v>1246</v>
      </c>
      <c r="C56" s="98" t="s">
        <v>1274</v>
      </c>
      <c r="D56" s="100">
        <v>38798.720000000001</v>
      </c>
      <c r="E56" s="100">
        <v>0</v>
      </c>
      <c r="F56" s="100">
        <v>38798.720000000001</v>
      </c>
      <c r="G56" s="100">
        <v>18773.830000000002</v>
      </c>
      <c r="H56" s="100">
        <v>38799</v>
      </c>
      <c r="I56" s="100">
        <v>0</v>
      </c>
      <c r="J56" s="100">
        <v>38799</v>
      </c>
      <c r="K56" s="100">
        <v>18774</v>
      </c>
    </row>
    <row r="57" spans="1:11" x14ac:dyDescent="0.35">
      <c r="A57" s="99" t="s">
        <v>1248</v>
      </c>
      <c r="B57" s="99" t="s">
        <v>1249</v>
      </c>
      <c r="C57" s="98" t="s">
        <v>1275</v>
      </c>
      <c r="D57" s="100">
        <v>0</v>
      </c>
      <c r="E57" s="100">
        <v>0</v>
      </c>
      <c r="F57" s="100">
        <v>0</v>
      </c>
      <c r="G57" s="100">
        <v>0</v>
      </c>
      <c r="H57" s="100">
        <v>0</v>
      </c>
      <c r="I57" s="100">
        <v>0</v>
      </c>
      <c r="J57" s="100">
        <v>0</v>
      </c>
      <c r="K57" s="100">
        <v>0</v>
      </c>
    </row>
    <row r="58" spans="1:11" x14ac:dyDescent="0.35">
      <c r="A58" s="99" t="s">
        <v>1251</v>
      </c>
      <c r="B58" s="99" t="s">
        <v>1252</v>
      </c>
      <c r="C58" s="98" t="s">
        <v>1276</v>
      </c>
      <c r="D58" s="100">
        <v>128406.96</v>
      </c>
      <c r="E58" s="100">
        <v>0</v>
      </c>
      <c r="F58" s="100">
        <v>128406.96</v>
      </c>
      <c r="G58" s="100">
        <v>103300.39</v>
      </c>
      <c r="H58" s="100">
        <v>128407</v>
      </c>
      <c r="I58" s="100">
        <v>0</v>
      </c>
      <c r="J58" s="100">
        <v>128407</v>
      </c>
      <c r="K58" s="100">
        <v>103300</v>
      </c>
    </row>
    <row r="59" spans="1:11" x14ac:dyDescent="0.35">
      <c r="A59" s="99">
        <v>2</v>
      </c>
      <c r="B59" s="99" t="s">
        <v>1254</v>
      </c>
      <c r="C59" s="98" t="s">
        <v>1277</v>
      </c>
      <c r="D59" s="100">
        <v>0</v>
      </c>
      <c r="E59" s="100">
        <v>0</v>
      </c>
      <c r="F59" s="100">
        <v>0</v>
      </c>
      <c r="G59" s="100">
        <v>0</v>
      </c>
      <c r="H59" s="100">
        <v>0</v>
      </c>
      <c r="I59" s="100">
        <v>0</v>
      </c>
      <c r="J59" s="100">
        <v>0</v>
      </c>
      <c r="K59" s="100">
        <v>0</v>
      </c>
    </row>
    <row r="60" spans="1:11" x14ac:dyDescent="0.35">
      <c r="A60" s="99">
        <v>3</v>
      </c>
      <c r="B60" s="99" t="s">
        <v>1256</v>
      </c>
      <c r="C60" s="98" t="s">
        <v>1278</v>
      </c>
      <c r="D60" s="100">
        <v>266909.46000000002</v>
      </c>
      <c r="E60" s="100">
        <v>0</v>
      </c>
      <c r="F60" s="100">
        <v>266909.46000000002</v>
      </c>
      <c r="G60" s="100">
        <v>291802.59000000003</v>
      </c>
      <c r="H60" s="100">
        <v>266909</v>
      </c>
      <c r="I60" s="100">
        <v>0</v>
      </c>
      <c r="J60" s="100">
        <v>266909</v>
      </c>
      <c r="K60" s="100">
        <v>291803</v>
      </c>
    </row>
    <row r="61" spans="1:11" x14ac:dyDescent="0.35">
      <c r="A61" s="99">
        <v>4</v>
      </c>
      <c r="B61" s="99" t="s">
        <v>1258</v>
      </c>
      <c r="C61" s="98" t="s">
        <v>1279</v>
      </c>
      <c r="D61" s="100">
        <v>0</v>
      </c>
      <c r="E61" s="100">
        <v>0</v>
      </c>
      <c r="F61" s="100">
        <v>0</v>
      </c>
      <c r="G61" s="100">
        <v>0</v>
      </c>
      <c r="H61" s="100">
        <v>0</v>
      </c>
      <c r="I61" s="100">
        <v>0</v>
      </c>
      <c r="J61" s="100">
        <v>0</v>
      </c>
      <c r="K61" s="100">
        <v>0</v>
      </c>
    </row>
    <row r="62" spans="1:11" x14ac:dyDescent="0.35">
      <c r="A62" s="99">
        <v>5</v>
      </c>
      <c r="B62" s="99" t="s">
        <v>1280</v>
      </c>
      <c r="C62" s="98" t="s">
        <v>1281</v>
      </c>
      <c r="D62" s="100">
        <v>0</v>
      </c>
      <c r="E62" s="100">
        <v>0</v>
      </c>
      <c r="F62" s="100">
        <v>0</v>
      </c>
      <c r="G62" s="100">
        <v>0</v>
      </c>
      <c r="H62" s="100">
        <v>0</v>
      </c>
      <c r="I62" s="100">
        <v>0</v>
      </c>
      <c r="J62" s="100">
        <v>0</v>
      </c>
      <c r="K62" s="100">
        <v>0</v>
      </c>
    </row>
    <row r="63" spans="1:11" x14ac:dyDescent="0.35">
      <c r="A63" s="99" t="s">
        <v>1282</v>
      </c>
      <c r="B63" s="99" t="s">
        <v>1283</v>
      </c>
      <c r="C63" s="98" t="s">
        <v>1284</v>
      </c>
      <c r="D63" s="100">
        <v>0</v>
      </c>
      <c r="E63" s="100">
        <v>0</v>
      </c>
      <c r="F63" s="100">
        <v>0</v>
      </c>
      <c r="G63" s="100">
        <v>0</v>
      </c>
      <c r="H63" s="100">
        <v>0</v>
      </c>
      <c r="I63" s="100">
        <v>0</v>
      </c>
      <c r="J63" s="100">
        <v>0</v>
      </c>
      <c r="K63" s="100">
        <v>0</v>
      </c>
    </row>
    <row r="64" spans="1:11" x14ac:dyDescent="0.35">
      <c r="A64" s="99">
        <v>7</v>
      </c>
      <c r="B64" s="99" t="s">
        <v>1285</v>
      </c>
      <c r="C64" s="98" t="s">
        <v>1286</v>
      </c>
      <c r="D64" s="100">
        <v>3775.29</v>
      </c>
      <c r="E64" s="100">
        <v>0</v>
      </c>
      <c r="F64" s="100">
        <v>3775.29</v>
      </c>
      <c r="G64" s="100">
        <v>0</v>
      </c>
      <c r="H64" s="100">
        <v>3775</v>
      </c>
      <c r="I64" s="100">
        <v>0</v>
      </c>
      <c r="J64" s="100">
        <v>3775</v>
      </c>
      <c r="K64" s="100">
        <v>0</v>
      </c>
    </row>
    <row r="65" spans="1:11" x14ac:dyDescent="0.35">
      <c r="A65" s="99">
        <v>8</v>
      </c>
      <c r="B65" s="99" t="s">
        <v>1262</v>
      </c>
      <c r="C65" s="98" t="s">
        <v>1287</v>
      </c>
      <c r="D65" s="100">
        <v>0</v>
      </c>
      <c r="E65" s="100">
        <v>0</v>
      </c>
      <c r="F65" s="100">
        <v>0</v>
      </c>
      <c r="G65" s="100">
        <v>0</v>
      </c>
      <c r="H65" s="100">
        <v>0</v>
      </c>
      <c r="I65" s="100">
        <v>0</v>
      </c>
      <c r="J65" s="100">
        <v>0</v>
      </c>
      <c r="K65" s="100">
        <v>0</v>
      </c>
    </row>
    <row r="66" spans="1:11" x14ac:dyDescent="0.35">
      <c r="A66" s="99">
        <v>9</v>
      </c>
      <c r="B66" s="99" t="s">
        <v>1288</v>
      </c>
      <c r="C66" s="98" t="s">
        <v>1289</v>
      </c>
      <c r="D66" s="100">
        <v>0</v>
      </c>
      <c r="E66" s="100">
        <v>0</v>
      </c>
      <c r="F66" s="100">
        <v>0</v>
      </c>
      <c r="G66" s="100">
        <v>0</v>
      </c>
      <c r="H66" s="100">
        <v>0</v>
      </c>
      <c r="I66" s="100">
        <v>0</v>
      </c>
      <c r="J66" s="100">
        <v>0</v>
      </c>
      <c r="K66" s="100">
        <v>0</v>
      </c>
    </row>
    <row r="67" spans="1:11" x14ac:dyDescent="0.35">
      <c r="A67" s="99" t="s">
        <v>1290</v>
      </c>
      <c r="B67" s="99" t="s">
        <v>1291</v>
      </c>
      <c r="C67" s="98" t="s">
        <v>1292</v>
      </c>
      <c r="D67" s="100">
        <v>0</v>
      </c>
      <c r="E67" s="100">
        <v>0</v>
      </c>
      <c r="F67" s="100">
        <v>0</v>
      </c>
      <c r="G67" s="100">
        <v>0</v>
      </c>
      <c r="H67" s="100">
        <v>0</v>
      </c>
      <c r="I67" s="100">
        <v>0</v>
      </c>
      <c r="J67" s="100">
        <v>0</v>
      </c>
      <c r="K67" s="100">
        <v>0</v>
      </c>
    </row>
    <row r="68" spans="1:11" x14ac:dyDescent="0.35">
      <c r="A68" s="99" t="s">
        <v>1293</v>
      </c>
      <c r="B68" s="99" t="s">
        <v>1294</v>
      </c>
      <c r="C68" s="98" t="s">
        <v>1295</v>
      </c>
      <c r="D68" s="100">
        <v>0</v>
      </c>
      <c r="E68" s="100">
        <v>0</v>
      </c>
      <c r="F68" s="100">
        <v>0</v>
      </c>
      <c r="G68" s="100">
        <v>0</v>
      </c>
      <c r="H68" s="100">
        <v>0</v>
      </c>
      <c r="I68" s="100">
        <v>0</v>
      </c>
      <c r="J68" s="100">
        <v>0</v>
      </c>
      <c r="K68" s="100">
        <v>0</v>
      </c>
    </row>
    <row r="69" spans="1:11" x14ac:dyDescent="0.35">
      <c r="A69" s="99">
        <v>2</v>
      </c>
      <c r="B69" s="99" t="s">
        <v>1296</v>
      </c>
      <c r="C69" s="98" t="s">
        <v>1297</v>
      </c>
      <c r="D69" s="100">
        <v>0</v>
      </c>
      <c r="E69" s="100">
        <v>0</v>
      </c>
      <c r="F69" s="100">
        <v>0</v>
      </c>
      <c r="G69" s="100">
        <v>0</v>
      </c>
      <c r="H69" s="100">
        <v>0</v>
      </c>
      <c r="I69" s="100">
        <v>0</v>
      </c>
      <c r="J69" s="100">
        <v>0</v>
      </c>
      <c r="K69" s="100">
        <v>0</v>
      </c>
    </row>
    <row r="70" spans="1:11" x14ac:dyDescent="0.35">
      <c r="A70" s="99">
        <v>3</v>
      </c>
      <c r="B70" s="99" t="s">
        <v>1298</v>
      </c>
      <c r="C70" s="98" t="s">
        <v>1299</v>
      </c>
      <c r="D70" s="100">
        <v>0</v>
      </c>
      <c r="E70" s="100">
        <v>0</v>
      </c>
      <c r="F70" s="100">
        <v>0</v>
      </c>
      <c r="G70" s="100">
        <v>0</v>
      </c>
      <c r="H70" s="100">
        <v>0</v>
      </c>
      <c r="I70" s="100">
        <v>0</v>
      </c>
      <c r="J70" s="100">
        <v>0</v>
      </c>
      <c r="K70" s="100">
        <v>0</v>
      </c>
    </row>
    <row r="71" spans="1:11" x14ac:dyDescent="0.35">
      <c r="A71" s="99">
        <v>4</v>
      </c>
      <c r="B71" s="99" t="s">
        <v>1300</v>
      </c>
      <c r="C71" s="98" t="s">
        <v>1301</v>
      </c>
      <c r="D71" s="100">
        <v>0</v>
      </c>
      <c r="E71" s="100">
        <v>0</v>
      </c>
      <c r="F71" s="100">
        <v>0</v>
      </c>
      <c r="G71" s="100">
        <v>0</v>
      </c>
      <c r="H71" s="100">
        <v>0</v>
      </c>
      <c r="I71" s="100">
        <v>0</v>
      </c>
      <c r="J71" s="100">
        <v>0</v>
      </c>
      <c r="K71" s="100">
        <v>0</v>
      </c>
    </row>
    <row r="72" spans="1:11" x14ac:dyDescent="0.35">
      <c r="A72" s="99" t="s">
        <v>1302</v>
      </c>
      <c r="B72" s="99" t="s">
        <v>1303</v>
      </c>
      <c r="C72" s="98" t="s">
        <v>1304</v>
      </c>
      <c r="D72" s="100">
        <v>11231.25</v>
      </c>
      <c r="E72" s="100">
        <v>0</v>
      </c>
      <c r="F72" s="100">
        <v>11231.25</v>
      </c>
      <c r="G72" s="100">
        <v>3461.35</v>
      </c>
      <c r="H72" s="100">
        <v>11231</v>
      </c>
      <c r="I72" s="100">
        <v>0</v>
      </c>
      <c r="J72" s="100">
        <v>11231</v>
      </c>
      <c r="K72" s="100">
        <v>3461</v>
      </c>
    </row>
    <row r="73" spans="1:11" x14ac:dyDescent="0.35">
      <c r="A73" s="99" t="s">
        <v>1305</v>
      </c>
      <c r="B73" s="99" t="s">
        <v>1306</v>
      </c>
      <c r="C73" s="98" t="s">
        <v>1307</v>
      </c>
      <c r="D73" s="100">
        <v>11231.25</v>
      </c>
      <c r="E73" s="100">
        <v>0</v>
      </c>
      <c r="F73" s="100">
        <v>11231.25</v>
      </c>
      <c r="G73" s="100">
        <v>3461.35</v>
      </c>
      <c r="H73" s="100">
        <v>11231</v>
      </c>
      <c r="I73" s="100">
        <v>0</v>
      </c>
      <c r="J73" s="100">
        <v>11231</v>
      </c>
      <c r="K73" s="100">
        <v>3461</v>
      </c>
    </row>
    <row r="74" spans="1:11" x14ac:dyDescent="0.35">
      <c r="A74" s="99">
        <v>2</v>
      </c>
      <c r="B74" s="99" t="s">
        <v>1308</v>
      </c>
      <c r="C74" s="98" t="s">
        <v>882</v>
      </c>
      <c r="D74" s="100">
        <v>0</v>
      </c>
      <c r="E74" s="100">
        <v>0</v>
      </c>
      <c r="F74" s="100">
        <v>0</v>
      </c>
      <c r="G74" s="100">
        <v>0</v>
      </c>
      <c r="H74" s="100">
        <v>0</v>
      </c>
      <c r="I74" s="100">
        <v>0</v>
      </c>
      <c r="J74" s="100">
        <v>0</v>
      </c>
      <c r="K74" s="100">
        <v>0</v>
      </c>
    </row>
    <row r="75" spans="1:11" x14ac:dyDescent="0.35">
      <c r="A75" s="99" t="s">
        <v>1027</v>
      </c>
      <c r="B75" s="99" t="s">
        <v>1309</v>
      </c>
      <c r="C75" s="98" t="s">
        <v>1310</v>
      </c>
      <c r="D75" s="100">
        <v>12206.65</v>
      </c>
      <c r="E75" s="100">
        <v>0</v>
      </c>
      <c r="F75" s="100">
        <v>12206.65</v>
      </c>
      <c r="G75" s="100">
        <v>15000</v>
      </c>
      <c r="H75" s="100">
        <v>12207</v>
      </c>
      <c r="I75" s="100">
        <v>0</v>
      </c>
      <c r="J75" s="100">
        <v>12207</v>
      </c>
      <c r="K75" s="100">
        <v>15000</v>
      </c>
    </row>
    <row r="76" spans="1:11" x14ac:dyDescent="0.35">
      <c r="A76" s="99" t="s">
        <v>1311</v>
      </c>
      <c r="B76" s="99" t="s">
        <v>1312</v>
      </c>
      <c r="C76" s="98" t="s">
        <v>1313</v>
      </c>
      <c r="D76" s="100">
        <v>9000</v>
      </c>
      <c r="E76" s="100">
        <v>0</v>
      </c>
      <c r="F76" s="100">
        <v>9000</v>
      </c>
      <c r="G76" s="100">
        <v>12000</v>
      </c>
      <c r="H76" s="100">
        <v>9000</v>
      </c>
      <c r="I76" s="100">
        <v>0</v>
      </c>
      <c r="J76" s="100">
        <v>9000</v>
      </c>
      <c r="K76" s="100">
        <v>12000</v>
      </c>
    </row>
    <row r="77" spans="1:11" x14ac:dyDescent="0.35">
      <c r="A77" s="99">
        <v>2</v>
      </c>
      <c r="B77" s="99" t="s">
        <v>1314</v>
      </c>
      <c r="C77" s="98" t="s">
        <v>1315</v>
      </c>
      <c r="D77" s="100">
        <v>3206.65</v>
      </c>
      <c r="E77" s="100">
        <v>0</v>
      </c>
      <c r="F77" s="100">
        <v>3206.65</v>
      </c>
      <c r="G77" s="100">
        <v>3000</v>
      </c>
      <c r="H77" s="100">
        <v>3207</v>
      </c>
      <c r="I77" s="100">
        <v>0</v>
      </c>
      <c r="J77" s="100">
        <v>3207</v>
      </c>
      <c r="K77" s="100">
        <v>3000</v>
      </c>
    </row>
    <row r="78" spans="1:11" x14ac:dyDescent="0.35">
      <c r="A78" s="99">
        <v>3</v>
      </c>
      <c r="B78" s="99" t="s">
        <v>1316</v>
      </c>
      <c r="C78" s="98" t="s">
        <v>1317</v>
      </c>
      <c r="D78" s="100">
        <v>0</v>
      </c>
      <c r="E78" s="100">
        <v>0</v>
      </c>
      <c r="F78" s="100">
        <v>0</v>
      </c>
      <c r="G78" s="100">
        <v>0</v>
      </c>
      <c r="H78" s="100">
        <v>0</v>
      </c>
      <c r="I78" s="100">
        <v>0</v>
      </c>
      <c r="J78" s="100">
        <v>0</v>
      </c>
      <c r="K78" s="100">
        <v>0</v>
      </c>
    </row>
    <row r="79" spans="1:11" x14ac:dyDescent="0.35">
      <c r="A79" s="99">
        <v>4</v>
      </c>
      <c r="B79" s="99" t="s">
        <v>1318</v>
      </c>
      <c r="C79" s="98" t="s">
        <v>1319</v>
      </c>
      <c r="D79" s="100">
        <v>0</v>
      </c>
      <c r="E79" s="100">
        <v>0</v>
      </c>
      <c r="F79" s="100">
        <v>0</v>
      </c>
      <c r="G79" s="100">
        <v>0</v>
      </c>
      <c r="H79" s="100">
        <v>0</v>
      </c>
      <c r="I79" s="100">
        <v>0</v>
      </c>
      <c r="J79" s="100">
        <v>0</v>
      </c>
      <c r="K79" s="100">
        <v>0</v>
      </c>
    </row>
  </sheetData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tabColor rgb="FF0070C0"/>
  </sheetPr>
  <dimension ref="A1:G68"/>
  <sheetViews>
    <sheetView workbookViewId="0">
      <selection activeCell="B2" sqref="B2"/>
    </sheetView>
  </sheetViews>
  <sheetFormatPr defaultColWidth="9.1796875" defaultRowHeight="14.5" x14ac:dyDescent="0.35"/>
  <cols>
    <col min="1" max="1" width="8.26953125" style="99" bestFit="1" customWidth="1"/>
    <col min="2" max="2" width="79.453125" style="99" bestFit="1" customWidth="1"/>
    <col min="3" max="3" width="4.453125" style="98" bestFit="1" customWidth="1"/>
    <col min="4" max="7" width="15.26953125" style="100" bestFit="1" customWidth="1"/>
    <col min="8" max="16384" width="9.1796875" style="94"/>
  </cols>
  <sheetData>
    <row r="1" spans="1:7" ht="20" x14ac:dyDescent="0.35">
      <c r="A1" s="105" t="s">
        <v>226</v>
      </c>
      <c r="B1" s="105" t="s">
        <v>232</v>
      </c>
      <c r="C1" s="104" t="s">
        <v>248</v>
      </c>
      <c r="D1" s="106" t="s">
        <v>255</v>
      </c>
      <c r="E1" s="106" t="s">
        <v>256</v>
      </c>
      <c r="F1" s="106" t="s">
        <v>233</v>
      </c>
      <c r="G1" s="106" t="s">
        <v>231</v>
      </c>
    </row>
    <row r="2" spans="1:7" x14ac:dyDescent="0.35">
      <c r="B2" s="99" t="s">
        <v>1320</v>
      </c>
      <c r="C2" s="98" t="s">
        <v>883</v>
      </c>
      <c r="D2" s="100">
        <v>625989.05000000005</v>
      </c>
      <c r="E2" s="100">
        <v>589803.57999999996</v>
      </c>
      <c r="F2" s="100">
        <v>625989</v>
      </c>
      <c r="G2" s="100">
        <v>589805</v>
      </c>
    </row>
    <row r="3" spans="1:7" x14ac:dyDescent="0.35">
      <c r="A3" s="99" t="s">
        <v>1021</v>
      </c>
      <c r="B3" s="99" t="s">
        <v>1321</v>
      </c>
      <c r="C3" s="98" t="s">
        <v>1322</v>
      </c>
      <c r="D3" s="97">
        <v>141723.62</v>
      </c>
      <c r="E3" s="97">
        <v>113166.24</v>
      </c>
      <c r="F3" s="97">
        <v>141723</v>
      </c>
      <c r="G3" s="97">
        <v>113167</v>
      </c>
    </row>
    <row r="4" spans="1:7" x14ac:dyDescent="0.35">
      <c r="A4" s="99" t="s">
        <v>1161</v>
      </c>
      <c r="B4" s="99" t="s">
        <v>1323</v>
      </c>
      <c r="C4" s="98" t="s">
        <v>884</v>
      </c>
      <c r="D4" s="100">
        <v>5000</v>
      </c>
      <c r="E4" s="100">
        <v>5000</v>
      </c>
      <c r="F4" s="100">
        <v>5000</v>
      </c>
      <c r="G4" s="100">
        <v>5000</v>
      </c>
    </row>
    <row r="5" spans="1:7" x14ac:dyDescent="0.35">
      <c r="A5" s="99" t="s">
        <v>1324</v>
      </c>
      <c r="B5" s="99" t="s">
        <v>1325</v>
      </c>
      <c r="C5" s="98" t="s">
        <v>886</v>
      </c>
      <c r="D5" s="100">
        <v>5000</v>
      </c>
      <c r="E5" s="100">
        <v>5000</v>
      </c>
      <c r="F5" s="100">
        <v>5000</v>
      </c>
      <c r="G5" s="100">
        <v>5000</v>
      </c>
    </row>
    <row r="6" spans="1:7" x14ac:dyDescent="0.35">
      <c r="A6" s="99">
        <v>2</v>
      </c>
      <c r="B6" s="99" t="s">
        <v>1326</v>
      </c>
      <c r="C6" s="98" t="s">
        <v>1327</v>
      </c>
      <c r="D6" s="100">
        <v>0</v>
      </c>
      <c r="E6" s="100">
        <v>0</v>
      </c>
      <c r="F6" s="100">
        <v>0</v>
      </c>
      <c r="G6" s="100">
        <v>0</v>
      </c>
    </row>
    <row r="7" spans="1:7" x14ac:dyDescent="0.35">
      <c r="A7" s="99">
        <v>3</v>
      </c>
      <c r="B7" s="99" t="s">
        <v>1328</v>
      </c>
      <c r="C7" s="98" t="s">
        <v>1329</v>
      </c>
      <c r="D7" s="100">
        <v>0</v>
      </c>
      <c r="E7" s="100">
        <v>0</v>
      </c>
      <c r="F7" s="100">
        <v>0</v>
      </c>
      <c r="G7" s="100">
        <v>0</v>
      </c>
    </row>
    <row r="8" spans="1:7" x14ac:dyDescent="0.35">
      <c r="A8" s="99" t="s">
        <v>1179</v>
      </c>
      <c r="B8" s="99" t="s">
        <v>1330</v>
      </c>
      <c r="C8" s="98" t="s">
        <v>1331</v>
      </c>
      <c r="D8" s="100">
        <v>0</v>
      </c>
      <c r="E8" s="100">
        <v>0</v>
      </c>
      <c r="F8" s="100">
        <v>0</v>
      </c>
      <c r="G8" s="100">
        <v>0</v>
      </c>
    </row>
    <row r="9" spans="1:7" x14ac:dyDescent="0.35">
      <c r="A9" s="99" t="s">
        <v>1332</v>
      </c>
      <c r="B9" s="99" t="s">
        <v>1333</v>
      </c>
      <c r="C9" s="98" t="s">
        <v>1334</v>
      </c>
      <c r="D9" s="100">
        <v>22000</v>
      </c>
      <c r="E9" s="100">
        <v>22000</v>
      </c>
      <c r="F9" s="100">
        <v>22000</v>
      </c>
      <c r="G9" s="100">
        <v>22000</v>
      </c>
    </row>
    <row r="10" spans="1:7" x14ac:dyDescent="0.35">
      <c r="A10" s="99" t="s">
        <v>1335</v>
      </c>
      <c r="B10" s="99" t="s">
        <v>1336</v>
      </c>
      <c r="C10" s="98" t="s">
        <v>1337</v>
      </c>
      <c r="D10" s="100">
        <v>500</v>
      </c>
      <c r="E10" s="100">
        <v>500</v>
      </c>
      <c r="F10" s="100">
        <v>500</v>
      </c>
      <c r="G10" s="100">
        <v>500</v>
      </c>
    </row>
    <row r="11" spans="1:7" x14ac:dyDescent="0.35">
      <c r="A11" s="99" t="s">
        <v>1338</v>
      </c>
      <c r="B11" s="99" t="s">
        <v>1339</v>
      </c>
      <c r="C11" s="98" t="s">
        <v>1340</v>
      </c>
      <c r="D11" s="100">
        <v>500</v>
      </c>
      <c r="E11" s="100">
        <v>500</v>
      </c>
      <c r="F11" s="100">
        <v>500</v>
      </c>
      <c r="G11" s="100">
        <v>500</v>
      </c>
    </row>
    <row r="12" spans="1:7" x14ac:dyDescent="0.35">
      <c r="A12" s="99">
        <v>2</v>
      </c>
      <c r="B12" s="99" t="s">
        <v>1341</v>
      </c>
      <c r="C12" s="98" t="s">
        <v>888</v>
      </c>
      <c r="D12" s="100">
        <v>0</v>
      </c>
      <c r="E12" s="100">
        <v>0</v>
      </c>
      <c r="F12" s="100">
        <v>0</v>
      </c>
      <c r="G12" s="100">
        <v>0</v>
      </c>
    </row>
    <row r="13" spans="1:7" x14ac:dyDescent="0.35">
      <c r="A13" s="99" t="s">
        <v>1342</v>
      </c>
      <c r="B13" s="99" t="s">
        <v>1343</v>
      </c>
      <c r="C13" s="98" t="s">
        <v>1344</v>
      </c>
      <c r="D13" s="100">
        <v>0</v>
      </c>
      <c r="E13" s="100">
        <v>0</v>
      </c>
      <c r="F13" s="100">
        <v>0</v>
      </c>
      <c r="G13" s="100">
        <v>0</v>
      </c>
    </row>
    <row r="14" spans="1:7" x14ac:dyDescent="0.35">
      <c r="A14" s="99" t="s">
        <v>1345</v>
      </c>
      <c r="B14" s="99" t="s">
        <v>1346</v>
      </c>
      <c r="C14" s="98" t="s">
        <v>1347</v>
      </c>
      <c r="D14" s="100">
        <v>0</v>
      </c>
      <c r="E14" s="100">
        <v>0</v>
      </c>
      <c r="F14" s="100">
        <v>0</v>
      </c>
      <c r="G14" s="100">
        <v>0</v>
      </c>
    </row>
    <row r="15" spans="1:7" x14ac:dyDescent="0.35">
      <c r="A15" s="99">
        <v>2</v>
      </c>
      <c r="B15" s="99" t="s">
        <v>1348</v>
      </c>
      <c r="C15" s="98" t="s">
        <v>1349</v>
      </c>
      <c r="D15" s="100">
        <v>0</v>
      </c>
      <c r="E15" s="100">
        <v>0</v>
      </c>
      <c r="F15" s="100">
        <v>0</v>
      </c>
      <c r="G15" s="100">
        <v>0</v>
      </c>
    </row>
    <row r="16" spans="1:7" x14ac:dyDescent="0.35">
      <c r="A16" s="99" t="s">
        <v>1350</v>
      </c>
      <c r="B16" s="99" t="s">
        <v>1351</v>
      </c>
      <c r="C16" s="98" t="s">
        <v>1352</v>
      </c>
      <c r="D16" s="100">
        <v>0</v>
      </c>
      <c r="E16" s="100">
        <v>0</v>
      </c>
      <c r="F16" s="100">
        <v>0</v>
      </c>
      <c r="G16" s="100">
        <v>0</v>
      </c>
    </row>
    <row r="17" spans="1:7" x14ac:dyDescent="0.35">
      <c r="A17" s="99" t="s">
        <v>1353</v>
      </c>
      <c r="B17" s="99" t="s">
        <v>1354</v>
      </c>
      <c r="C17" s="98" t="s">
        <v>1355</v>
      </c>
      <c r="D17" s="100">
        <v>0</v>
      </c>
      <c r="E17" s="100">
        <v>0</v>
      </c>
      <c r="F17" s="100">
        <v>0</v>
      </c>
      <c r="G17" s="100">
        <v>0</v>
      </c>
    </row>
    <row r="18" spans="1:7" x14ac:dyDescent="0.35">
      <c r="A18" s="99">
        <v>2</v>
      </c>
      <c r="B18" s="99" t="s">
        <v>1356</v>
      </c>
      <c r="C18" s="98" t="s">
        <v>1357</v>
      </c>
      <c r="D18" s="100">
        <v>0</v>
      </c>
      <c r="E18" s="100">
        <v>0</v>
      </c>
      <c r="F18" s="100">
        <v>0</v>
      </c>
      <c r="G18" s="100">
        <v>0</v>
      </c>
    </row>
    <row r="19" spans="1:7" x14ac:dyDescent="0.35">
      <c r="A19" s="99">
        <v>3</v>
      </c>
      <c r="B19" s="99" t="s">
        <v>1358</v>
      </c>
      <c r="C19" s="98" t="s">
        <v>1359</v>
      </c>
      <c r="D19" s="100">
        <v>0</v>
      </c>
      <c r="E19" s="100">
        <v>0</v>
      </c>
      <c r="F19" s="100">
        <v>0</v>
      </c>
      <c r="G19" s="100">
        <v>0</v>
      </c>
    </row>
    <row r="20" spans="1:7" x14ac:dyDescent="0.35">
      <c r="A20" s="99" t="s">
        <v>1360</v>
      </c>
      <c r="B20" s="99" t="s">
        <v>1361</v>
      </c>
      <c r="C20" s="98" t="s">
        <v>1362</v>
      </c>
      <c r="D20" s="100">
        <v>85666.240000000005</v>
      </c>
      <c r="E20" s="100">
        <v>39123.68</v>
      </c>
      <c r="F20" s="100">
        <v>85666</v>
      </c>
      <c r="G20" s="100">
        <v>39124</v>
      </c>
    </row>
    <row r="21" spans="1:7" x14ac:dyDescent="0.35">
      <c r="A21" s="99" t="s">
        <v>1363</v>
      </c>
      <c r="B21" s="99" t="s">
        <v>1364</v>
      </c>
      <c r="C21" s="98" t="s">
        <v>1365</v>
      </c>
      <c r="D21" s="100">
        <v>85666.240000000005</v>
      </c>
      <c r="E21" s="100">
        <v>39123.68</v>
      </c>
      <c r="F21" s="100">
        <v>85666</v>
      </c>
      <c r="G21" s="100">
        <v>39124</v>
      </c>
    </row>
    <row r="22" spans="1:7" x14ac:dyDescent="0.35">
      <c r="A22" s="99">
        <v>2</v>
      </c>
      <c r="B22" s="99" t="s">
        <v>1366</v>
      </c>
      <c r="C22" s="98" t="s">
        <v>1367</v>
      </c>
      <c r="D22" s="100">
        <v>0</v>
      </c>
      <c r="E22" s="100">
        <v>0</v>
      </c>
      <c r="F22" s="100">
        <v>0</v>
      </c>
      <c r="G22" s="100">
        <v>0</v>
      </c>
    </row>
    <row r="23" spans="1:7" x14ac:dyDescent="0.35">
      <c r="A23" s="99" t="s">
        <v>1368</v>
      </c>
      <c r="B23" s="99" t="s">
        <v>1369</v>
      </c>
      <c r="C23" s="98" t="s">
        <v>1370</v>
      </c>
      <c r="D23" s="100">
        <v>28557.38</v>
      </c>
      <c r="E23" s="100">
        <v>46542.559999999998</v>
      </c>
      <c r="F23" s="100">
        <v>28557</v>
      </c>
      <c r="G23" s="100">
        <v>46543</v>
      </c>
    </row>
    <row r="24" spans="1:7" x14ac:dyDescent="0.35">
      <c r="A24" s="99" t="s">
        <v>1024</v>
      </c>
      <c r="B24" s="99" t="s">
        <v>1371</v>
      </c>
      <c r="C24" s="98" t="s">
        <v>1372</v>
      </c>
      <c r="D24" s="100">
        <v>484265.43</v>
      </c>
      <c r="E24" s="100">
        <v>476637.34</v>
      </c>
      <c r="F24" s="100">
        <v>484266</v>
      </c>
      <c r="G24" s="100">
        <v>476638</v>
      </c>
    </row>
    <row r="25" spans="1:7" x14ac:dyDescent="0.35">
      <c r="A25" s="99" t="s">
        <v>1224</v>
      </c>
      <c r="B25" s="99" t="s">
        <v>1373</v>
      </c>
      <c r="C25" s="98" t="s">
        <v>1374</v>
      </c>
      <c r="D25" s="100">
        <v>1688.7</v>
      </c>
      <c r="E25" s="100">
        <v>1133.8399999999999</v>
      </c>
      <c r="F25" s="100">
        <v>1689</v>
      </c>
      <c r="G25" s="100">
        <v>1134</v>
      </c>
    </row>
    <row r="26" spans="1:7" x14ac:dyDescent="0.35">
      <c r="A26" s="99" t="s">
        <v>1227</v>
      </c>
      <c r="B26" s="99" t="s">
        <v>1375</v>
      </c>
      <c r="C26" s="98" t="s">
        <v>1376</v>
      </c>
      <c r="D26" s="100">
        <v>0</v>
      </c>
      <c r="E26" s="100">
        <v>0</v>
      </c>
      <c r="F26" s="100">
        <v>0</v>
      </c>
      <c r="G26" s="100">
        <v>0</v>
      </c>
    </row>
    <row r="27" spans="1:7" x14ac:dyDescent="0.35">
      <c r="A27" s="99" t="s">
        <v>1245</v>
      </c>
      <c r="B27" s="99" t="s">
        <v>1377</v>
      </c>
      <c r="C27" s="98" t="s">
        <v>1378</v>
      </c>
      <c r="D27" s="100">
        <v>0</v>
      </c>
      <c r="E27" s="100">
        <v>0</v>
      </c>
      <c r="F27" s="100">
        <v>0</v>
      </c>
      <c r="G27" s="100">
        <v>0</v>
      </c>
    </row>
    <row r="28" spans="1:7" x14ac:dyDescent="0.35">
      <c r="A28" s="99" t="s">
        <v>1248</v>
      </c>
      <c r="B28" s="99" t="s">
        <v>1379</v>
      </c>
      <c r="C28" s="98" t="s">
        <v>1380</v>
      </c>
      <c r="D28" s="100">
        <v>0</v>
      </c>
      <c r="E28" s="100">
        <v>0</v>
      </c>
      <c r="F28" s="100">
        <v>0</v>
      </c>
      <c r="G28" s="100">
        <v>0</v>
      </c>
    </row>
    <row r="29" spans="1:7" x14ac:dyDescent="0.35">
      <c r="A29" s="99" t="s">
        <v>1251</v>
      </c>
      <c r="B29" s="99" t="s">
        <v>1381</v>
      </c>
      <c r="C29" s="98" t="s">
        <v>1382</v>
      </c>
      <c r="D29" s="100">
        <v>0</v>
      </c>
      <c r="E29" s="100">
        <v>0</v>
      </c>
      <c r="F29" s="100">
        <v>0</v>
      </c>
      <c r="G29" s="100">
        <v>0</v>
      </c>
    </row>
    <row r="30" spans="1:7" x14ac:dyDescent="0.35">
      <c r="A30" s="99">
        <v>2</v>
      </c>
      <c r="B30" s="99" t="s">
        <v>1254</v>
      </c>
      <c r="C30" s="98" t="s">
        <v>1383</v>
      </c>
      <c r="D30" s="100">
        <v>0</v>
      </c>
      <c r="E30" s="100">
        <v>0</v>
      </c>
      <c r="F30" s="100">
        <v>0</v>
      </c>
      <c r="G30" s="100">
        <v>0</v>
      </c>
    </row>
    <row r="31" spans="1:7" x14ac:dyDescent="0.35">
      <c r="A31" s="99">
        <v>3</v>
      </c>
      <c r="B31" s="99" t="s">
        <v>1384</v>
      </c>
      <c r="C31" s="98" t="s">
        <v>1385</v>
      </c>
      <c r="D31" s="100">
        <v>0</v>
      </c>
      <c r="E31" s="100">
        <v>0</v>
      </c>
      <c r="F31" s="100">
        <v>0</v>
      </c>
      <c r="G31" s="100">
        <v>0</v>
      </c>
    </row>
    <row r="32" spans="1:7" x14ac:dyDescent="0.35">
      <c r="A32" s="99">
        <v>4</v>
      </c>
      <c r="B32" s="99" t="s">
        <v>1386</v>
      </c>
      <c r="C32" s="98" t="s">
        <v>1387</v>
      </c>
      <c r="D32" s="100">
        <v>0</v>
      </c>
      <c r="E32" s="100">
        <v>0</v>
      </c>
      <c r="F32" s="100">
        <v>0</v>
      </c>
      <c r="G32" s="100">
        <v>0</v>
      </c>
    </row>
    <row r="33" spans="1:7" x14ac:dyDescent="0.35">
      <c r="A33" s="99">
        <v>5</v>
      </c>
      <c r="B33" s="99" t="s">
        <v>1388</v>
      </c>
      <c r="C33" s="98" t="s">
        <v>1389</v>
      </c>
      <c r="D33" s="100">
        <v>0</v>
      </c>
      <c r="E33" s="100">
        <v>0</v>
      </c>
      <c r="F33" s="100">
        <v>0</v>
      </c>
      <c r="G33" s="100">
        <v>0</v>
      </c>
    </row>
    <row r="34" spans="1:7" x14ac:dyDescent="0.35">
      <c r="A34" s="99">
        <v>6</v>
      </c>
      <c r="B34" s="99" t="s">
        <v>1390</v>
      </c>
      <c r="C34" s="98" t="s">
        <v>1391</v>
      </c>
      <c r="D34" s="100">
        <v>0</v>
      </c>
      <c r="E34" s="100">
        <v>0</v>
      </c>
      <c r="F34" s="100">
        <v>0</v>
      </c>
      <c r="G34" s="100">
        <v>0</v>
      </c>
    </row>
    <row r="35" spans="1:7" x14ac:dyDescent="0.35">
      <c r="A35" s="99">
        <v>7</v>
      </c>
      <c r="B35" s="99" t="s">
        <v>1392</v>
      </c>
      <c r="C35" s="98" t="s">
        <v>1393</v>
      </c>
      <c r="D35" s="100">
        <v>0</v>
      </c>
      <c r="E35" s="100">
        <v>0</v>
      </c>
      <c r="F35" s="100">
        <v>0</v>
      </c>
      <c r="G35" s="100">
        <v>0</v>
      </c>
    </row>
    <row r="36" spans="1:7" x14ac:dyDescent="0.35">
      <c r="A36" s="99">
        <v>8</v>
      </c>
      <c r="B36" s="99" t="s">
        <v>1394</v>
      </c>
      <c r="C36" s="98" t="s">
        <v>1395</v>
      </c>
      <c r="D36" s="100">
        <v>0</v>
      </c>
      <c r="E36" s="100">
        <v>0</v>
      </c>
      <c r="F36" s="100">
        <v>0</v>
      </c>
      <c r="G36" s="100">
        <v>0</v>
      </c>
    </row>
    <row r="37" spans="1:7" x14ac:dyDescent="0.35">
      <c r="A37" s="99">
        <v>9</v>
      </c>
      <c r="B37" s="99" t="s">
        <v>1396</v>
      </c>
      <c r="C37" s="98" t="s">
        <v>1397</v>
      </c>
      <c r="D37" s="100">
        <v>1688.7</v>
      </c>
      <c r="E37" s="100">
        <v>1133.8399999999999</v>
      </c>
      <c r="F37" s="100">
        <v>1689</v>
      </c>
      <c r="G37" s="100">
        <v>1134</v>
      </c>
    </row>
    <row r="38" spans="1:7" x14ac:dyDescent="0.35">
      <c r="A38" s="99">
        <v>10</v>
      </c>
      <c r="B38" s="99" t="s">
        <v>1398</v>
      </c>
      <c r="C38" s="98" t="s">
        <v>1399</v>
      </c>
      <c r="D38" s="100">
        <v>0</v>
      </c>
      <c r="E38" s="100">
        <v>0</v>
      </c>
      <c r="F38" s="100">
        <v>0</v>
      </c>
      <c r="G38" s="100">
        <v>0</v>
      </c>
    </row>
    <row r="39" spans="1:7" x14ac:dyDescent="0.35">
      <c r="A39" s="99">
        <v>11</v>
      </c>
      <c r="B39" s="99" t="s">
        <v>1400</v>
      </c>
      <c r="C39" s="98" t="s">
        <v>1401</v>
      </c>
      <c r="D39" s="100">
        <v>0</v>
      </c>
      <c r="E39" s="100">
        <v>0</v>
      </c>
      <c r="F39" s="100">
        <v>0</v>
      </c>
      <c r="G39" s="100">
        <v>0</v>
      </c>
    </row>
    <row r="40" spans="1:7" x14ac:dyDescent="0.35">
      <c r="A40" s="99">
        <v>12</v>
      </c>
      <c r="B40" s="99" t="s">
        <v>1402</v>
      </c>
      <c r="C40" s="98" t="s">
        <v>1403</v>
      </c>
      <c r="D40" s="100">
        <v>0</v>
      </c>
      <c r="E40" s="100">
        <v>0</v>
      </c>
      <c r="F40" s="100">
        <v>0</v>
      </c>
      <c r="G40" s="100">
        <v>0</v>
      </c>
    </row>
    <row r="41" spans="1:7" x14ac:dyDescent="0.35">
      <c r="A41" s="99" t="s">
        <v>1404</v>
      </c>
      <c r="B41" s="99" t="s">
        <v>1405</v>
      </c>
      <c r="C41" s="98" t="s">
        <v>1406</v>
      </c>
      <c r="D41" s="100">
        <v>0</v>
      </c>
      <c r="E41" s="100">
        <v>0</v>
      </c>
      <c r="F41" s="100">
        <v>0</v>
      </c>
      <c r="G41" s="100">
        <v>0</v>
      </c>
    </row>
    <row r="42" spans="1:7" x14ac:dyDescent="0.35">
      <c r="A42" s="99" t="s">
        <v>1407</v>
      </c>
      <c r="B42" s="99" t="s">
        <v>1408</v>
      </c>
      <c r="C42" s="98" t="s">
        <v>1409</v>
      </c>
      <c r="D42" s="100">
        <v>0</v>
      </c>
      <c r="E42" s="100">
        <v>0</v>
      </c>
      <c r="F42" s="100">
        <v>0</v>
      </c>
      <c r="G42" s="100">
        <v>0</v>
      </c>
    </row>
    <row r="43" spans="1:7" x14ac:dyDescent="0.35">
      <c r="A43" s="99">
        <v>2</v>
      </c>
      <c r="B43" s="99" t="s">
        <v>1410</v>
      </c>
      <c r="C43" s="98" t="s">
        <v>1411</v>
      </c>
      <c r="D43" s="100">
        <v>0</v>
      </c>
      <c r="E43" s="100">
        <v>0</v>
      </c>
      <c r="F43" s="100">
        <v>0</v>
      </c>
      <c r="G43" s="100">
        <v>0</v>
      </c>
    </row>
    <row r="44" spans="1:7" x14ac:dyDescent="0.35">
      <c r="A44" s="99" t="s">
        <v>1412</v>
      </c>
      <c r="B44" s="99" t="s">
        <v>1413</v>
      </c>
      <c r="C44" s="98" t="s">
        <v>1414</v>
      </c>
      <c r="D44" s="100">
        <v>0</v>
      </c>
      <c r="E44" s="100">
        <v>0</v>
      </c>
      <c r="F44" s="100">
        <v>0</v>
      </c>
      <c r="G44" s="100">
        <v>0</v>
      </c>
    </row>
    <row r="45" spans="1:7" x14ac:dyDescent="0.35">
      <c r="A45" s="99" t="s">
        <v>1415</v>
      </c>
      <c r="B45" s="99" t="s">
        <v>1416</v>
      </c>
      <c r="C45" s="98" t="s">
        <v>1417</v>
      </c>
      <c r="D45" s="100">
        <v>465942.41</v>
      </c>
      <c r="E45" s="100">
        <v>454465.98</v>
      </c>
      <c r="F45" s="100">
        <v>465943</v>
      </c>
      <c r="G45" s="100">
        <v>454467</v>
      </c>
    </row>
    <row r="46" spans="1:7" x14ac:dyDescent="0.35">
      <c r="A46" s="99" t="s">
        <v>1418</v>
      </c>
      <c r="B46" s="99" t="s">
        <v>1419</v>
      </c>
      <c r="C46" s="98" t="s">
        <v>1420</v>
      </c>
      <c r="D46" s="100">
        <v>437922.77</v>
      </c>
      <c r="E46" s="100">
        <v>418731.4</v>
      </c>
      <c r="F46" s="100">
        <v>437923</v>
      </c>
      <c r="G46" s="100">
        <v>418732</v>
      </c>
    </row>
    <row r="47" spans="1:7" x14ac:dyDescent="0.35">
      <c r="A47" s="99" t="s">
        <v>1245</v>
      </c>
      <c r="B47" s="99" t="s">
        <v>1421</v>
      </c>
      <c r="C47" s="98" t="s">
        <v>1422</v>
      </c>
      <c r="D47" s="100">
        <v>80924.460000000006</v>
      </c>
      <c r="E47" s="100">
        <v>18574.84</v>
      </c>
      <c r="F47" s="100">
        <v>80924</v>
      </c>
      <c r="G47" s="100">
        <v>18575</v>
      </c>
    </row>
    <row r="48" spans="1:7" x14ac:dyDescent="0.35">
      <c r="A48" s="99" t="s">
        <v>1248</v>
      </c>
      <c r="B48" s="99" t="s">
        <v>1423</v>
      </c>
      <c r="C48" s="98" t="s">
        <v>1424</v>
      </c>
      <c r="D48" s="100">
        <v>0</v>
      </c>
      <c r="E48" s="100">
        <v>0</v>
      </c>
      <c r="F48" s="100">
        <v>0</v>
      </c>
      <c r="G48" s="100">
        <v>0</v>
      </c>
    </row>
    <row r="49" spans="1:7" x14ac:dyDescent="0.35">
      <c r="A49" s="99" t="s">
        <v>1251</v>
      </c>
      <c r="B49" s="99" t="s">
        <v>1425</v>
      </c>
      <c r="C49" s="98" t="s">
        <v>1426</v>
      </c>
      <c r="D49" s="100">
        <v>356998.31</v>
      </c>
      <c r="E49" s="100">
        <v>400156.56</v>
      </c>
      <c r="F49" s="100">
        <v>356999</v>
      </c>
      <c r="G49" s="100">
        <v>400157</v>
      </c>
    </row>
    <row r="50" spans="1:7" x14ac:dyDescent="0.35">
      <c r="A50" s="99">
        <v>2</v>
      </c>
      <c r="B50" s="99" t="s">
        <v>1254</v>
      </c>
      <c r="C50" s="98" t="s">
        <v>1427</v>
      </c>
      <c r="D50" s="100">
        <v>0</v>
      </c>
      <c r="E50" s="100">
        <v>0</v>
      </c>
      <c r="F50" s="100">
        <v>0</v>
      </c>
      <c r="G50" s="100">
        <v>0</v>
      </c>
    </row>
    <row r="51" spans="1:7" x14ac:dyDescent="0.35">
      <c r="A51" s="99">
        <v>3</v>
      </c>
      <c r="B51" s="99" t="s">
        <v>1428</v>
      </c>
      <c r="C51" s="98" t="s">
        <v>1429</v>
      </c>
      <c r="D51" s="100">
        <v>0</v>
      </c>
      <c r="E51" s="100">
        <v>0</v>
      </c>
      <c r="F51" s="100">
        <v>0</v>
      </c>
      <c r="G51" s="100">
        <v>0</v>
      </c>
    </row>
    <row r="52" spans="1:7" x14ac:dyDescent="0.35">
      <c r="A52" s="99">
        <v>4</v>
      </c>
      <c r="B52" s="99" t="s">
        <v>1430</v>
      </c>
      <c r="C52" s="98" t="s">
        <v>1431</v>
      </c>
      <c r="D52" s="100">
        <v>0</v>
      </c>
      <c r="E52" s="100">
        <v>0</v>
      </c>
      <c r="F52" s="100">
        <v>0</v>
      </c>
      <c r="G52" s="100">
        <v>0</v>
      </c>
    </row>
    <row r="53" spans="1:7" x14ac:dyDescent="0.35">
      <c r="A53" s="99">
        <v>5</v>
      </c>
      <c r="B53" s="99" t="s">
        <v>1432</v>
      </c>
      <c r="C53" s="98" t="s">
        <v>1433</v>
      </c>
      <c r="D53" s="100">
        <v>0</v>
      </c>
      <c r="E53" s="100">
        <v>0</v>
      </c>
      <c r="F53" s="100">
        <v>0</v>
      </c>
      <c r="G53" s="100">
        <v>0</v>
      </c>
    </row>
    <row r="54" spans="1:7" x14ac:dyDescent="0.35">
      <c r="A54" s="99">
        <v>6</v>
      </c>
      <c r="B54" s="99" t="s">
        <v>1434</v>
      </c>
      <c r="C54" s="98" t="s">
        <v>889</v>
      </c>
      <c r="D54" s="100">
        <v>10486.43</v>
      </c>
      <c r="E54" s="100">
        <v>10643.71</v>
      </c>
      <c r="F54" s="100">
        <v>10486</v>
      </c>
      <c r="G54" s="100">
        <v>10644</v>
      </c>
    </row>
    <row r="55" spans="1:7" x14ac:dyDescent="0.35">
      <c r="A55" s="99">
        <v>7</v>
      </c>
      <c r="B55" s="99" t="s">
        <v>1435</v>
      </c>
      <c r="C55" s="98" t="s">
        <v>890</v>
      </c>
      <c r="D55" s="100">
        <v>6629.51</v>
      </c>
      <c r="E55" s="100">
        <v>6940.93</v>
      </c>
      <c r="F55" s="100">
        <v>6630</v>
      </c>
      <c r="G55" s="100">
        <v>6941</v>
      </c>
    </row>
    <row r="56" spans="1:7" x14ac:dyDescent="0.35">
      <c r="A56" s="99">
        <v>8</v>
      </c>
      <c r="B56" s="99" t="s">
        <v>1436</v>
      </c>
      <c r="C56" s="98" t="s">
        <v>1437</v>
      </c>
      <c r="D56" s="100">
        <v>1392.65</v>
      </c>
      <c r="E56" s="100">
        <v>11442.44</v>
      </c>
      <c r="F56" s="100">
        <v>1393</v>
      </c>
      <c r="G56" s="100">
        <v>11442</v>
      </c>
    </row>
    <row r="57" spans="1:7" x14ac:dyDescent="0.35">
      <c r="A57" s="99">
        <v>9</v>
      </c>
      <c r="B57" s="99" t="s">
        <v>1438</v>
      </c>
      <c r="C57" s="98" t="s">
        <v>1439</v>
      </c>
      <c r="D57" s="100">
        <v>0</v>
      </c>
      <c r="E57" s="100">
        <v>0</v>
      </c>
      <c r="F57" s="100">
        <v>0</v>
      </c>
      <c r="G57" s="100">
        <v>0</v>
      </c>
    </row>
    <row r="58" spans="1:7" x14ac:dyDescent="0.35">
      <c r="A58" s="99">
        <v>10</v>
      </c>
      <c r="B58" s="99" t="s">
        <v>1440</v>
      </c>
      <c r="C58" s="98" t="s">
        <v>1441</v>
      </c>
      <c r="D58" s="100">
        <v>9511.0499999999993</v>
      </c>
      <c r="E58" s="100">
        <v>6707.5</v>
      </c>
      <c r="F58" s="100">
        <v>9511</v>
      </c>
      <c r="G58" s="100">
        <v>6708</v>
      </c>
    </row>
    <row r="59" spans="1:7" x14ac:dyDescent="0.35">
      <c r="A59" s="99" t="s">
        <v>1302</v>
      </c>
      <c r="B59" s="99" t="s">
        <v>1442</v>
      </c>
      <c r="C59" s="98" t="s">
        <v>1443</v>
      </c>
      <c r="D59" s="100">
        <v>16634.32</v>
      </c>
      <c r="E59" s="100">
        <v>21037.52</v>
      </c>
      <c r="F59" s="100">
        <v>16634</v>
      </c>
      <c r="G59" s="100">
        <v>21037</v>
      </c>
    </row>
    <row r="60" spans="1:7" x14ac:dyDescent="0.35">
      <c r="A60" s="99" t="s">
        <v>1305</v>
      </c>
      <c r="B60" s="99" t="s">
        <v>1444</v>
      </c>
      <c r="C60" s="98" t="s">
        <v>1445</v>
      </c>
      <c r="D60" s="100">
        <v>1181</v>
      </c>
      <c r="E60" s="100">
        <v>2425.21</v>
      </c>
      <c r="F60" s="100">
        <v>1181</v>
      </c>
      <c r="G60" s="100">
        <v>2425</v>
      </c>
    </row>
    <row r="61" spans="1:7" x14ac:dyDescent="0.35">
      <c r="A61" s="99">
        <v>2</v>
      </c>
      <c r="B61" s="99" t="s">
        <v>1446</v>
      </c>
      <c r="C61" s="98" t="s">
        <v>1447</v>
      </c>
      <c r="D61" s="100">
        <v>15453.32</v>
      </c>
      <c r="E61" s="100">
        <v>18612.310000000001</v>
      </c>
      <c r="F61" s="100">
        <v>15453</v>
      </c>
      <c r="G61" s="100">
        <v>18612</v>
      </c>
    </row>
    <row r="62" spans="1:7" x14ac:dyDescent="0.35">
      <c r="A62" s="99" t="s">
        <v>1448</v>
      </c>
      <c r="B62" s="99" t="s">
        <v>1449</v>
      </c>
      <c r="C62" s="98" t="s">
        <v>892</v>
      </c>
      <c r="D62" s="100">
        <v>0</v>
      </c>
      <c r="E62" s="100">
        <v>0</v>
      </c>
      <c r="F62" s="100">
        <v>0</v>
      </c>
      <c r="G62" s="100">
        <v>0</v>
      </c>
    </row>
    <row r="63" spans="1:7" x14ac:dyDescent="0.35">
      <c r="A63" s="99" t="s">
        <v>1450</v>
      </c>
      <c r="B63" s="99" t="s">
        <v>1451</v>
      </c>
      <c r="C63" s="98" t="s">
        <v>1452</v>
      </c>
      <c r="D63" s="100">
        <v>0</v>
      </c>
      <c r="E63" s="100">
        <v>0</v>
      </c>
      <c r="F63" s="100">
        <v>0</v>
      </c>
      <c r="G63" s="100">
        <v>0</v>
      </c>
    </row>
    <row r="64" spans="1:7" x14ac:dyDescent="0.35">
      <c r="A64" s="99" t="s">
        <v>1027</v>
      </c>
      <c r="B64" s="99" t="s">
        <v>1453</v>
      </c>
      <c r="C64" s="98" t="s">
        <v>1454</v>
      </c>
      <c r="D64" s="100">
        <v>0</v>
      </c>
      <c r="E64" s="100">
        <v>0</v>
      </c>
      <c r="F64" s="100">
        <v>0</v>
      </c>
      <c r="G64" s="100">
        <v>0</v>
      </c>
    </row>
    <row r="65" spans="1:7" x14ac:dyDescent="0.35">
      <c r="A65" s="99" t="s">
        <v>1311</v>
      </c>
      <c r="B65" s="99" t="s">
        <v>1455</v>
      </c>
      <c r="C65" s="98" t="s">
        <v>1456</v>
      </c>
      <c r="D65" s="100">
        <v>0</v>
      </c>
      <c r="E65" s="100">
        <v>0</v>
      </c>
      <c r="F65" s="100">
        <v>0</v>
      </c>
      <c r="G65" s="100">
        <v>0</v>
      </c>
    </row>
    <row r="66" spans="1:7" x14ac:dyDescent="0.35">
      <c r="A66" s="99">
        <v>2</v>
      </c>
      <c r="B66" s="99" t="s">
        <v>1457</v>
      </c>
      <c r="C66" s="98" t="s">
        <v>1458</v>
      </c>
      <c r="D66" s="100">
        <v>0</v>
      </c>
      <c r="E66" s="100">
        <v>0</v>
      </c>
      <c r="F66" s="100">
        <v>0</v>
      </c>
      <c r="G66" s="100">
        <v>0</v>
      </c>
    </row>
    <row r="67" spans="1:7" x14ac:dyDescent="0.35">
      <c r="A67" s="99">
        <v>3</v>
      </c>
      <c r="B67" s="99" t="s">
        <v>1459</v>
      </c>
      <c r="C67" s="98" t="s">
        <v>1460</v>
      </c>
      <c r="D67" s="100">
        <v>0</v>
      </c>
      <c r="E67" s="100">
        <v>0</v>
      </c>
      <c r="F67" s="100">
        <v>0</v>
      </c>
      <c r="G67" s="100">
        <v>0</v>
      </c>
    </row>
    <row r="68" spans="1:7" x14ac:dyDescent="0.35">
      <c r="A68" s="99">
        <v>4</v>
      </c>
      <c r="B68" s="99" t="s">
        <v>1461</v>
      </c>
      <c r="C68" s="98" t="s">
        <v>1462</v>
      </c>
      <c r="D68" s="100">
        <v>0</v>
      </c>
      <c r="E68" s="100">
        <v>0</v>
      </c>
      <c r="F68" s="100">
        <v>0</v>
      </c>
      <c r="G68" s="100">
        <v>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C8"/>
  <sheetViews>
    <sheetView showGridLines="0" zoomScaleNormal="100" workbookViewId="0">
      <selection activeCell="C8" sqref="C8"/>
    </sheetView>
  </sheetViews>
  <sheetFormatPr defaultRowHeight="14.5" x14ac:dyDescent="0.35"/>
  <cols>
    <col min="1" max="1" width="33.26953125" customWidth="1"/>
    <col min="2" max="3" width="26.1796875" customWidth="1"/>
  </cols>
  <sheetData>
    <row r="1" spans="1:3" x14ac:dyDescent="0.35">
      <c r="A1" t="str">
        <f>VYSVETLIVKY!$B$39</f>
        <v>Poznámky Úč POD 3-01</v>
      </c>
      <c r="C1" s="204" t="str">
        <f>VYSVETLIVKY!$B$40</f>
        <v>IČO : 44078773</v>
      </c>
    </row>
    <row r="2" spans="1:3" x14ac:dyDescent="0.35">
      <c r="C2" s="204" t="str">
        <f>VYSVETLIVKY!$B$41</f>
        <v>DIČ : 2022590790</v>
      </c>
    </row>
    <row r="3" spans="1:3" ht="15" thickBot="1" x14ac:dyDescent="0.4">
      <c r="A3" s="1" t="s">
        <v>0</v>
      </c>
    </row>
    <row r="4" spans="1:3" ht="21.75" customHeight="1" thickTop="1" thickBot="1" x14ac:dyDescent="0.4">
      <c r="A4" s="9" t="s">
        <v>1</v>
      </c>
      <c r="B4" s="10" t="s">
        <v>2</v>
      </c>
      <c r="C4" s="10" t="s">
        <v>3</v>
      </c>
    </row>
    <row r="5" spans="1:3" ht="22.5" customHeight="1" thickTop="1" thickBot="1" x14ac:dyDescent="0.4">
      <c r="A5" s="11" t="s">
        <v>4</v>
      </c>
      <c r="B5" s="12">
        <v>8</v>
      </c>
      <c r="C5" s="12">
        <v>8</v>
      </c>
    </row>
    <row r="6" spans="1:3" ht="22.5" customHeight="1" thickBot="1" x14ac:dyDescent="0.4">
      <c r="A6" s="13" t="s">
        <v>5</v>
      </c>
      <c r="B6" s="14">
        <v>8</v>
      </c>
      <c r="C6" s="14">
        <v>8</v>
      </c>
    </row>
    <row r="7" spans="1:3" ht="22.5" customHeight="1" thickBot="1" x14ac:dyDescent="0.4">
      <c r="A7" s="15" t="s">
        <v>6</v>
      </c>
      <c r="B7" s="16">
        <v>1</v>
      </c>
      <c r="C7" s="16">
        <v>1</v>
      </c>
    </row>
    <row r="8" spans="1:3" ht="15" thickTop="1" x14ac:dyDescent="0.35"/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00B050"/>
  </sheetPr>
  <dimension ref="A1:M54"/>
  <sheetViews>
    <sheetView showGridLines="0" zoomScaleNormal="100" workbookViewId="0">
      <selection activeCell="G22" sqref="G22"/>
    </sheetView>
  </sheetViews>
  <sheetFormatPr defaultRowHeight="14.5" x14ac:dyDescent="0.35"/>
  <cols>
    <col min="1" max="1" width="29.453125" customWidth="1"/>
    <col min="2" max="9" width="12.54296875" customWidth="1"/>
  </cols>
  <sheetData>
    <row r="1" spans="1:12" x14ac:dyDescent="0.35">
      <c r="A1" t="str">
        <f>VYSVETLIVKY!$B$39</f>
        <v>Poznámky Úč POD 3-01</v>
      </c>
      <c r="I1" s="204" t="str">
        <f>VYSVETLIVKY!$B$40</f>
        <v>IČO : 44078773</v>
      </c>
    </row>
    <row r="2" spans="1:12" x14ac:dyDescent="0.35">
      <c r="I2" s="204" t="str">
        <f>VYSVETLIVKY!$B$41</f>
        <v>DIČ : 2022590790</v>
      </c>
    </row>
    <row r="3" spans="1:12" x14ac:dyDescent="0.35">
      <c r="A3" s="1" t="s">
        <v>260</v>
      </c>
    </row>
    <row r="4" spans="1:12" ht="15" thickBot="1" x14ac:dyDescent="0.4">
      <c r="A4" s="2" t="s">
        <v>7</v>
      </c>
    </row>
    <row r="5" spans="1:12" ht="15" customHeight="1" thickTop="1" thickBot="1" x14ac:dyDescent="0.4">
      <c r="A5" s="206" t="s">
        <v>11</v>
      </c>
      <c r="B5" s="211" t="s">
        <v>2</v>
      </c>
      <c r="C5" s="212"/>
      <c r="D5" s="212"/>
      <c r="E5" s="212"/>
      <c r="F5" s="212"/>
      <c r="G5" s="212"/>
      <c r="H5" s="212"/>
      <c r="I5" s="213"/>
    </row>
    <row r="6" spans="1:12" ht="35.25" customHeight="1" thickTop="1" thickBot="1" x14ac:dyDescent="0.4">
      <c r="A6" s="207"/>
      <c r="B6" s="24" t="s">
        <v>198</v>
      </c>
      <c r="C6" s="70" t="s">
        <v>12</v>
      </c>
      <c r="D6" s="70" t="s">
        <v>199</v>
      </c>
      <c r="E6" s="69" t="s">
        <v>13</v>
      </c>
      <c r="F6" s="24" t="s">
        <v>14</v>
      </c>
      <c r="G6" s="70" t="s">
        <v>200</v>
      </c>
      <c r="H6" s="70" t="s">
        <v>15</v>
      </c>
      <c r="I6" s="70" t="s">
        <v>8</v>
      </c>
    </row>
    <row r="7" spans="1:12" ht="15" customHeight="1" thickTop="1" thickBot="1" x14ac:dyDescent="0.4">
      <c r="A7" s="25" t="s">
        <v>16</v>
      </c>
      <c r="B7" s="26"/>
      <c r="C7" s="26"/>
      <c r="D7" s="26"/>
      <c r="E7" s="26"/>
      <c r="F7" s="26"/>
      <c r="G7" s="26"/>
      <c r="H7" s="26"/>
      <c r="I7" s="27"/>
    </row>
    <row r="8" spans="1:12" ht="15.5" thickTop="1" thickBot="1" x14ac:dyDescent="0.4">
      <c r="A8" s="28" t="s">
        <v>17</v>
      </c>
      <c r="B8" s="124">
        <f>SUMIF(HK!A:A,"012*",HK!C:C)-SUMIF(HK!A:A,"012*",HK!D:D)</f>
        <v>0</v>
      </c>
      <c r="C8" s="124">
        <f>SUMIF(HK!A:A,"013*",HK!C:C)-SUMIF(HK!A:A,"013*",HK!D:D)</f>
        <v>2485.4899999999998</v>
      </c>
      <c r="D8" s="124">
        <f>SUMIF(HK!A:A,"014*",HK!C:C)-SUMIF(HK!A:A,"014*",HK!D:D)</f>
        <v>0</v>
      </c>
      <c r="E8" s="124">
        <f>SUMIF(HK!A:A,"015*",HK!C:C)-SUMIF(HK!A:A,"015*",HK!D:D)</f>
        <v>0</v>
      </c>
      <c r="F8" s="124">
        <f>SUMIF(HK!A:A,"019*",HK!C:C)-SUMIF(HK!A:A,"019*",HK!D:D)</f>
        <v>2135.5500000000002</v>
      </c>
      <c r="G8" s="124">
        <f>SUMIF(HK!A:A,"041*",HK!C:C)-SUMIF(HK!A:A,"041*",HK!D:D)</f>
        <v>0</v>
      </c>
      <c r="H8" s="124">
        <f>SUMIF(HK!A:A,"051*",HK!C:C)-SUMIF(HK!A:A,"051*",HK!D:D)</f>
        <v>0</v>
      </c>
      <c r="I8" s="109">
        <f>SUM(B8:H8)</f>
        <v>4621.04</v>
      </c>
      <c r="J8" s="93"/>
      <c r="K8" s="110"/>
      <c r="L8" s="93"/>
    </row>
    <row r="9" spans="1:12" ht="25.5" customHeight="1" thickBot="1" x14ac:dyDescent="0.4">
      <c r="A9" s="13" t="s">
        <v>18</v>
      </c>
      <c r="B9" s="89">
        <f>SUMIF(HK!A:A,"012*",HK!I:I)</f>
        <v>0</v>
      </c>
      <c r="C9" s="124">
        <f>SUMIF(HK!A:A,"013*",HK!I:I)</f>
        <v>0</v>
      </c>
      <c r="D9" s="124">
        <f>SUMIF(HK!A:A,"014*",HK!I:I)</f>
        <v>0</v>
      </c>
      <c r="E9" s="124">
        <f>SUMIF(HK!A:A,"015*",HK!I:I)</f>
        <v>0</v>
      </c>
      <c r="F9" s="124">
        <f>SUMIF(HK!A:A,"019*",HK!I:I)</f>
        <v>0</v>
      </c>
      <c r="G9" s="124">
        <f>SUMIF(HK!A:A,"041*",HK!I:I)</f>
        <v>0</v>
      </c>
      <c r="H9" s="124">
        <f>SUMIF(HK!A:A,"051*",HK!I:I)</f>
        <v>0</v>
      </c>
      <c r="I9" s="109">
        <f>SUM(B9:H9)</f>
        <v>0</v>
      </c>
      <c r="J9" s="93"/>
      <c r="K9" s="93"/>
      <c r="L9" s="93"/>
    </row>
    <row r="10" spans="1:12" ht="15" customHeight="1" thickBot="1" x14ac:dyDescent="0.4">
      <c r="A10" s="13" t="s">
        <v>19</v>
      </c>
      <c r="B10" s="89">
        <f>SUMIF(HK!A:A,"012*",HK!J:J)</f>
        <v>0</v>
      </c>
      <c r="C10" s="89">
        <f>SUMIF(HK!A:A,"013*",HK!J:J)</f>
        <v>0</v>
      </c>
      <c r="D10" s="89">
        <f>SUMIF(HK!A:A,"014*",HK!J:J)</f>
        <v>0</v>
      </c>
      <c r="E10" s="89">
        <f>SUMIF(HK!A:A,"015*",HK!J:J)</f>
        <v>0</v>
      </c>
      <c r="F10" s="90">
        <f>SUMIF(HK!A:A,"019*",HK!J:J)</f>
        <v>0</v>
      </c>
      <c r="G10" s="89">
        <f>SUMIF(HK!A:A,"041*",HK!J:J)</f>
        <v>0</v>
      </c>
      <c r="H10" s="89">
        <f>SUMIF(HK!A:A,"051*",HK!J:J)</f>
        <v>0</v>
      </c>
      <c r="I10" s="109">
        <f t="shared" ref="I10:I11" si="0">SUM(B10:H10)</f>
        <v>0</v>
      </c>
      <c r="J10" s="93"/>
      <c r="K10" s="93"/>
      <c r="L10" s="93"/>
    </row>
    <row r="11" spans="1:12" ht="23.25" customHeight="1" thickBot="1" x14ac:dyDescent="0.4">
      <c r="A11" s="13" t="s">
        <v>20</v>
      </c>
      <c r="B11" s="89"/>
      <c r="C11" s="124"/>
      <c r="D11" s="124"/>
      <c r="E11" s="124"/>
      <c r="F11" s="124"/>
      <c r="G11" s="124"/>
      <c r="H11" s="124"/>
      <c r="I11" s="109">
        <f t="shared" si="0"/>
        <v>0</v>
      </c>
      <c r="J11" s="93"/>
      <c r="K11" s="93"/>
      <c r="L11" s="93"/>
    </row>
    <row r="12" spans="1:12" ht="15" thickBot="1" x14ac:dyDescent="0.4">
      <c r="A12" s="21" t="s">
        <v>21</v>
      </c>
      <c r="B12" s="124">
        <f>SUMIF(HK!A:A,"012*",HK!K:K)-SUMIF(HK!A:A,"012*",HK!L:L)</f>
        <v>0</v>
      </c>
      <c r="C12" s="124">
        <f>SUMIF(HK!A:A,"013*",HK!K:K)-SUMIF(HK!A:A,"013*",HK!L:L)</f>
        <v>2485.4899999999998</v>
      </c>
      <c r="D12" s="124">
        <f>SUMIF(HK!A:A,"014*",HK!K:K)-SUMIF(HK!A:A,"014*",HK!L:L)</f>
        <v>0</v>
      </c>
      <c r="E12" s="124">
        <f>SUMIF(HK!A:A,"015*",HK!K:K)-SUMIF(HK!A:A,"015*",HK!L:L)</f>
        <v>0</v>
      </c>
      <c r="F12" s="124">
        <f>SUMIF(HK!A:A,"019*",HK!K:K)-SUMIF(HK!A:A,"019*",HK!L:L)</f>
        <v>2135.5500000000002</v>
      </c>
      <c r="G12" s="124">
        <f>SUMIF(HK!A:A,"041*",HK!K:K)-SUMIF(HK!A:A,"041*",HK!L:L)</f>
        <v>0</v>
      </c>
      <c r="H12" s="124">
        <f>SUMIF(HK!A:A,"051*",HK!K:K)-SUMIF(HK!A:A,"051*",HK!L:L)</f>
        <v>0</v>
      </c>
      <c r="I12" s="111">
        <f>I8+I9-I10+I11</f>
        <v>4621.04</v>
      </c>
      <c r="J12" s="93"/>
      <c r="K12" s="110"/>
      <c r="L12" s="93"/>
    </row>
    <row r="13" spans="1:12" ht="15" customHeight="1" thickTop="1" thickBot="1" x14ac:dyDescent="0.4">
      <c r="A13" s="25" t="s">
        <v>22</v>
      </c>
      <c r="B13" s="125"/>
      <c r="C13" s="125"/>
      <c r="D13" s="126"/>
      <c r="E13" s="125"/>
      <c r="F13" s="125"/>
      <c r="G13" s="125"/>
      <c r="H13" s="125"/>
      <c r="I13" s="113"/>
      <c r="J13" s="93"/>
      <c r="K13" s="93"/>
      <c r="L13" s="93"/>
    </row>
    <row r="14" spans="1:12" ht="15.5" thickTop="1" thickBot="1" x14ac:dyDescent="0.4">
      <c r="A14" s="28" t="s">
        <v>23</v>
      </c>
      <c r="B14" s="124">
        <f>SUMIF(HK!A:A,"071*",HK!D:D)-SUMIF(HK!A:A,"071*",HK!C:C)</f>
        <v>0</v>
      </c>
      <c r="C14" s="124">
        <f>SUMIF(HK!A:A,"073*",HK!D:D)-SUMIF(HK!A:A,"073*",HK!C:C)</f>
        <v>2485.4899999999998</v>
      </c>
      <c r="D14" s="127">
        <f>SUMIF(HK!A:A,"074*",HK!D:D)-SUMIF(HK!A:A,"074*",HK!C:C)</f>
        <v>0</v>
      </c>
      <c r="E14" s="124">
        <f>SUMIF(HK!A:A,"075*",HK!D:D)-SUMIF(HK!A:A,"075*",HK!C:C)</f>
        <v>0</v>
      </c>
      <c r="F14" s="124">
        <f>SUMIF(HK!A:A,"079*",HK!D:D)-SUMIF(HK!A:A,"079*",HK!C:C)</f>
        <v>1972.33</v>
      </c>
      <c r="G14" s="128"/>
      <c r="H14" s="128"/>
      <c r="I14" s="109">
        <f>SUM(B14:H14)</f>
        <v>4457.82</v>
      </c>
      <c r="J14" s="93"/>
      <c r="K14" s="110"/>
      <c r="L14" s="93"/>
    </row>
    <row r="15" spans="1:12" ht="22.5" customHeight="1" thickBot="1" x14ac:dyDescent="0.4">
      <c r="A15" s="13" t="s">
        <v>18</v>
      </c>
      <c r="B15" s="89">
        <f>SUMIF(HK!A:A,"071*",HK!J:J)</f>
        <v>0</v>
      </c>
      <c r="C15" s="124">
        <f>SUMIF(HK!A:A,"073*",HK!J:J)</f>
        <v>0</v>
      </c>
      <c r="D15" s="124">
        <f>SUMIF(HK!A:A,"074*",HK!J:J)</f>
        <v>0</v>
      </c>
      <c r="E15" s="124">
        <f>SUMIF(HK!A:A,"075*",HK!J:J)</f>
        <v>0</v>
      </c>
      <c r="F15" s="124">
        <f>SUMIF(HK!A:A,"079*",HK!J:J)</f>
        <v>163.22</v>
      </c>
      <c r="G15" s="114"/>
      <c r="H15" s="114"/>
      <c r="I15" s="109">
        <f t="shared" ref="I15:I16" si="1">SUM(B15:H15)</f>
        <v>163.22</v>
      </c>
      <c r="J15" s="93"/>
      <c r="K15" s="93"/>
      <c r="L15" s="93"/>
    </row>
    <row r="16" spans="1:12" ht="21.75" customHeight="1" thickBot="1" x14ac:dyDescent="0.4">
      <c r="A16" s="13" t="s">
        <v>19</v>
      </c>
      <c r="B16" s="124">
        <f>SUMIF(HK!A:A,"071*",HK!I:I)</f>
        <v>0</v>
      </c>
      <c r="C16" s="124">
        <f>SUMIF(HK!A:A,"073*",HK!I:I)</f>
        <v>0</v>
      </c>
      <c r="D16" s="124">
        <f>SUMIF(HK!A:A,"074*",HK!I:I)</f>
        <v>0</v>
      </c>
      <c r="E16" s="124">
        <f>SUMIF(HK!A:A,"075*",HK!I:I)</f>
        <v>0</v>
      </c>
      <c r="F16" s="124">
        <f>SUMIF(HK!A:A,"079*",HK!I:I)</f>
        <v>0</v>
      </c>
      <c r="G16" s="114"/>
      <c r="H16" s="114"/>
      <c r="I16" s="109">
        <f t="shared" si="1"/>
        <v>0</v>
      </c>
      <c r="J16" s="93"/>
      <c r="K16" s="93"/>
      <c r="L16" s="93"/>
    </row>
    <row r="17" spans="1:13" ht="23.25" customHeight="1" thickBot="1" x14ac:dyDescent="0.4">
      <c r="A17" s="13" t="s">
        <v>20</v>
      </c>
      <c r="B17" s="89"/>
      <c r="C17" s="124"/>
      <c r="D17" s="124"/>
      <c r="E17" s="124"/>
      <c r="F17" s="124"/>
      <c r="G17" s="124"/>
      <c r="H17" s="124"/>
      <c r="I17" s="109">
        <f t="shared" ref="I17" si="2">SUM(B17:H17)</f>
        <v>0</v>
      </c>
      <c r="J17" s="93"/>
      <c r="K17" s="93"/>
      <c r="L17" s="93"/>
    </row>
    <row r="18" spans="1:13" ht="15" thickBot="1" x14ac:dyDescent="0.4">
      <c r="A18" s="21" t="s">
        <v>21</v>
      </c>
      <c r="B18" s="124">
        <f>SUMIF(HK!A:A,"071*",HK!L:L)-SUMIF(HK!A:A,"071*",HK!K:K)</f>
        <v>0</v>
      </c>
      <c r="C18" s="124">
        <f>SUMIF(HK!A:A,"073*",HK!L:L)-SUMIF(HK!A:A,"073*",HK!K:K)</f>
        <v>2485.4899999999998</v>
      </c>
      <c r="D18" s="124">
        <f>SUMIF(HK!A:A,"074*",HK!L:L)-SUMIF(HK!A:A,"074*",HK!K:K)</f>
        <v>0</v>
      </c>
      <c r="E18" s="124">
        <f>SUMIF(HK!A:A,"075*",HK!L:L)-SUMIF(HK!A:A,"075*",HK!K:K)</f>
        <v>0</v>
      </c>
      <c r="F18" s="124">
        <f>SUMIF(HK!A:A,"079*",HK!L:L)-SUMIF(HK!A:A,"079*",HK!K:K)</f>
        <v>2135.5500000000002</v>
      </c>
      <c r="G18" s="115"/>
      <c r="H18" s="115"/>
      <c r="I18" s="111">
        <f>I14+I15-I16</f>
        <v>4621.04</v>
      </c>
      <c r="J18" s="93"/>
      <c r="K18" s="110"/>
      <c r="L18" s="93"/>
    </row>
    <row r="19" spans="1:13" ht="15" customHeight="1" thickTop="1" thickBot="1" x14ac:dyDescent="0.4">
      <c r="A19" s="25" t="s">
        <v>24</v>
      </c>
      <c r="B19" s="125"/>
      <c r="C19" s="125"/>
      <c r="D19" s="125"/>
      <c r="E19" s="125"/>
      <c r="F19" s="125"/>
      <c r="G19" s="125"/>
      <c r="H19" s="125"/>
      <c r="I19" s="113"/>
      <c r="J19" s="93"/>
      <c r="K19" s="93"/>
      <c r="L19" s="93"/>
    </row>
    <row r="20" spans="1:13" ht="15.5" thickTop="1" thickBot="1" x14ac:dyDescent="0.4">
      <c r="A20" s="28" t="s">
        <v>23</v>
      </c>
      <c r="B20" s="124"/>
      <c r="C20" s="124"/>
      <c r="D20" s="124"/>
      <c r="E20" s="124"/>
      <c r="F20" s="124"/>
      <c r="G20" s="124">
        <f>SUMIF(HK!A:A,"093*",HK!D:D)-SUMIF(HK!A:A,"093*",HK!C:C)</f>
        <v>0</v>
      </c>
      <c r="H20" s="124">
        <f>SUMIF(SUAM!C:C,"010",SUAM!E:E)</f>
        <v>0</v>
      </c>
      <c r="I20" s="109">
        <f>SUM(B20:H20)</f>
        <v>0</v>
      </c>
      <c r="J20" s="93"/>
      <c r="K20" s="110"/>
      <c r="L20" s="116"/>
      <c r="M20" s="73"/>
    </row>
    <row r="21" spans="1:13" ht="15" customHeight="1" thickBot="1" x14ac:dyDescent="0.4">
      <c r="A21" s="13" t="s">
        <v>18</v>
      </c>
      <c r="B21" s="89"/>
      <c r="C21" s="89"/>
      <c r="D21" s="89"/>
      <c r="E21" s="89"/>
      <c r="F21" s="89"/>
      <c r="G21" s="89">
        <f>SUMIF(HK!A:A,"093*",HK!J:J)</f>
        <v>0</v>
      </c>
      <c r="H21" s="89"/>
      <c r="I21" s="109">
        <f t="shared" ref="I21:I23" si="3">SUM(B21:H21)</f>
        <v>0</v>
      </c>
      <c r="J21" s="93"/>
      <c r="K21" s="117"/>
      <c r="L21" s="93"/>
    </row>
    <row r="22" spans="1:13" ht="15" customHeight="1" thickBot="1" x14ac:dyDescent="0.4">
      <c r="A22" s="13" t="s">
        <v>19</v>
      </c>
      <c r="B22" s="89"/>
      <c r="C22" s="89"/>
      <c r="D22" s="89"/>
      <c r="E22" s="89"/>
      <c r="F22" s="89"/>
      <c r="G22" s="89">
        <f>SUMIF(HK!A:A,"093*",HK!I:I)</f>
        <v>0</v>
      </c>
      <c r="H22" s="89"/>
      <c r="I22" s="109">
        <f t="shared" si="3"/>
        <v>0</v>
      </c>
      <c r="J22" s="93"/>
      <c r="K22" s="117"/>
      <c r="L22" s="93"/>
    </row>
    <row r="23" spans="1:13" ht="23.25" customHeight="1" thickBot="1" x14ac:dyDescent="0.4">
      <c r="A23" s="13" t="s">
        <v>20</v>
      </c>
      <c r="B23" s="89"/>
      <c r="C23" s="124"/>
      <c r="D23" s="124"/>
      <c r="E23" s="124"/>
      <c r="F23" s="124"/>
      <c r="G23" s="124"/>
      <c r="H23" s="124"/>
      <c r="I23" s="109">
        <f t="shared" si="3"/>
        <v>0</v>
      </c>
      <c r="J23" s="93"/>
      <c r="K23" s="93"/>
      <c r="L23" s="93"/>
    </row>
    <row r="24" spans="1:13" ht="15" thickBot="1" x14ac:dyDescent="0.4">
      <c r="A24" s="21" t="s">
        <v>21</v>
      </c>
      <c r="B24" s="124"/>
      <c r="C24" s="124"/>
      <c r="D24" s="124"/>
      <c r="E24" s="124"/>
      <c r="F24" s="124"/>
      <c r="G24" s="124">
        <f>SUMIF(HK!A:A,"093*",HK!L:L)-SUMIF(HK!A:A,"093*",HK!K:K)</f>
        <v>0</v>
      </c>
      <c r="H24" s="124">
        <f>SUMIF(SUA!C:C,"010",SUA!E:E)</f>
        <v>0</v>
      </c>
      <c r="I24" s="111">
        <f>I20+I21-I22</f>
        <v>0</v>
      </c>
      <c r="J24" s="93"/>
      <c r="K24" s="110"/>
      <c r="L24" s="116"/>
      <c r="M24" s="73"/>
    </row>
    <row r="25" spans="1:13" ht="15" customHeight="1" thickTop="1" thickBot="1" x14ac:dyDescent="0.4">
      <c r="A25" s="25" t="s">
        <v>25</v>
      </c>
      <c r="B25" s="125"/>
      <c r="C25" s="125"/>
      <c r="D25" s="125"/>
      <c r="E25" s="125"/>
      <c r="F25" s="125"/>
      <c r="G25" s="125"/>
      <c r="H25" s="125"/>
      <c r="I25" s="113"/>
      <c r="J25" s="93"/>
      <c r="K25" s="93"/>
      <c r="L25" s="93"/>
    </row>
    <row r="26" spans="1:13" ht="15" customHeight="1" thickTop="1" thickBot="1" x14ac:dyDescent="0.4">
      <c r="A26" s="28" t="s">
        <v>23</v>
      </c>
      <c r="B26" s="114"/>
      <c r="C26" s="114"/>
      <c r="D26" s="114"/>
      <c r="E26" s="114"/>
      <c r="F26" s="114"/>
      <c r="G26" s="114"/>
      <c r="H26" s="114"/>
      <c r="I26" s="109">
        <f>I8-I14-I20</f>
        <v>163.22000000000025</v>
      </c>
      <c r="J26" s="93"/>
      <c r="K26" s="93"/>
      <c r="L26" s="93"/>
    </row>
    <row r="27" spans="1:13" ht="15" customHeight="1" thickBot="1" x14ac:dyDescent="0.4">
      <c r="A27" s="21" t="s">
        <v>21</v>
      </c>
      <c r="B27" s="115"/>
      <c r="C27" s="115"/>
      <c r="D27" s="115"/>
      <c r="E27" s="115"/>
      <c r="F27" s="115"/>
      <c r="G27" s="115"/>
      <c r="H27" s="115"/>
      <c r="I27" s="111">
        <f>I12-I18-I24</f>
        <v>0</v>
      </c>
      <c r="J27" s="93"/>
      <c r="K27" s="93"/>
      <c r="L27" s="93"/>
    </row>
    <row r="28" spans="1:13" ht="15" thickTop="1" x14ac:dyDescent="0.35">
      <c r="A28" s="29"/>
      <c r="B28" s="118"/>
      <c r="C28" s="118"/>
      <c r="D28" s="118"/>
      <c r="E28" s="118"/>
      <c r="F28" s="118"/>
      <c r="G28" s="118"/>
      <c r="H28" s="118"/>
      <c r="I28" s="118"/>
      <c r="J28" s="93"/>
      <c r="K28" s="93"/>
      <c r="L28" s="93"/>
    </row>
    <row r="29" spans="1:13" x14ac:dyDescent="0.35">
      <c r="A29" t="str">
        <f>VYSVETLIVKY!$B$39</f>
        <v>Poznámky Úč POD 3-01</v>
      </c>
      <c r="I29" s="204" t="str">
        <f>VYSVETLIVKY!$B$40</f>
        <v>IČO : 44078773</v>
      </c>
      <c r="J29" s="93"/>
      <c r="K29" s="93"/>
      <c r="L29" s="93"/>
    </row>
    <row r="30" spans="1:13" x14ac:dyDescent="0.35">
      <c r="I30" s="204" t="str">
        <f>VYSVETLIVKY!$B$41</f>
        <v>DIČ : 2022590790</v>
      </c>
      <c r="J30" s="93"/>
      <c r="K30" s="93"/>
      <c r="L30" s="93"/>
    </row>
    <row r="31" spans="1:13" x14ac:dyDescent="0.35">
      <c r="A31" s="30" t="s">
        <v>9</v>
      </c>
      <c r="B31" s="119"/>
      <c r="C31" s="119"/>
      <c r="D31" s="119"/>
      <c r="E31" s="119"/>
      <c r="F31" s="119"/>
      <c r="G31" s="119"/>
      <c r="H31" s="119"/>
      <c r="I31" s="119"/>
      <c r="J31" s="93"/>
      <c r="K31" s="93"/>
      <c r="L31" s="93"/>
    </row>
    <row r="32" spans="1:13" ht="15" thickBot="1" x14ac:dyDescent="0.4">
      <c r="A32" s="29"/>
      <c r="B32" s="118"/>
      <c r="C32" s="118"/>
      <c r="D32" s="118"/>
      <c r="E32" s="118"/>
      <c r="F32" s="118"/>
      <c r="G32" s="118"/>
      <c r="H32" s="118"/>
      <c r="I32" s="119"/>
      <c r="J32" s="93"/>
      <c r="K32" s="93"/>
      <c r="L32" s="93"/>
    </row>
    <row r="33" spans="1:13" ht="15" customHeight="1" thickTop="1" thickBot="1" x14ac:dyDescent="0.4">
      <c r="A33" s="206" t="s">
        <v>11</v>
      </c>
      <c r="B33" s="208" t="s">
        <v>3</v>
      </c>
      <c r="C33" s="209"/>
      <c r="D33" s="209"/>
      <c r="E33" s="209"/>
      <c r="F33" s="209"/>
      <c r="G33" s="209"/>
      <c r="H33" s="209"/>
      <c r="I33" s="210"/>
      <c r="J33" s="93"/>
      <c r="K33" s="93"/>
      <c r="L33" s="93"/>
    </row>
    <row r="34" spans="1:13" ht="32.5" thickTop="1" thickBot="1" x14ac:dyDescent="0.4">
      <c r="A34" s="207"/>
      <c r="B34" s="120" t="s">
        <v>198</v>
      </c>
      <c r="C34" s="121" t="s">
        <v>12</v>
      </c>
      <c r="D34" s="121" t="s">
        <v>199</v>
      </c>
      <c r="E34" s="122" t="s">
        <v>13</v>
      </c>
      <c r="F34" s="120" t="s">
        <v>14</v>
      </c>
      <c r="G34" s="121" t="s">
        <v>200</v>
      </c>
      <c r="H34" s="121" t="s">
        <v>15</v>
      </c>
      <c r="I34" s="121" t="s">
        <v>8</v>
      </c>
      <c r="J34" s="93"/>
      <c r="K34" s="93"/>
      <c r="L34" s="93"/>
    </row>
    <row r="35" spans="1:13" ht="15" customHeight="1" thickTop="1" thickBot="1" x14ac:dyDescent="0.4">
      <c r="A35" s="25" t="s">
        <v>16</v>
      </c>
      <c r="B35" s="112"/>
      <c r="C35" s="112"/>
      <c r="D35" s="112"/>
      <c r="E35" s="112"/>
      <c r="F35" s="112"/>
      <c r="G35" s="112"/>
      <c r="H35" s="112"/>
      <c r="I35" s="113"/>
      <c r="J35" s="93"/>
      <c r="K35" s="93"/>
      <c r="L35" s="93"/>
    </row>
    <row r="36" spans="1:13" ht="15.5" thickTop="1" thickBot="1" x14ac:dyDescent="0.4">
      <c r="A36" s="28" t="s">
        <v>17</v>
      </c>
      <c r="B36" s="124">
        <f>SUMIF(HKM!A:A,"012*",HKM!C:C)-SUMIF(HKM!A:A,"012*",HKM!D:D)</f>
        <v>0</v>
      </c>
      <c r="C36" s="124">
        <f>SUMIF(HKM!A:A,"013*",HKM!C:C)-SUMIF(HKM!A:A,"013*",HKM!D:D)</f>
        <v>2485.4899999999998</v>
      </c>
      <c r="D36" s="124">
        <f>SUMIF(HKM!A:A,"014*",HKM!C:C)-SUMIF(HKM!A:A,"014*",HKM!D:D)</f>
        <v>0</v>
      </c>
      <c r="E36" s="124">
        <f>SUMIF(HKM!A:A,"015*",HKM!C:C)-SUMIF(HKM!A:A,"015*",HKM!D:D)</f>
        <v>0</v>
      </c>
      <c r="F36" s="124">
        <f>SUMIF(HKM!A:A,"019*",HKM!C:C)-SUMIF(HKM!A:A,"019*",HKM!D:D)</f>
        <v>2135.5500000000002</v>
      </c>
      <c r="G36" s="124">
        <f>SUMIF(HKM!A:A,"041*",HKM!C:C)-SUMIF(HKM!A:A,"041*",HKM!D:D)</f>
        <v>0</v>
      </c>
      <c r="H36" s="124">
        <f>SUMIF(HKM!A:A,"051*",HKM!C:C)-SUMIF(HKM!A:A,"051*",HKM!D:D)</f>
        <v>0</v>
      </c>
      <c r="I36" s="109">
        <f>SUM(B36:H36)</f>
        <v>4621.04</v>
      </c>
      <c r="J36" s="93"/>
      <c r="K36" s="110"/>
      <c r="L36" s="93"/>
    </row>
    <row r="37" spans="1:13" ht="15" customHeight="1" thickBot="1" x14ac:dyDescent="0.4">
      <c r="A37" s="13" t="s">
        <v>18</v>
      </c>
      <c r="B37" s="89">
        <f>SUMIF(HKM!A:A,"012*",HKM!I:I)</f>
        <v>0</v>
      </c>
      <c r="C37" s="89">
        <f>SUMIF(HKM!A:A,"013*",HKM!I:I)</f>
        <v>0</v>
      </c>
      <c r="D37" s="89">
        <f>SUMIF(HKM!A:A,"014*",HKM!I:I)</f>
        <v>0</v>
      </c>
      <c r="E37" s="89">
        <f>SUMIF(HKM!A:A,"015*",HKM!I:I)</f>
        <v>0</v>
      </c>
      <c r="F37" s="90">
        <f>SUMIF(HKM!A:A,"019*",HKM!I:I)</f>
        <v>0</v>
      </c>
      <c r="G37" s="89">
        <f>SUMIF(HKM!A:A,"041*",HKM!I:I)</f>
        <v>0</v>
      </c>
      <c r="H37" s="89">
        <f>SUMIF(HKM!A:A,"051*",HKM!I:I)</f>
        <v>0</v>
      </c>
      <c r="I37" s="109">
        <f>SUM(B37:H37)</f>
        <v>0</v>
      </c>
      <c r="J37" s="93"/>
      <c r="K37" s="93"/>
      <c r="L37" s="93"/>
    </row>
    <row r="38" spans="1:13" ht="15" customHeight="1" thickBot="1" x14ac:dyDescent="0.4">
      <c r="A38" s="13" t="s">
        <v>19</v>
      </c>
      <c r="B38" s="89">
        <f>SUMIF(HKM!A:A,"012*",HKM!J:J)</f>
        <v>0</v>
      </c>
      <c r="C38" s="89">
        <f>SUMIF(HKM!A:A,"013*",HKM!J:J)</f>
        <v>0</v>
      </c>
      <c r="D38" s="89">
        <f>SUMIF(HKM!A:A,"014*",HKM!J:J)</f>
        <v>0</v>
      </c>
      <c r="E38" s="89">
        <f>SUMIF(HKM!A:A,"015*",HKM!J:J)</f>
        <v>0</v>
      </c>
      <c r="F38" s="90">
        <f>SUMIF(HKM!A:A,"019*",HKM!J:J)</f>
        <v>0</v>
      </c>
      <c r="G38" s="89">
        <f>SUMIF(HKM!A:A,"041*",HKM!J:J)</f>
        <v>0</v>
      </c>
      <c r="H38" s="89">
        <f>SUMIF(HKM!A:A,"051*",HKM!J:J)</f>
        <v>0</v>
      </c>
      <c r="I38" s="109">
        <f t="shared" ref="I38:I39" si="4">SUM(B38:H38)</f>
        <v>0</v>
      </c>
      <c r="J38" s="93"/>
      <c r="K38" s="93"/>
      <c r="L38" s="93"/>
    </row>
    <row r="39" spans="1:13" ht="15" customHeight="1" thickBot="1" x14ac:dyDescent="0.4">
      <c r="A39" s="13" t="s">
        <v>20</v>
      </c>
      <c r="B39" s="89"/>
      <c r="C39" s="89"/>
      <c r="D39" s="89"/>
      <c r="E39" s="89"/>
      <c r="F39" s="90"/>
      <c r="G39" s="89"/>
      <c r="H39" s="89"/>
      <c r="I39" s="109">
        <f t="shared" si="4"/>
        <v>0</v>
      </c>
      <c r="J39" s="93"/>
      <c r="K39" s="93"/>
      <c r="L39" s="93"/>
    </row>
    <row r="40" spans="1:13" ht="15" thickBot="1" x14ac:dyDescent="0.4">
      <c r="A40" s="21" t="s">
        <v>21</v>
      </c>
      <c r="B40" s="124">
        <f>SUMIF(HKM!A:A,"012*",HKM!K:K)-SUMIF(HKM!A:A,"012*",HKM!L:L)</f>
        <v>0</v>
      </c>
      <c r="C40" s="124">
        <f>SUMIF(HKM!A:A,"013*",HKM!K:K)-SUMIF(HKM!A:A,"013*",HKM!L:L)</f>
        <v>2485.4899999999998</v>
      </c>
      <c r="D40" s="124">
        <f>SUMIF(HKM!A:A,"014*",HKM!K:K)-SUMIF(HKM!A:A,"014*",HKM!L:L)</f>
        <v>0</v>
      </c>
      <c r="E40" s="124">
        <f>SUMIF(HKM!A:A,"015*",HKM!K:K)-SUMIF(HKM!A:A,"015*",HKM!L:L)</f>
        <v>0</v>
      </c>
      <c r="F40" s="124">
        <f>SUMIF(HKM!A:A,"019*",HKM!K:K)-SUMIF(HKM!A:A,"019*",HKM!L:L)</f>
        <v>2135.5500000000002</v>
      </c>
      <c r="G40" s="124">
        <f>SUMIF(HKM!A:A,"041*",HKM!K:K)-SUMIF(HKM!A:A,"041*",HKM!L:L)</f>
        <v>0</v>
      </c>
      <c r="H40" s="124">
        <f>SUMIF(HKM!A:A,"051*",HKM!K:K)-SUMIF(HKM!A:A,"051*",HKM!L:L)</f>
        <v>0</v>
      </c>
      <c r="I40" s="111">
        <f>I36+I37-I38+I39</f>
        <v>4621.04</v>
      </c>
      <c r="J40" s="93"/>
      <c r="K40" s="110"/>
      <c r="L40" s="93"/>
    </row>
    <row r="41" spans="1:13" ht="15" customHeight="1" thickTop="1" thickBot="1" x14ac:dyDescent="0.4">
      <c r="A41" s="25" t="s">
        <v>22</v>
      </c>
      <c r="B41" s="129"/>
      <c r="C41" s="129"/>
      <c r="D41" s="129"/>
      <c r="E41" s="129"/>
      <c r="F41" s="129"/>
      <c r="G41" s="129"/>
      <c r="H41" s="129"/>
      <c r="I41" s="113"/>
      <c r="J41" s="93"/>
      <c r="K41" s="93"/>
      <c r="L41" s="93"/>
    </row>
    <row r="42" spans="1:13" ht="15.5" thickTop="1" thickBot="1" x14ac:dyDescent="0.4">
      <c r="A42" s="28" t="s">
        <v>23</v>
      </c>
      <c r="B42" s="124">
        <f>SUMIF(HKM!A:A,"071*",HKM!D:D)-SUMIF(HKM!A:A,"071*",HKM!C:C)</f>
        <v>0</v>
      </c>
      <c r="C42" s="124">
        <f>SUMIF(HKM!A:A,"073*",HKM!D:D)-SUMIF(HKM!A:A,"073*",HKM!C:C)</f>
        <v>2485.4899999999998</v>
      </c>
      <c r="D42" s="124">
        <f>SUMIF(HKM!A:A,"074*",HKM!D:D)-SUMIF(HKM!A:A,"074*",HKM!C:C)</f>
        <v>0</v>
      </c>
      <c r="E42" s="124">
        <f>SUMIF(HKM!A:A,"075*",HKM!D:D)-SUMIF(HKM!A:A,"075*",HKM!C:C)</f>
        <v>0</v>
      </c>
      <c r="F42" s="124">
        <f>SUMIF(HKM!A:A,"079*",HKM!D:D)-SUMIF(HKM!A:A,"079*",HKM!C:C)</f>
        <v>1692.25</v>
      </c>
      <c r="G42" s="124"/>
      <c r="H42" s="124"/>
      <c r="I42" s="109">
        <f>SUM(B42:H42)</f>
        <v>4177.74</v>
      </c>
      <c r="J42" s="93"/>
      <c r="K42" s="110"/>
      <c r="L42" s="93"/>
    </row>
    <row r="43" spans="1:13" ht="15" customHeight="1" thickBot="1" x14ac:dyDescent="0.4">
      <c r="A43" s="13" t="s">
        <v>18</v>
      </c>
      <c r="B43" s="89">
        <f>SUMIF(HKM!A:A,"071*",HKM!J:J)</f>
        <v>0</v>
      </c>
      <c r="C43" s="89">
        <f>SUMIF(HKM!A:A,"073*",HKM!J:J)</f>
        <v>0</v>
      </c>
      <c r="D43" s="89">
        <f>SUMIF(HKM!A:A,"074*",HKM!J:J)</f>
        <v>0</v>
      </c>
      <c r="E43" s="89">
        <f>SUMIF(HKM!A:A,"075*",HKM!J:J)</f>
        <v>0</v>
      </c>
      <c r="F43" s="89">
        <f>SUMIF(HKM!A:A,"079*",HKM!J:J)</f>
        <v>280.08</v>
      </c>
      <c r="G43" s="89"/>
      <c r="H43" s="89"/>
      <c r="I43" s="109">
        <f t="shared" ref="I43:I44" si="5">SUM(B43:H43)</f>
        <v>280.08</v>
      </c>
      <c r="J43" s="93"/>
      <c r="K43" s="93"/>
      <c r="L43" s="93"/>
    </row>
    <row r="44" spans="1:13" ht="15" customHeight="1" thickBot="1" x14ac:dyDescent="0.4">
      <c r="A44" s="13" t="s">
        <v>19</v>
      </c>
      <c r="B44" s="89">
        <f>SUMIF(HKM!A:A,"071*",HKM!I:I)</f>
        <v>0</v>
      </c>
      <c r="C44" s="89">
        <f>SUMIF(HKM!A:A,"073*",HKM!I:I)</f>
        <v>0</v>
      </c>
      <c r="D44" s="89">
        <f>SUMIF(HKM!A:A,"074*",HKM!I:I)</f>
        <v>0</v>
      </c>
      <c r="E44" s="89">
        <f>SUMIF(HKM!A:A,"075*",HKM!I:I)</f>
        <v>0</v>
      </c>
      <c r="F44" s="89">
        <f>SUMIF(HKM!A:A,"079*",HKM!I:I)</f>
        <v>0</v>
      </c>
      <c r="G44" s="89"/>
      <c r="H44" s="89"/>
      <c r="I44" s="109">
        <f t="shared" si="5"/>
        <v>0</v>
      </c>
      <c r="J44" s="93"/>
      <c r="K44" s="93"/>
      <c r="L44" s="93"/>
    </row>
    <row r="45" spans="1:13" ht="15" thickBot="1" x14ac:dyDescent="0.4">
      <c r="A45" s="21" t="s">
        <v>21</v>
      </c>
      <c r="B45" s="124">
        <f>SUMIF(HKM!A:A,"071*",HKM!L:L)-SUMIF(HKM!A:A,"071*",HKM!K:K)</f>
        <v>0</v>
      </c>
      <c r="C45" s="124">
        <f>SUMIF(HKM!A:A,"073*",HKM!L:L)-SUMIF(HKM!A:A,"073*",HKM!K:K)</f>
        <v>2485.4899999999998</v>
      </c>
      <c r="D45" s="124">
        <f>SUMIF(HKM!A:A,"074*",HKM!L:L)-SUMIF(HKM!A:A,"074*",HKM!K:K)</f>
        <v>0</v>
      </c>
      <c r="E45" s="124">
        <f>SUMIF(HKM!A:A,"075*",HKM!L:L)-SUMIF(HKM!A:A,"075*",HKM!K:K)</f>
        <v>0</v>
      </c>
      <c r="F45" s="124">
        <f>SUMIF(HKM!A:A,"079*",HKM!L:L)-SUMIF(HKM!A:A,"079*",HKM!K:K)</f>
        <v>1972.33</v>
      </c>
      <c r="G45" s="92"/>
      <c r="H45" s="92"/>
      <c r="I45" s="111">
        <f>I42+I43-I44</f>
        <v>4457.82</v>
      </c>
      <c r="J45" s="93"/>
      <c r="K45" s="110"/>
      <c r="L45" s="93"/>
    </row>
    <row r="46" spans="1:13" ht="15" customHeight="1" thickTop="1" thickBot="1" x14ac:dyDescent="0.4">
      <c r="A46" s="25" t="s">
        <v>24</v>
      </c>
      <c r="B46" s="129"/>
      <c r="C46" s="129"/>
      <c r="D46" s="129"/>
      <c r="E46" s="129"/>
      <c r="F46" s="129"/>
      <c r="G46" s="129"/>
      <c r="H46" s="129"/>
      <c r="I46" s="113"/>
      <c r="J46" s="93"/>
      <c r="K46" s="93"/>
      <c r="L46" s="93"/>
    </row>
    <row r="47" spans="1:13" ht="15.5" thickTop="1" thickBot="1" x14ac:dyDescent="0.4">
      <c r="A47" s="28" t="s">
        <v>23</v>
      </c>
      <c r="B47" s="124"/>
      <c r="C47" s="124"/>
      <c r="D47" s="124"/>
      <c r="E47" s="124"/>
      <c r="F47" s="124"/>
      <c r="G47" s="124">
        <f>SUMIF(HKM!A:A,"093*",HKM!D:D)-SUMIF(HKM!A:A,"093*",HKM!C:C)</f>
        <v>0</v>
      </c>
      <c r="H47" s="124"/>
      <c r="I47" s="109">
        <f>SUM(B47:H47)</f>
        <v>0</v>
      </c>
      <c r="J47" s="93"/>
      <c r="K47" s="110"/>
      <c r="L47" s="123"/>
      <c r="M47" s="73"/>
    </row>
    <row r="48" spans="1:13" ht="15" customHeight="1" thickBot="1" x14ac:dyDescent="0.4">
      <c r="A48" s="13" t="s">
        <v>18</v>
      </c>
      <c r="B48" s="89"/>
      <c r="C48" s="89"/>
      <c r="D48" s="89"/>
      <c r="E48" s="89"/>
      <c r="F48" s="89"/>
      <c r="G48" s="89">
        <f>SUMIF(HKM!A:A,"093*",HKM!J:J)</f>
        <v>0</v>
      </c>
      <c r="H48" s="89"/>
      <c r="I48" s="109">
        <f t="shared" ref="I48:I49" si="6">SUM(B48:H48)</f>
        <v>0</v>
      </c>
      <c r="J48" s="93"/>
      <c r="K48" s="117"/>
      <c r="L48" s="93"/>
    </row>
    <row r="49" spans="1:13" ht="15" customHeight="1" thickBot="1" x14ac:dyDescent="0.4">
      <c r="A49" s="13" t="s">
        <v>19</v>
      </c>
      <c r="B49" s="89"/>
      <c r="C49" s="89"/>
      <c r="D49" s="89"/>
      <c r="E49" s="89"/>
      <c r="F49" s="89"/>
      <c r="G49" s="89">
        <f>SUMIF(HKM!A:A,"093*",HKM!I:I)</f>
        <v>0</v>
      </c>
      <c r="H49" s="89"/>
      <c r="I49" s="109">
        <f t="shared" si="6"/>
        <v>0</v>
      </c>
      <c r="J49" s="93"/>
      <c r="K49" s="117"/>
      <c r="L49" s="93"/>
    </row>
    <row r="50" spans="1:13" ht="15" thickBot="1" x14ac:dyDescent="0.4">
      <c r="A50" s="21" t="s">
        <v>21</v>
      </c>
      <c r="B50" s="124"/>
      <c r="C50" s="124"/>
      <c r="D50" s="124"/>
      <c r="E50" s="124"/>
      <c r="F50" s="124"/>
      <c r="G50" s="124">
        <f>SUMIF(HKM!A:A,"093*",HKM!L:L)-SUMIF(HKM!A:A,"093*",HKM!K:K)</f>
        <v>0</v>
      </c>
      <c r="H50" s="124">
        <f>SUMIF(SUAM!C:C,"010",SUAM!E:E)</f>
        <v>0</v>
      </c>
      <c r="I50" s="111">
        <f>I47+I48-I49</f>
        <v>0</v>
      </c>
      <c r="J50" s="93"/>
      <c r="K50" s="110"/>
      <c r="L50" s="116"/>
      <c r="M50" s="73"/>
    </row>
    <row r="51" spans="1:13" ht="15" customHeight="1" thickTop="1" thickBot="1" x14ac:dyDescent="0.4">
      <c r="A51" s="25" t="s">
        <v>25</v>
      </c>
      <c r="B51" s="129"/>
      <c r="C51" s="129"/>
      <c r="D51" s="129"/>
      <c r="E51" s="129"/>
      <c r="F51" s="129"/>
      <c r="G51" s="129"/>
      <c r="H51" s="129"/>
      <c r="I51" s="113"/>
      <c r="J51" s="93"/>
      <c r="K51" s="93"/>
      <c r="L51" s="93"/>
    </row>
    <row r="52" spans="1:13" ht="15" customHeight="1" thickTop="1" thickBot="1" x14ac:dyDescent="0.4">
      <c r="A52" s="28" t="s">
        <v>23</v>
      </c>
      <c r="B52" s="89"/>
      <c r="C52" s="89"/>
      <c r="D52" s="89"/>
      <c r="E52" s="89"/>
      <c r="F52" s="89"/>
      <c r="G52" s="89"/>
      <c r="H52" s="89"/>
      <c r="I52" s="109">
        <f t="shared" ref="I52" si="7">I36-I42-I47</f>
        <v>443.30000000000018</v>
      </c>
      <c r="J52" s="93"/>
      <c r="K52" s="93"/>
      <c r="L52" s="93"/>
    </row>
    <row r="53" spans="1:13" ht="15" customHeight="1" thickBot="1" x14ac:dyDescent="0.4">
      <c r="A53" s="21" t="s">
        <v>21</v>
      </c>
      <c r="B53" s="92"/>
      <c r="C53" s="92"/>
      <c r="D53" s="92"/>
      <c r="E53" s="92"/>
      <c r="F53" s="92"/>
      <c r="G53" s="92"/>
      <c r="H53" s="92"/>
      <c r="I53" s="111">
        <f t="shared" ref="I53" si="8">I40-I45-I50</f>
        <v>163.22000000000025</v>
      </c>
      <c r="J53" s="93"/>
      <c r="K53" s="93"/>
      <c r="L53" s="93"/>
    </row>
    <row r="54" spans="1:13" ht="15" thickTop="1" x14ac:dyDescent="0.35">
      <c r="B54" s="93"/>
      <c r="C54" s="93"/>
      <c r="D54" s="93"/>
      <c r="E54" s="93"/>
      <c r="F54" s="93"/>
      <c r="G54" s="93"/>
      <c r="H54" s="93"/>
      <c r="I54" s="93"/>
      <c r="J54" s="93"/>
      <c r="K54" s="93"/>
      <c r="L54" s="93"/>
    </row>
  </sheetData>
  <mergeCells count="4">
    <mergeCell ref="A33:A34"/>
    <mergeCell ref="B33:I33"/>
    <mergeCell ref="A5:A6"/>
    <mergeCell ref="B5:I5"/>
  </mergeCells>
  <pageMargins left="0.70866141732283472" right="0.70866141732283472" top="0.74803149606299213" bottom="0.74803149606299213" header="0.31496062992125984" footer="0.31496062992125984"/>
  <pageSetup paperSize="9" orientation="landscape" r:id="rId1"/>
  <rowBreaks count="1" manualBreakCount="1">
    <brk id="28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</sheetPr>
  <dimension ref="A1:AG56"/>
  <sheetViews>
    <sheetView showGridLines="0" topLeftCell="A13" zoomScaleNormal="100" workbookViewId="0"/>
  </sheetViews>
  <sheetFormatPr defaultColWidth="9.1796875" defaultRowHeight="14.5" x14ac:dyDescent="0.35"/>
  <cols>
    <col min="1" max="1" width="29.26953125" style="93" customWidth="1"/>
    <col min="2" max="4" width="11.26953125" style="93" customWidth="1"/>
    <col min="5" max="5" width="12.54296875" style="93" customWidth="1"/>
    <col min="6" max="10" width="11.26953125" style="93" customWidth="1"/>
    <col min="11" max="16384" width="9.1796875" style="93"/>
  </cols>
  <sheetData>
    <row r="1" spans="1:33" x14ac:dyDescent="0.35">
      <c r="A1" t="str">
        <f>VYSVETLIVKY!$B$39</f>
        <v>Poznámky Úč POD 3-01</v>
      </c>
      <c r="J1" s="204" t="str">
        <f>VYSVETLIVKY!$B$40</f>
        <v>IČO : 44078773</v>
      </c>
    </row>
    <row r="2" spans="1:33" x14ac:dyDescent="0.35">
      <c r="J2" s="204" t="str">
        <f>VYSVETLIVKY!$B$41</f>
        <v>DIČ : 2022590790</v>
      </c>
    </row>
    <row r="3" spans="1:33" x14ac:dyDescent="0.35">
      <c r="A3" s="130" t="s">
        <v>261</v>
      </c>
    </row>
    <row r="4" spans="1:33" ht="15" thickBot="1" x14ac:dyDescent="0.4">
      <c r="A4" s="131" t="s">
        <v>7</v>
      </c>
    </row>
    <row r="5" spans="1:33" ht="16.5" customHeight="1" thickTop="1" thickBot="1" x14ac:dyDescent="0.4">
      <c r="A5" s="214" t="s">
        <v>26</v>
      </c>
      <c r="B5" s="208" t="s">
        <v>2</v>
      </c>
      <c r="C5" s="209"/>
      <c r="D5" s="209"/>
      <c r="E5" s="209"/>
      <c r="F5" s="209"/>
      <c r="G5" s="209"/>
      <c r="H5" s="209"/>
      <c r="I5" s="209"/>
      <c r="J5" s="210"/>
      <c r="K5" s="132"/>
      <c r="L5" s="132"/>
      <c r="M5" s="132"/>
      <c r="N5" s="132"/>
      <c r="O5" s="132"/>
      <c r="P5" s="132"/>
      <c r="Q5" s="132"/>
      <c r="R5" s="132"/>
      <c r="S5" s="132"/>
      <c r="T5" s="132"/>
      <c r="U5" s="132"/>
      <c r="V5" s="132"/>
      <c r="W5" s="132"/>
      <c r="X5" s="132"/>
      <c r="Y5" s="132"/>
      <c r="Z5" s="132"/>
      <c r="AA5" s="132"/>
      <c r="AB5" s="132"/>
      <c r="AC5" s="132"/>
      <c r="AD5" s="132"/>
      <c r="AE5" s="132"/>
      <c r="AF5" s="132"/>
      <c r="AG5" s="132"/>
    </row>
    <row r="6" spans="1:33" ht="62.25" customHeight="1" thickTop="1" thickBot="1" x14ac:dyDescent="0.4">
      <c r="A6" s="215"/>
      <c r="B6" s="122" t="s">
        <v>27</v>
      </c>
      <c r="C6" s="122" t="s">
        <v>28</v>
      </c>
      <c r="D6" s="122" t="s">
        <v>29</v>
      </c>
      <c r="E6" s="122" t="s">
        <v>201</v>
      </c>
      <c r="F6" s="122" t="s">
        <v>30</v>
      </c>
      <c r="G6" s="122" t="s">
        <v>31</v>
      </c>
      <c r="H6" s="122" t="s">
        <v>202</v>
      </c>
      <c r="I6" s="122" t="s">
        <v>32</v>
      </c>
      <c r="J6" s="122" t="s">
        <v>8</v>
      </c>
    </row>
    <row r="7" spans="1:33" ht="15" customHeight="1" thickTop="1" thickBot="1" x14ac:dyDescent="0.4">
      <c r="A7" s="133" t="s">
        <v>16</v>
      </c>
      <c r="B7" s="112"/>
      <c r="C7" s="112"/>
      <c r="D7" s="112"/>
      <c r="E7" s="112"/>
      <c r="F7" s="112"/>
      <c r="G7" s="112"/>
      <c r="H7" s="112"/>
      <c r="I7" s="112"/>
      <c r="J7" s="113"/>
      <c r="K7" s="132"/>
      <c r="L7" s="132"/>
      <c r="M7" s="132"/>
      <c r="N7" s="132"/>
      <c r="O7" s="132"/>
      <c r="P7" s="132"/>
      <c r="Q7" s="132"/>
      <c r="R7" s="132"/>
      <c r="S7" s="132"/>
      <c r="T7" s="132"/>
      <c r="U7" s="132"/>
      <c r="V7" s="132"/>
      <c r="W7" s="132"/>
      <c r="X7" s="132"/>
      <c r="Y7" s="132"/>
    </row>
    <row r="8" spans="1:33" ht="15.5" thickTop="1" thickBot="1" x14ac:dyDescent="0.4">
      <c r="A8" s="134" t="s">
        <v>17</v>
      </c>
      <c r="B8" s="124">
        <f>SUMIF(HK!A:A,"031*",HK!C:C)-SUMIF(HK!A:A,"031*",HK!D:D)</f>
        <v>0</v>
      </c>
      <c r="C8" s="124">
        <f>SUMIF(HK!A:A,"021*",HK!C:C)-SUMIF(HK!A:A,"021*",HK!D:D)</f>
        <v>76743.69</v>
      </c>
      <c r="D8" s="124">
        <f>SUMIF(HK!A:A,"022*",HK!C:C)-SUMIF(HK!A:A,"022*",HK!D:D)</f>
        <v>33768.009999999995</v>
      </c>
      <c r="E8" s="124">
        <f>SUMIF(HK!A:A,"025*",HK!C:C)-SUMIF(HK!A:A,"025*",HK!D:D)</f>
        <v>0</v>
      </c>
      <c r="F8" s="124">
        <f>SUMIF(HK!A:A,"026*",HK!C:C)-SUMIF(HK!A:A,"026*",HK!D:D)</f>
        <v>0</v>
      </c>
      <c r="G8" s="124">
        <f>SUMIF(HK!A:A,"029*",HK!C:C)-SUMIF(HK!A:A,"029*",HK!D:D)</f>
        <v>8603.4399999999987</v>
      </c>
      <c r="H8" s="124">
        <f>SUMIF(HK!A:A,"042*",HK!C:C)-SUMIF(HK!A:A,"042*",HK!D:D)</f>
        <v>2389.83</v>
      </c>
      <c r="I8" s="124">
        <f>SUMIF(HK!A:A,"052*",HK!C:C)-SUMIF(HK!A:A,"052*",HK!D:D)</f>
        <v>0</v>
      </c>
      <c r="J8" s="109">
        <f>SUM(B8:I8)</f>
        <v>121504.97</v>
      </c>
      <c r="L8" s="110"/>
    </row>
    <row r="9" spans="1:33" ht="15" customHeight="1" thickBot="1" x14ac:dyDescent="0.4">
      <c r="A9" s="135" t="s">
        <v>18</v>
      </c>
      <c r="B9" s="89">
        <f>SUMIF(HK!A:A,"031*",HK!I:I)</f>
        <v>0</v>
      </c>
      <c r="C9" s="89">
        <f>SUMIF(HK!A:A,"021*",HK!I:I)</f>
        <v>0</v>
      </c>
      <c r="D9" s="89">
        <f>SUMIF(HK!A:A,"022*",HK!I:I)</f>
        <v>8579.11</v>
      </c>
      <c r="E9" s="89">
        <f>SUMIF(HK!A:A,"025*",HK!I:I)</f>
        <v>0</v>
      </c>
      <c r="F9" s="90">
        <f>SUMIF(HK!A:A,"026*",HK!I:I)</f>
        <v>0</v>
      </c>
      <c r="G9" s="89">
        <f>SUMIF(HK!A:A,"029*",HK!I:I)</f>
        <v>2010</v>
      </c>
      <c r="H9" s="89">
        <f>SUMIF(HK!A:A,"042*",HK!I:I)</f>
        <v>10971.26</v>
      </c>
      <c r="I9" s="89">
        <f>SUMIF(HK!A:A,"052*",HK!I:I)</f>
        <v>0</v>
      </c>
      <c r="J9" s="109">
        <f t="shared" ref="J9:J11" si="0">SUM(B9:I9)</f>
        <v>21560.370000000003</v>
      </c>
    </row>
    <row r="10" spans="1:33" ht="15" customHeight="1" thickBot="1" x14ac:dyDescent="0.4">
      <c r="A10" s="135" t="s">
        <v>19</v>
      </c>
      <c r="B10" s="89">
        <f>SUMIF(HK!A:A,"031*",HK!J:J)</f>
        <v>0</v>
      </c>
      <c r="C10" s="89">
        <f>SUMIF(HK!A:A,"021*",HK!J:J)</f>
        <v>0</v>
      </c>
      <c r="D10" s="89">
        <f>SUMIF(HK!A:A,"022*",HK!J:J)</f>
        <v>1870.57</v>
      </c>
      <c r="E10" s="89">
        <f>SUMIF(HK!A:A,"025*",HK!J:J)</f>
        <v>0</v>
      </c>
      <c r="F10" s="90">
        <f>SUMIF(HK!A:A,"026*",HK!J:J)</f>
        <v>0</v>
      </c>
      <c r="G10" s="89">
        <f>SUMIF(HK!A:A,"029*",HK!J:J)</f>
        <v>477.16</v>
      </c>
      <c r="H10" s="89">
        <f>SUMIF(HK!A:A,"042*",HK!J:J)</f>
        <v>10589.11</v>
      </c>
      <c r="I10" s="89">
        <f>SUMIF(HK!A:A,"052*",HK!J:J)</f>
        <v>0</v>
      </c>
      <c r="J10" s="109">
        <f t="shared" si="0"/>
        <v>12936.84</v>
      </c>
    </row>
    <row r="11" spans="1:33" ht="15" customHeight="1" thickBot="1" x14ac:dyDescent="0.4">
      <c r="A11" s="135" t="s">
        <v>20</v>
      </c>
      <c r="B11" s="89"/>
      <c r="C11" s="89"/>
      <c r="D11" s="89"/>
      <c r="E11" s="89"/>
      <c r="F11" s="90"/>
      <c r="G11" s="89"/>
      <c r="H11" s="89"/>
      <c r="I11" s="89"/>
      <c r="J11" s="109">
        <f t="shared" si="0"/>
        <v>0</v>
      </c>
    </row>
    <row r="12" spans="1:33" ht="15" thickBot="1" x14ac:dyDescent="0.4">
      <c r="A12" s="136" t="s">
        <v>21</v>
      </c>
      <c r="B12" s="124">
        <f>SUMIF(HK!A:A,"031*",HK!K:K)-SUMIF(HK!A:A,"031*",HK!L:L)</f>
        <v>0</v>
      </c>
      <c r="C12" s="124">
        <f>SUMIF(HK!A:A,"021*",HK!K:K)-SUMIF(HK!A:A,"021*",HK!L:L)</f>
        <v>76743.69</v>
      </c>
      <c r="D12" s="124">
        <f>SUMIF(HK!A:A,"022*",HK!K:K)-SUMIF(HK!A:A,"022*",HK!L:L)</f>
        <v>40476.550000000003</v>
      </c>
      <c r="E12" s="124">
        <f>SUMIF(HK!A:A,"025*",HK!K:K)-SUMIF(HK!A:A,"025*",HK!L:L)</f>
        <v>0</v>
      </c>
      <c r="F12" s="124">
        <f>SUMIF(HK!A:A,"026*",HK!K:K)-SUMIF(HK!A:A,"026*",HK!L:L)</f>
        <v>0</v>
      </c>
      <c r="G12" s="124">
        <f>SUMIF(HK!A:A,"029*",HK!K:K)-SUMIF(HK!A:A,"029*",HK!L:L)</f>
        <v>10136.279999999999</v>
      </c>
      <c r="H12" s="124">
        <f>SUMIF(HK!A:A,"042*",HK!K:K)-SUMIF(HK!A:A,"042*",HK!L:L)</f>
        <v>2771.98</v>
      </c>
      <c r="I12" s="124">
        <f>SUMIF(HK!A:A,"052*",HK!K:K)-SUMIF(HK!A:A,"052*",HK!L:L)</f>
        <v>0</v>
      </c>
      <c r="J12" s="111">
        <f>J8+J9-J10+J11</f>
        <v>130128.5</v>
      </c>
      <c r="L12" s="110"/>
    </row>
    <row r="13" spans="1:33" ht="15" customHeight="1" thickTop="1" thickBot="1" x14ac:dyDescent="0.4">
      <c r="A13" s="133" t="s">
        <v>22</v>
      </c>
      <c r="B13" s="129"/>
      <c r="C13" s="129"/>
      <c r="D13" s="129"/>
      <c r="E13" s="129"/>
      <c r="F13" s="129"/>
      <c r="G13" s="129"/>
      <c r="H13" s="129"/>
      <c r="I13" s="129"/>
      <c r="J13" s="113"/>
    </row>
    <row r="14" spans="1:33" ht="15.5" thickTop="1" thickBot="1" x14ac:dyDescent="0.4">
      <c r="A14" s="134" t="s">
        <v>23</v>
      </c>
      <c r="B14" s="89"/>
      <c r="C14" s="124">
        <f>SUMIF(HK!A:A,"081*",HK!D:D)-SUMIF(HK!A:A,"081*",HK!C:C)</f>
        <v>56341.08</v>
      </c>
      <c r="D14" s="124">
        <f>SUMIF(HK!A:A,"082*",HK!D:D)-SUMIF(HK!A:A,"082*",HK!C:C)</f>
        <v>33605.75</v>
      </c>
      <c r="E14" s="124">
        <f>SUMIF(HK!A:A,"085*",HK!D:D)-SUMIF(HK!A:A,"085*",HK!C:C)</f>
        <v>0</v>
      </c>
      <c r="F14" s="124">
        <f>SUMIF(HK!A:A,"086*",HK!D:D)-SUMIF(HK!A:A,"086*",HK!C:C)</f>
        <v>0</v>
      </c>
      <c r="G14" s="124">
        <f>SUMIF(HK!A:A,"089*",HK!D:D)-SUMIF(HK!A:A,"089*",HK!C:C)</f>
        <v>7865.49</v>
      </c>
      <c r="H14" s="89"/>
      <c r="I14" s="89"/>
      <c r="J14" s="109">
        <f>SUM(B14:I14)</f>
        <v>97812.32</v>
      </c>
      <c r="L14" s="110"/>
    </row>
    <row r="15" spans="1:33" ht="15" customHeight="1" thickBot="1" x14ac:dyDescent="0.4">
      <c r="A15" s="135" t="s">
        <v>18</v>
      </c>
      <c r="B15" s="89"/>
      <c r="C15" s="89">
        <f>SUMIF(HK!A:A,"081*",HK!J:J)</f>
        <v>3837.24</v>
      </c>
      <c r="D15" s="89">
        <f>SUMIF(HK!A:A,"082*",HK!J:J)</f>
        <v>519.74</v>
      </c>
      <c r="E15" s="89">
        <f>SUMIF(HK!A:A,"085*",HK!J:J)</f>
        <v>0</v>
      </c>
      <c r="F15" s="89">
        <f>SUMIF(HK!A:A,"086*",HK!J:J)</f>
        <v>0</v>
      </c>
      <c r="G15" s="89">
        <f>SUMIF(HK!A:A,"089*",HK!J:J)</f>
        <v>1128.04</v>
      </c>
      <c r="H15" s="89"/>
      <c r="I15" s="89"/>
      <c r="J15" s="109">
        <f t="shared" ref="J15:J17" si="1">SUM(B15:I15)</f>
        <v>5485.0199999999995</v>
      </c>
    </row>
    <row r="16" spans="1:33" ht="15" customHeight="1" thickBot="1" x14ac:dyDescent="0.4">
      <c r="A16" s="135" t="s">
        <v>19</v>
      </c>
      <c r="B16" s="89"/>
      <c r="C16" s="89">
        <f>SUMIF(HK!A:A,"081*",HK!I:I)</f>
        <v>0</v>
      </c>
      <c r="D16" s="89">
        <f>SUMIF(HK!A:A,"082*",HK!I:I)</f>
        <v>1870.57</v>
      </c>
      <c r="E16" s="89">
        <f>SUMIF(HK!A:A,"085*",HK!I:I)</f>
        <v>0</v>
      </c>
      <c r="F16" s="89">
        <f>SUMIF(HK!A:A,"086*",HK!I:I)</f>
        <v>0</v>
      </c>
      <c r="G16" s="89">
        <f>SUMIF(HK!A:A,"089*",HK!I:I)</f>
        <v>477.16</v>
      </c>
      <c r="H16" s="89"/>
      <c r="I16" s="89"/>
      <c r="J16" s="109">
        <f t="shared" si="1"/>
        <v>2347.73</v>
      </c>
    </row>
    <row r="17" spans="1:33" ht="15" customHeight="1" thickBot="1" x14ac:dyDescent="0.4">
      <c r="A17" s="135" t="s">
        <v>20</v>
      </c>
      <c r="B17" s="89"/>
      <c r="C17" s="89"/>
      <c r="D17" s="89"/>
      <c r="E17" s="89"/>
      <c r="F17" s="90"/>
      <c r="G17" s="89"/>
      <c r="H17" s="89"/>
      <c r="I17" s="89"/>
      <c r="J17" s="109">
        <f t="shared" si="1"/>
        <v>0</v>
      </c>
    </row>
    <row r="18" spans="1:33" ht="15" thickBot="1" x14ac:dyDescent="0.4">
      <c r="A18" s="136" t="s">
        <v>21</v>
      </c>
      <c r="B18" s="92"/>
      <c r="C18" s="124">
        <f>SUMIF(HK!A:A,"081*",HK!L:L)-SUMIF(HK!A:A,"081*",HK!K:K)</f>
        <v>60178.32</v>
      </c>
      <c r="D18" s="124">
        <f>SUMIF(HK!A:A,"082*",HK!L:L)-SUMIF(HK!A:A,"082*",HK!K:K)</f>
        <v>32254.920000000002</v>
      </c>
      <c r="E18" s="124">
        <f>SUMIF(HK!A:A,"085*",HK!L:L)-SUMIF(HK!A:A,"085*",HK!K:K)</f>
        <v>0</v>
      </c>
      <c r="F18" s="124">
        <f>SUMIF(HK!A:A,"086*",HK!L:L)-SUMIF(HK!A:A,"086*",HK!K:K)</f>
        <v>0</v>
      </c>
      <c r="G18" s="124">
        <f>SUMIF(HK!A:A,"089*",HK!L:L)-SUMIF(HK!A:A,"089*",HK!K:K)</f>
        <v>8516.369999999999</v>
      </c>
      <c r="H18" s="92"/>
      <c r="I18" s="92"/>
      <c r="J18" s="111">
        <f>J14+J15-J16</f>
        <v>100949.61000000002</v>
      </c>
      <c r="L18" s="110"/>
    </row>
    <row r="19" spans="1:33" ht="15" customHeight="1" thickTop="1" thickBot="1" x14ac:dyDescent="0.4">
      <c r="A19" s="133" t="s">
        <v>24</v>
      </c>
      <c r="B19" s="129"/>
      <c r="C19" s="129"/>
      <c r="D19" s="129"/>
      <c r="E19" s="129"/>
      <c r="F19" s="129"/>
      <c r="G19" s="129"/>
      <c r="H19" s="129"/>
      <c r="I19" s="129"/>
      <c r="J19" s="113"/>
    </row>
    <row r="20" spans="1:33" ht="15.5" thickTop="1" thickBot="1" x14ac:dyDescent="0.4">
      <c r="A20" s="134" t="s">
        <v>23</v>
      </c>
      <c r="B20" s="89"/>
      <c r="C20" s="124"/>
      <c r="D20" s="124"/>
      <c r="E20" s="124"/>
      <c r="F20" s="124"/>
      <c r="G20" s="124"/>
      <c r="H20" s="124">
        <f>SUMIF(HK!A:A,"094*",HK!D:D)-SUMIF(HK!A:A,"094*",HK!C:C)</f>
        <v>0</v>
      </c>
      <c r="I20" s="124">
        <f>SUMIF(SUAM!C:C,"019",SUAM!E:E)</f>
        <v>0</v>
      </c>
      <c r="J20" s="109">
        <f>SUM(B20:I20)</f>
        <v>0</v>
      </c>
      <c r="L20" s="110"/>
      <c r="M20" s="110"/>
      <c r="N20" s="117"/>
    </row>
    <row r="21" spans="1:33" ht="15" customHeight="1" thickBot="1" x14ac:dyDescent="0.4">
      <c r="A21" s="135" t="s">
        <v>18</v>
      </c>
      <c r="B21" s="89"/>
      <c r="C21" s="89"/>
      <c r="D21" s="89"/>
      <c r="E21" s="89"/>
      <c r="F21" s="89"/>
      <c r="G21" s="89"/>
      <c r="H21" s="89">
        <f>SUMIF(HK!A:A,"094*",HK!J:J)</f>
        <v>0</v>
      </c>
      <c r="I21" s="89"/>
      <c r="J21" s="109">
        <f t="shared" ref="J21:J23" si="2">SUM(B21:I21)</f>
        <v>0</v>
      </c>
      <c r="N21" s="117"/>
    </row>
    <row r="22" spans="1:33" ht="15" customHeight="1" thickBot="1" x14ac:dyDescent="0.4">
      <c r="A22" s="135" t="s">
        <v>19</v>
      </c>
      <c r="B22" s="89"/>
      <c r="C22" s="89"/>
      <c r="D22" s="89"/>
      <c r="E22" s="89"/>
      <c r="F22" s="89"/>
      <c r="G22" s="89"/>
      <c r="H22" s="89">
        <f>SUMIF(HK!A:A,"094*",HK!I:I)</f>
        <v>0</v>
      </c>
      <c r="I22" s="89"/>
      <c r="J22" s="109">
        <f t="shared" si="2"/>
        <v>0</v>
      </c>
      <c r="N22" s="117"/>
    </row>
    <row r="23" spans="1:33" ht="15" customHeight="1" thickBot="1" x14ac:dyDescent="0.4">
      <c r="A23" s="135" t="s">
        <v>20</v>
      </c>
      <c r="B23" s="89"/>
      <c r="C23" s="89"/>
      <c r="D23" s="89"/>
      <c r="E23" s="89"/>
      <c r="F23" s="90"/>
      <c r="G23" s="89"/>
      <c r="H23" s="89"/>
      <c r="I23" s="89"/>
      <c r="J23" s="109">
        <f t="shared" si="2"/>
        <v>0</v>
      </c>
    </row>
    <row r="24" spans="1:33" ht="15" thickBot="1" x14ac:dyDescent="0.4">
      <c r="A24" s="136" t="s">
        <v>21</v>
      </c>
      <c r="B24" s="92"/>
      <c r="C24" s="124"/>
      <c r="D24" s="124"/>
      <c r="E24" s="124"/>
      <c r="F24" s="124"/>
      <c r="G24" s="124"/>
      <c r="H24" s="124">
        <f>SUMIF(HK!A:A,"094*",HK!L:L)-SUMIF(HK!A:A,"094*",HK!K:K)</f>
        <v>0</v>
      </c>
      <c r="I24" s="124">
        <f>SUMIF(SUA!C:C,"019",SUA!E:E)</f>
        <v>0</v>
      </c>
      <c r="J24" s="111">
        <f>J20+J21-J22</f>
        <v>0</v>
      </c>
      <c r="L24" s="110"/>
      <c r="M24" s="110"/>
      <c r="N24" s="117"/>
    </row>
    <row r="25" spans="1:33" ht="15" customHeight="1" thickTop="1" thickBot="1" x14ac:dyDescent="0.4">
      <c r="A25" s="133" t="s">
        <v>25</v>
      </c>
      <c r="B25" s="129"/>
      <c r="C25" s="129"/>
      <c r="D25" s="129"/>
      <c r="E25" s="129"/>
      <c r="F25" s="129"/>
      <c r="G25" s="129"/>
      <c r="H25" s="129"/>
      <c r="I25" s="129"/>
      <c r="J25" s="113"/>
    </row>
    <row r="26" spans="1:33" ht="15" customHeight="1" thickTop="1" thickBot="1" x14ac:dyDescent="0.4">
      <c r="A26" s="134" t="s">
        <v>23</v>
      </c>
      <c r="B26" s="89"/>
      <c r="C26" s="89"/>
      <c r="D26" s="89"/>
      <c r="E26" s="89"/>
      <c r="F26" s="89"/>
      <c r="G26" s="89"/>
      <c r="H26" s="89"/>
      <c r="I26" s="89"/>
      <c r="J26" s="109">
        <f t="shared" ref="J26" si="3">J8-J14-J20</f>
        <v>23692.649999999994</v>
      </c>
    </row>
    <row r="27" spans="1:33" ht="15" customHeight="1" thickBot="1" x14ac:dyDescent="0.4">
      <c r="A27" s="136" t="s">
        <v>21</v>
      </c>
      <c r="B27" s="92"/>
      <c r="C27" s="92"/>
      <c r="D27" s="92"/>
      <c r="E27" s="92"/>
      <c r="F27" s="92"/>
      <c r="G27" s="92"/>
      <c r="H27" s="92"/>
      <c r="I27" s="92"/>
      <c r="J27" s="111">
        <f t="shared" ref="J27" si="4">J12-J18-J24</f>
        <v>29178.889999999985</v>
      </c>
    </row>
    <row r="28" spans="1:33" ht="15" thickTop="1" x14ac:dyDescent="0.35">
      <c r="A28" s="119"/>
      <c r="B28" s="119"/>
      <c r="C28" s="119"/>
      <c r="D28" s="119"/>
      <c r="E28" s="119"/>
      <c r="F28" s="119"/>
      <c r="G28" s="119"/>
      <c r="H28" s="119"/>
      <c r="I28" s="119"/>
      <c r="J28" s="119"/>
    </row>
    <row r="29" spans="1:33" x14ac:dyDescent="0.35">
      <c r="A29" t="str">
        <f>VYSVETLIVKY!$B$39</f>
        <v>Poznámky Úč POD 3-01</v>
      </c>
      <c r="J29" s="204" t="str">
        <f>VYSVETLIVKY!$B$40</f>
        <v>IČO : 44078773</v>
      </c>
    </row>
    <row r="30" spans="1:33" x14ac:dyDescent="0.35">
      <c r="J30" s="204" t="str">
        <f>VYSVETLIVKY!$B$41</f>
        <v>DIČ : 2022590790</v>
      </c>
    </row>
    <row r="31" spans="1:33" ht="15" thickBot="1" x14ac:dyDescent="0.4">
      <c r="A31" s="137" t="s">
        <v>9</v>
      </c>
      <c r="B31" s="137"/>
      <c r="C31" s="137"/>
      <c r="D31" s="137"/>
      <c r="E31" s="137"/>
      <c r="F31" s="137"/>
      <c r="G31" s="137"/>
      <c r="H31" s="137"/>
      <c r="I31" s="137"/>
      <c r="J31" s="137"/>
    </row>
    <row r="32" spans="1:33" ht="16.5" customHeight="1" thickTop="1" thickBot="1" x14ac:dyDescent="0.4">
      <c r="A32" s="216" t="s">
        <v>26</v>
      </c>
      <c r="B32" s="218" t="s">
        <v>3</v>
      </c>
      <c r="C32" s="219"/>
      <c r="D32" s="219"/>
      <c r="E32" s="219"/>
      <c r="F32" s="219"/>
      <c r="G32" s="219"/>
      <c r="H32" s="219"/>
      <c r="I32" s="219"/>
      <c r="J32" s="220"/>
      <c r="K32" s="132"/>
      <c r="L32" s="132"/>
      <c r="M32" s="132"/>
      <c r="N32" s="132"/>
      <c r="O32" s="132"/>
      <c r="P32" s="132"/>
      <c r="Q32" s="132"/>
      <c r="R32" s="132"/>
      <c r="S32" s="132"/>
      <c r="T32" s="132"/>
      <c r="U32" s="132"/>
      <c r="V32" s="132"/>
      <c r="W32" s="132"/>
      <c r="X32" s="132"/>
      <c r="Y32" s="132"/>
      <c r="Z32" s="132"/>
      <c r="AA32" s="132"/>
      <c r="AB32" s="132"/>
      <c r="AC32" s="132"/>
      <c r="AD32" s="132"/>
      <c r="AE32" s="132"/>
      <c r="AF32" s="132"/>
      <c r="AG32" s="132"/>
    </row>
    <row r="33" spans="1:25" ht="62.25" customHeight="1" thickTop="1" thickBot="1" x14ac:dyDescent="0.4">
      <c r="A33" s="217"/>
      <c r="B33" s="138" t="s">
        <v>27</v>
      </c>
      <c r="C33" s="138" t="s">
        <v>28</v>
      </c>
      <c r="D33" s="138" t="s">
        <v>29</v>
      </c>
      <c r="E33" s="138" t="s">
        <v>201</v>
      </c>
      <c r="F33" s="138" t="s">
        <v>30</v>
      </c>
      <c r="G33" s="138" t="s">
        <v>31</v>
      </c>
      <c r="H33" s="138" t="s">
        <v>202</v>
      </c>
      <c r="I33" s="138" t="s">
        <v>32</v>
      </c>
      <c r="J33" s="138" t="s">
        <v>8</v>
      </c>
    </row>
    <row r="34" spans="1:25" ht="15" customHeight="1" thickTop="1" thickBot="1" x14ac:dyDescent="0.4">
      <c r="A34" s="139" t="s">
        <v>16</v>
      </c>
      <c r="B34" s="91"/>
      <c r="C34" s="91"/>
      <c r="D34" s="91"/>
      <c r="E34" s="91"/>
      <c r="F34" s="91"/>
      <c r="G34" s="91"/>
      <c r="H34" s="91"/>
      <c r="I34" s="91"/>
      <c r="J34" s="140"/>
      <c r="K34" s="132"/>
      <c r="L34" s="132"/>
      <c r="M34" s="132"/>
      <c r="N34" s="132"/>
      <c r="O34" s="132"/>
      <c r="P34" s="132"/>
      <c r="Q34" s="132"/>
      <c r="R34" s="132"/>
      <c r="S34" s="132"/>
      <c r="T34" s="132"/>
      <c r="U34" s="132"/>
      <c r="V34" s="132"/>
      <c r="W34" s="132"/>
      <c r="X34" s="132"/>
      <c r="Y34" s="132"/>
    </row>
    <row r="35" spans="1:25" ht="15.5" thickTop="1" thickBot="1" x14ac:dyDescent="0.4">
      <c r="A35" s="141" t="s">
        <v>17</v>
      </c>
      <c r="B35" s="124">
        <f>SUMIF(HKM!A:A,"031*",HKM!C:C)-SUMIF(HKM!A:A,"031*",HKM!D:D)</f>
        <v>0</v>
      </c>
      <c r="C35" s="124">
        <f>SUMIF(HKM!A:A,"021*",HKM!C:C)-SUMIF(HKM!A:A,"021*",HKM!D:D)</f>
        <v>76743.69</v>
      </c>
      <c r="D35" s="124">
        <f>SUMIF(HKM!A:A,"022*",HKM!C:C)-SUMIF(HKM!A:A,"022*",HKM!D:D)</f>
        <v>33768.009999999995</v>
      </c>
      <c r="E35" s="124">
        <f>SUMIF(HKM!A:A,"025*",HKM!C:C)-SUMIF(HKM!A:A,"025*",HKM!D:D)</f>
        <v>0</v>
      </c>
      <c r="F35" s="124">
        <f>SUMIF(HKM!A:A,"026*",HKM!C:C)-SUMIF(HKM!A:A,"026*",HKM!D:D)</f>
        <v>0</v>
      </c>
      <c r="G35" s="124">
        <f>SUMIF(HKM!A:A,"029*",HKM!C:C)-SUMIF(HKM!A:A,"029*",HKM!D:D)</f>
        <v>7842.44</v>
      </c>
      <c r="H35" s="124">
        <f>SUMIF(HKM!A:A,"042*",HKM!C:C)-SUMIF(HKM!A:A,"042*",HKM!D:D)</f>
        <v>761</v>
      </c>
      <c r="I35" s="124">
        <f>SUMIF(HKM!A:A,"052*",HKM!C:C)-SUMIF(HKM!A:A,"052*",HKM!D:D)</f>
        <v>0</v>
      </c>
      <c r="J35" s="142">
        <f>SUM(B35:I35)</f>
        <v>119115.14</v>
      </c>
      <c r="L35" s="110"/>
    </row>
    <row r="36" spans="1:25" ht="15" customHeight="1" thickBot="1" x14ac:dyDescent="0.4">
      <c r="A36" s="143" t="s">
        <v>18</v>
      </c>
      <c r="B36" s="89">
        <f>SUMIF(HKM!A:A,"031*",HKM!I:I)</f>
        <v>0</v>
      </c>
      <c r="C36" s="89">
        <f>SUMIF(HKM!A:A,"021*",HKM!I:I)</f>
        <v>0</v>
      </c>
      <c r="D36" s="89">
        <f>SUMIF(HKM!A:A,"022*",HKM!I:I)</f>
        <v>0</v>
      </c>
      <c r="E36" s="89">
        <f>SUMIF(HKM!A:A,"025*",HKM!I:I)</f>
        <v>0</v>
      </c>
      <c r="F36" s="90">
        <f>SUMIF(HKM!A:A,"026*",HKM!I:I)</f>
        <v>0</v>
      </c>
      <c r="G36" s="89">
        <f>SUMIF(HKM!A:A,"029*",HKM!I:I)</f>
        <v>761</v>
      </c>
      <c r="H36" s="89">
        <f>SUMIF(HKM!A:A,"042*",HKM!I:I)</f>
        <v>2389.83</v>
      </c>
      <c r="I36" s="89">
        <f>SUMIF(HKM!A:A,"052*",HKM!I:I)</f>
        <v>0</v>
      </c>
      <c r="J36" s="142">
        <f t="shared" ref="J36:J38" si="5">SUM(B36:I36)</f>
        <v>3150.83</v>
      </c>
    </row>
    <row r="37" spans="1:25" ht="15" customHeight="1" thickBot="1" x14ac:dyDescent="0.4">
      <c r="A37" s="143" t="s">
        <v>19</v>
      </c>
      <c r="B37" s="89">
        <f>SUMIF(HKM!A:A,"031*",HKM!J:J)</f>
        <v>0</v>
      </c>
      <c r="C37" s="89">
        <f>SUMIF(HKM!A:A,"021*",HKM!J:J)</f>
        <v>0</v>
      </c>
      <c r="D37" s="89">
        <f>SUMIF(HKM!A:A,"022*",HKM!J:J)</f>
        <v>0</v>
      </c>
      <c r="E37" s="89">
        <f>SUMIF(HKM!A:A,"025*",HKM!J:J)</f>
        <v>0</v>
      </c>
      <c r="F37" s="90">
        <f>SUMIF(HKM!A:A,"026*",HKM!J:J)</f>
        <v>0</v>
      </c>
      <c r="G37" s="89">
        <f>SUMIF(HKM!A:A,"029*",HKM!J:J)</f>
        <v>0</v>
      </c>
      <c r="H37" s="89">
        <f>SUMIF(HKM!A:A,"042*",HKM!J:J)</f>
        <v>761</v>
      </c>
      <c r="I37" s="89">
        <f>SUMIF(HKM!A:A,"052*",HKM!J:J)</f>
        <v>0</v>
      </c>
      <c r="J37" s="142">
        <f t="shared" si="5"/>
        <v>761</v>
      </c>
    </row>
    <row r="38" spans="1:25" ht="15" customHeight="1" thickBot="1" x14ac:dyDescent="0.4">
      <c r="A38" s="143" t="s">
        <v>20</v>
      </c>
      <c r="B38" s="89"/>
      <c r="C38" s="89"/>
      <c r="D38" s="89"/>
      <c r="E38" s="89"/>
      <c r="F38" s="90"/>
      <c r="G38" s="89"/>
      <c r="H38" s="89"/>
      <c r="I38" s="89"/>
      <c r="J38" s="142">
        <f t="shared" si="5"/>
        <v>0</v>
      </c>
    </row>
    <row r="39" spans="1:25" ht="15" thickBot="1" x14ac:dyDescent="0.4">
      <c r="A39" s="144" t="s">
        <v>21</v>
      </c>
      <c r="B39" s="124">
        <f>SUMIF(HKM!A:A,"031*",HKM!K:K)-SUMIF(HKM!A:A,"031*",HKM!L:L)</f>
        <v>0</v>
      </c>
      <c r="C39" s="124">
        <f>SUMIF(HKM!A:A,"021*",HKM!K:K)-SUMIF(HKM!A:A,"021*",HKM!L:L)</f>
        <v>76743.69</v>
      </c>
      <c r="D39" s="124">
        <f>SUMIF(HKM!A:A,"022*",HKM!K:K)-SUMIF(HKM!A:A,"022*",HKM!L:L)</f>
        <v>33768.009999999995</v>
      </c>
      <c r="E39" s="124">
        <f>SUMIF(HKM!A:A,"025*",HKM!K:K)-SUMIF(HKM!A:A,"025*",HKM!L:L)</f>
        <v>0</v>
      </c>
      <c r="F39" s="124">
        <f>SUMIF(HKM!A:A,"026*",HKM!K:K)-SUMIF(HKM!A:A,"026*",HKM!L:L)</f>
        <v>0</v>
      </c>
      <c r="G39" s="124">
        <f>SUMIF(HKM!A:A,"029*",HKM!K:K)-SUMIF(HKM!A:A,"029*",HKM!L:L)</f>
        <v>8603.4399999999987</v>
      </c>
      <c r="H39" s="124">
        <f>SUMIF(HKM!A:A,"042*",HKM!K:K)-SUMIF(HKM!A:A,"042*",HKM!L:L)</f>
        <v>2389.83</v>
      </c>
      <c r="I39" s="124">
        <f>SUMIF(HKM!A:A,"052*",HKM!K:K)-SUMIF(HKM!A:A,"052*",HKM!L:L)</f>
        <v>0</v>
      </c>
      <c r="J39" s="145">
        <f>J35+J36-J37+J38</f>
        <v>121504.97</v>
      </c>
      <c r="L39" s="110"/>
    </row>
    <row r="40" spans="1:25" ht="15" customHeight="1" thickTop="1" thickBot="1" x14ac:dyDescent="0.4">
      <c r="A40" s="139" t="s">
        <v>22</v>
      </c>
      <c r="B40" s="129"/>
      <c r="C40" s="129"/>
      <c r="D40" s="129"/>
      <c r="E40" s="129"/>
      <c r="F40" s="129"/>
      <c r="G40" s="129"/>
      <c r="H40" s="129"/>
      <c r="I40" s="129"/>
      <c r="J40" s="140"/>
    </row>
    <row r="41" spans="1:25" ht="15.5" thickTop="1" thickBot="1" x14ac:dyDescent="0.4">
      <c r="A41" s="141" t="s">
        <v>23</v>
      </c>
      <c r="B41" s="89"/>
      <c r="C41" s="124">
        <f>SUMIF(HKM!A:A,"081*",HKM!D:D)-SUMIF(HKM!A:A,"081*",HKM!C:C)</f>
        <v>52503.839999999997</v>
      </c>
      <c r="D41" s="124">
        <f>SUMIF(HKM!A:A,"082*",HKM!D:D)-SUMIF(HKM!A:A,"082*",HKM!C:C)</f>
        <v>31606.420000000002</v>
      </c>
      <c r="E41" s="124">
        <f>SUMIF(HKM!A:A,"085*",HKM!D:D)-SUMIF(HKM!A:A,"085*",HKM!C:C)</f>
        <v>0</v>
      </c>
      <c r="F41" s="124">
        <f>SUMIF(HKM!A:A,"086*",HKM!D:D)-SUMIF(HKM!A:A,"086*",HKM!C:C)</f>
        <v>0</v>
      </c>
      <c r="G41" s="124">
        <f>SUMIF(HKM!A:A,"089*",HKM!D:D)-SUMIF(HKM!A:A,"089*",HKM!C:C)</f>
        <v>6925.21</v>
      </c>
      <c r="H41" s="89"/>
      <c r="I41" s="89"/>
      <c r="J41" s="142">
        <f>SUM(B41:I41)</f>
        <v>91035.47</v>
      </c>
      <c r="L41" s="110"/>
    </row>
    <row r="42" spans="1:25" ht="15" customHeight="1" thickBot="1" x14ac:dyDescent="0.4">
      <c r="A42" s="143" t="s">
        <v>18</v>
      </c>
      <c r="B42" s="89"/>
      <c r="C42" s="89">
        <f>SUMIF(HKM!A:A,"081*",HKM!J:J)</f>
        <v>3837.24</v>
      </c>
      <c r="D42" s="89">
        <f>SUMIF(HKM!A:A,"082*",HKM!J:J)</f>
        <v>1999.33</v>
      </c>
      <c r="E42" s="89">
        <f>SUMIF(HKM!A:A,"085*",HKM!J:J)</f>
        <v>0</v>
      </c>
      <c r="F42" s="89">
        <f>SUMIF(HKM!A:A,"086*",HKM!J:J)</f>
        <v>0</v>
      </c>
      <c r="G42" s="89">
        <f>SUMIF(HKM!A:A,"089*",HKM!J:J)</f>
        <v>940.28</v>
      </c>
      <c r="H42" s="89"/>
      <c r="I42" s="89"/>
      <c r="J42" s="142">
        <f t="shared" ref="J42:J44" si="6">SUM(B42:I42)</f>
        <v>6776.8499999999995</v>
      </c>
    </row>
    <row r="43" spans="1:25" ht="15" customHeight="1" thickBot="1" x14ac:dyDescent="0.4">
      <c r="A43" s="143" t="s">
        <v>19</v>
      </c>
      <c r="B43" s="89"/>
      <c r="C43" s="89">
        <f>SUMIF(HKM!A:A,"081*",HKM!I:I)</f>
        <v>0</v>
      </c>
      <c r="D43" s="89">
        <f>SUMIF(HKM!A:A,"082*",HKM!I:I)</f>
        <v>0</v>
      </c>
      <c r="E43" s="89">
        <f>SUMIF(HKM!A:A,"085*",HKM!I:I)</f>
        <v>0</v>
      </c>
      <c r="F43" s="89">
        <f>SUMIF(HKM!A:A,"086*",HKM!I:I)</f>
        <v>0</v>
      </c>
      <c r="G43" s="89">
        <f>SUMIF(HKM!A:A,"089*",HKM!I:I)</f>
        <v>0</v>
      </c>
      <c r="H43" s="89"/>
      <c r="I43" s="89"/>
      <c r="J43" s="142">
        <f t="shared" si="6"/>
        <v>0</v>
      </c>
    </row>
    <row r="44" spans="1:25" ht="15" customHeight="1" thickBot="1" x14ac:dyDescent="0.4">
      <c r="A44" s="143" t="s">
        <v>20</v>
      </c>
      <c r="B44" s="89"/>
      <c r="C44" s="89"/>
      <c r="D44" s="89"/>
      <c r="E44" s="89"/>
      <c r="F44" s="90"/>
      <c r="G44" s="89"/>
      <c r="H44" s="89"/>
      <c r="I44" s="89"/>
      <c r="J44" s="142">
        <f t="shared" si="6"/>
        <v>0</v>
      </c>
    </row>
    <row r="45" spans="1:25" ht="15" thickBot="1" x14ac:dyDescent="0.4">
      <c r="A45" s="144" t="s">
        <v>21</v>
      </c>
      <c r="B45" s="92"/>
      <c r="C45" s="124">
        <f>SUMIF(HKM!A:A,"081*",HKM!L:L)-SUMIF(HKM!A:A,"081*",HKM!K:K)</f>
        <v>56341.08</v>
      </c>
      <c r="D45" s="124">
        <f>SUMIF(HKM!A:A,"082*",HKM!L:L)-SUMIF(HKM!A:A,"082*",HKM!K:K)</f>
        <v>33605.75</v>
      </c>
      <c r="E45" s="124">
        <f>SUMIF(HKM!A:A,"085*",HKM!L:L)-SUMIF(HKM!A:A,"085*",HKM!K:K)</f>
        <v>0</v>
      </c>
      <c r="F45" s="124">
        <f>SUMIF(HKM!A:A,"086*",HKM!L:L)-SUMIF(HKM!A:A,"086*",HKM!K:K)</f>
        <v>0</v>
      </c>
      <c r="G45" s="124">
        <f>SUMIF(HKM!A:A,"089*",HKM!L:L)-SUMIF(HKM!A:A,"089*",HKM!K:K)</f>
        <v>7865.49</v>
      </c>
      <c r="H45" s="92"/>
      <c r="I45" s="92"/>
      <c r="J45" s="145">
        <f>J41+J42-J43</f>
        <v>97812.32</v>
      </c>
      <c r="L45" s="110"/>
    </row>
    <row r="46" spans="1:25" ht="15" customHeight="1" thickTop="1" thickBot="1" x14ac:dyDescent="0.4">
      <c r="A46" s="139" t="s">
        <v>24</v>
      </c>
      <c r="B46" s="129"/>
      <c r="C46" s="129"/>
      <c r="D46" s="129"/>
      <c r="E46" s="129"/>
      <c r="F46" s="129"/>
      <c r="G46" s="129"/>
      <c r="H46" s="129"/>
      <c r="I46" s="129"/>
      <c r="J46" s="140"/>
    </row>
    <row r="47" spans="1:25" ht="15.5" thickTop="1" thickBot="1" x14ac:dyDescent="0.4">
      <c r="A47" s="141" t="s">
        <v>23</v>
      </c>
      <c r="B47" s="89"/>
      <c r="C47" s="124"/>
      <c r="D47" s="124"/>
      <c r="E47" s="124"/>
      <c r="F47" s="124"/>
      <c r="G47" s="124"/>
      <c r="H47" s="124">
        <f>SUMIF(HKM!A:A,"094*",HKM!D:D)-SUMIF(HKM!A:A,"094*",HKM!C:C)</f>
        <v>0</v>
      </c>
      <c r="I47" s="124"/>
      <c r="J47" s="142">
        <f>SUM(B47:I47)</f>
        <v>0</v>
      </c>
      <c r="L47" s="110"/>
      <c r="M47" s="123"/>
      <c r="N47" s="117"/>
    </row>
    <row r="48" spans="1:25" ht="15" customHeight="1" thickBot="1" x14ac:dyDescent="0.4">
      <c r="A48" s="143" t="s">
        <v>18</v>
      </c>
      <c r="B48" s="89"/>
      <c r="C48" s="89"/>
      <c r="D48" s="89"/>
      <c r="E48" s="89"/>
      <c r="F48" s="89"/>
      <c r="G48" s="89"/>
      <c r="H48" s="89">
        <f>SUMIF(HKM!A:A,"094*",HKM!J:J)</f>
        <v>0</v>
      </c>
      <c r="I48" s="89"/>
      <c r="J48" s="142">
        <f t="shared" ref="J48:J50" si="7">SUM(B48:I48)</f>
        <v>0</v>
      </c>
      <c r="N48" s="117"/>
    </row>
    <row r="49" spans="1:14" ht="15" customHeight="1" thickBot="1" x14ac:dyDescent="0.4">
      <c r="A49" s="143" t="s">
        <v>19</v>
      </c>
      <c r="B49" s="89"/>
      <c r="C49" s="89"/>
      <c r="D49" s="89"/>
      <c r="E49" s="89"/>
      <c r="F49" s="89"/>
      <c r="G49" s="89"/>
      <c r="H49" s="89">
        <f>SUMIF(HKM!A:A,"094*",HKM!I:I)</f>
        <v>0</v>
      </c>
      <c r="I49" s="89"/>
      <c r="J49" s="142">
        <f t="shared" si="7"/>
        <v>0</v>
      </c>
      <c r="N49" s="117"/>
    </row>
    <row r="50" spans="1:14" ht="15" customHeight="1" thickBot="1" x14ac:dyDescent="0.4">
      <c r="A50" s="143" t="s">
        <v>20</v>
      </c>
      <c r="B50" s="89"/>
      <c r="C50" s="89"/>
      <c r="D50" s="89"/>
      <c r="E50" s="89"/>
      <c r="F50" s="90"/>
      <c r="G50" s="89"/>
      <c r="H50" s="89"/>
      <c r="I50" s="89"/>
      <c r="J50" s="142">
        <f t="shared" si="7"/>
        <v>0</v>
      </c>
    </row>
    <row r="51" spans="1:14" ht="15" thickBot="1" x14ac:dyDescent="0.4">
      <c r="A51" s="144" t="s">
        <v>21</v>
      </c>
      <c r="B51" s="92"/>
      <c r="C51" s="124"/>
      <c r="D51" s="124"/>
      <c r="E51" s="124"/>
      <c r="F51" s="124"/>
      <c r="G51" s="124"/>
      <c r="H51" s="124">
        <f>SUMIF(HKM!A:A,"094*",HKM!L:L)-SUMIF(HKM!A:A,"094*",HKM!K:K)</f>
        <v>0</v>
      </c>
      <c r="I51" s="124">
        <f>SUMIF(SUAM!C:C,"019",SUAM!E:E)</f>
        <v>0</v>
      </c>
      <c r="J51" s="145">
        <f>J47+J48-J49</f>
        <v>0</v>
      </c>
      <c r="L51" s="110"/>
      <c r="N51" s="117"/>
    </row>
    <row r="52" spans="1:14" ht="15" customHeight="1" thickTop="1" thickBot="1" x14ac:dyDescent="0.4">
      <c r="A52" s="139" t="s">
        <v>25</v>
      </c>
      <c r="B52" s="129"/>
      <c r="C52" s="129"/>
      <c r="D52" s="129"/>
      <c r="E52" s="129"/>
      <c r="F52" s="129"/>
      <c r="G52" s="129"/>
      <c r="H52" s="129"/>
      <c r="I52" s="129"/>
      <c r="J52" s="140"/>
    </row>
    <row r="53" spans="1:14" ht="15" customHeight="1" thickTop="1" thickBot="1" x14ac:dyDescent="0.4">
      <c r="A53" s="141" t="s">
        <v>23</v>
      </c>
      <c r="B53" s="89">
        <f>B35-B41-B47</f>
        <v>0</v>
      </c>
      <c r="C53" s="89">
        <f t="shared" ref="C53:J53" si="8">C35-C41-C47</f>
        <v>24239.850000000006</v>
      </c>
      <c r="D53" s="89">
        <f t="shared" si="8"/>
        <v>2161.5899999999929</v>
      </c>
      <c r="E53" s="89">
        <f t="shared" si="8"/>
        <v>0</v>
      </c>
      <c r="F53" s="89">
        <f t="shared" si="8"/>
        <v>0</v>
      </c>
      <c r="G53" s="89">
        <f t="shared" si="8"/>
        <v>917.22999999999956</v>
      </c>
      <c r="H53" s="89">
        <f t="shared" si="8"/>
        <v>761</v>
      </c>
      <c r="I53" s="89">
        <f t="shared" si="8"/>
        <v>0</v>
      </c>
      <c r="J53" s="142">
        <f t="shared" si="8"/>
        <v>28079.67</v>
      </c>
    </row>
    <row r="54" spans="1:14" ht="15" customHeight="1" thickBot="1" x14ac:dyDescent="0.4">
      <c r="A54" s="144" t="s">
        <v>21</v>
      </c>
      <c r="B54" s="92">
        <f>B39-B45-B51</f>
        <v>0</v>
      </c>
      <c r="C54" s="92">
        <f t="shared" ref="C54:J54" si="9">C39-C45-C51</f>
        <v>20402.61</v>
      </c>
      <c r="D54" s="92">
        <f t="shared" si="9"/>
        <v>162.25999999999476</v>
      </c>
      <c r="E54" s="92">
        <f t="shared" si="9"/>
        <v>0</v>
      </c>
      <c r="F54" s="92">
        <f t="shared" si="9"/>
        <v>0</v>
      </c>
      <c r="G54" s="92">
        <f t="shared" si="9"/>
        <v>737.94999999999891</v>
      </c>
      <c r="H54" s="92">
        <f t="shared" si="9"/>
        <v>2389.83</v>
      </c>
      <c r="I54" s="92">
        <f t="shared" si="9"/>
        <v>0</v>
      </c>
      <c r="J54" s="145">
        <f t="shared" si="9"/>
        <v>23692.649999999994</v>
      </c>
    </row>
    <row r="55" spans="1:14" ht="15" thickTop="1" x14ac:dyDescent="0.35">
      <c r="A55" s="119"/>
      <c r="B55" s="119"/>
      <c r="C55" s="119"/>
      <c r="D55" s="119"/>
      <c r="E55" s="119"/>
      <c r="F55" s="119"/>
      <c r="G55" s="119"/>
      <c r="H55" s="119"/>
      <c r="I55" s="119"/>
      <c r="J55" s="119"/>
    </row>
    <row r="56" spans="1:14" x14ac:dyDescent="0.35">
      <c r="A56" s="119"/>
      <c r="B56" s="119"/>
      <c r="C56" s="119"/>
      <c r="D56" s="119"/>
      <c r="E56" s="119"/>
      <c r="F56" s="119"/>
      <c r="G56" s="119"/>
      <c r="H56" s="119"/>
      <c r="I56" s="119"/>
      <c r="J56" s="119"/>
    </row>
  </sheetData>
  <mergeCells count="4">
    <mergeCell ref="A5:A6"/>
    <mergeCell ref="A32:A33"/>
    <mergeCell ref="B32:J32"/>
    <mergeCell ref="B5:J5"/>
  </mergeCells>
  <pageMargins left="0.70866141732283472" right="0.70866141732283472" top="0.74803149606299213" bottom="0.74803149606299213" header="0.31496062992125984" footer="0.31496062992125984"/>
  <pageSetup paperSize="9" scale="95" fitToWidth="2" fitToHeight="2" orientation="landscape" r:id="rId1"/>
  <rowBreaks count="1" manualBreakCount="1">
    <brk id="28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B050"/>
  </sheetPr>
  <dimension ref="A1:H15"/>
  <sheetViews>
    <sheetView showGridLines="0" zoomScaleNormal="100" workbookViewId="0">
      <selection activeCell="G24" sqref="G24"/>
    </sheetView>
  </sheetViews>
  <sheetFormatPr defaultRowHeight="14.5" x14ac:dyDescent="0.35"/>
  <cols>
    <col min="1" max="1" width="18.54296875" customWidth="1"/>
    <col min="2" max="6" width="13.54296875" customWidth="1"/>
    <col min="7" max="7" width="17.54296875" customWidth="1"/>
  </cols>
  <sheetData>
    <row r="1" spans="1:8" x14ac:dyDescent="0.35">
      <c r="A1" t="str">
        <f>VYSVETLIVKY!$B$39</f>
        <v>Poznámky Úč POD 3-01</v>
      </c>
      <c r="F1" s="204" t="str">
        <f>VYSVETLIVKY!$B$40</f>
        <v>IČO : 44078773</v>
      </c>
    </row>
    <row r="2" spans="1:8" x14ac:dyDescent="0.35">
      <c r="F2" s="204" t="str">
        <f>VYSVETLIVKY!$B$41</f>
        <v>DIČ : 2022590790</v>
      </c>
    </row>
    <row r="3" spans="1:8" x14ac:dyDescent="0.35">
      <c r="A3" s="1" t="s">
        <v>262</v>
      </c>
    </row>
    <row r="4" spans="1:8" ht="15" thickBot="1" x14ac:dyDescent="0.4">
      <c r="A4" s="2" t="s">
        <v>7</v>
      </c>
    </row>
    <row r="5" spans="1:8" ht="15.5" thickTop="1" thickBot="1" x14ac:dyDescent="0.4">
      <c r="A5" s="206" t="s">
        <v>34</v>
      </c>
      <c r="B5" s="211" t="s">
        <v>2</v>
      </c>
      <c r="C5" s="212"/>
      <c r="D5" s="212"/>
      <c r="E5" s="212"/>
      <c r="F5" s="213"/>
    </row>
    <row r="6" spans="1:8" ht="60" customHeight="1" thickTop="1" thickBot="1" x14ac:dyDescent="0.4">
      <c r="A6" s="221"/>
      <c r="B6" s="22" t="s">
        <v>35</v>
      </c>
      <c r="C6" s="19" t="s">
        <v>204</v>
      </c>
      <c r="D6" s="22" t="s">
        <v>207</v>
      </c>
      <c r="E6" s="19" t="s">
        <v>205</v>
      </c>
      <c r="F6" s="22" t="s">
        <v>36</v>
      </c>
    </row>
    <row r="7" spans="1:8" ht="23.25" customHeight="1" thickTop="1" thickBot="1" x14ac:dyDescent="0.4">
      <c r="A7" s="13" t="s">
        <v>37</v>
      </c>
      <c r="B7" s="124">
        <f>SUMIF(HK!A:A,"191*",HK!D:D)-SUMIF(HK!A:A,"191*",HK!C:C)</f>
        <v>0</v>
      </c>
      <c r="C7" s="150"/>
      <c r="D7" s="150"/>
      <c r="E7" s="150"/>
      <c r="F7" s="124">
        <f>SUMIF(HK!A:A,"191*",HK!L:L)-SUMIF(HK!A:A,"191*",HK!K:K)</f>
        <v>0</v>
      </c>
      <c r="H7" s="148"/>
    </row>
    <row r="8" spans="1:8" ht="20.5" thickBot="1" x14ac:dyDescent="0.4">
      <c r="A8" s="13" t="s">
        <v>43</v>
      </c>
      <c r="B8" s="124">
        <f>SUMIF(HK!A:A,"192*",HK!D:D)-SUMIF(HK!A:A,"192*",HK!C:C)+SUMIF(HK!A:A,"193*",HK!D:D)-SUMIF(HK!A:A,"193*",HK!C:C)</f>
        <v>0</v>
      </c>
      <c r="C8" s="150"/>
      <c r="D8" s="150"/>
      <c r="E8" s="150"/>
      <c r="F8" s="124">
        <f>SUMIF(HK!A:A,"192*",HK!L:L)-SUMIF(HK!A:A,"192*",HK!K:K)+SUMIF(HK!A:A,"193*",HK!L:L)-SUMIF(HK!A:A,"193*",HK!K:K)</f>
        <v>0</v>
      </c>
      <c r="H8" s="148"/>
    </row>
    <row r="9" spans="1:8" ht="23.25" customHeight="1" thickBot="1" x14ac:dyDescent="0.4">
      <c r="A9" s="13" t="s">
        <v>38</v>
      </c>
      <c r="B9" s="124">
        <f>SUMIF(HK!A:A,"194*",HK!D:D)-SUMIF(HK!A:A,"194*",HK!C:C)</f>
        <v>0</v>
      </c>
      <c r="C9" s="89"/>
      <c r="D9" s="89"/>
      <c r="E9" s="89"/>
      <c r="F9" s="124">
        <f>SUMIF(HK!A:A,"194*",HK!L:L)-SUMIF(HK!A:A,"194*",HK!K:K)</f>
        <v>0</v>
      </c>
      <c r="H9" s="148"/>
    </row>
    <row r="10" spans="1:8" ht="23.25" customHeight="1" thickBot="1" x14ac:dyDescent="0.4">
      <c r="A10" s="13" t="s">
        <v>39</v>
      </c>
      <c r="B10" s="124">
        <f>SUMIF(HK!A:A,"195*",HK!D:D)-SUMIF(HK!A:A,"195*",HK!C:C)</f>
        <v>0</v>
      </c>
      <c r="C10" s="89"/>
      <c r="D10" s="89"/>
      <c r="E10" s="89"/>
      <c r="F10" s="124">
        <f>SUMIF(HK!A:A,"195*",HK!L:L)-SUMIF(HK!A:A,"195*",HK!K:K)</f>
        <v>0</v>
      </c>
      <c r="H10" s="148"/>
    </row>
    <row r="11" spans="1:8" ht="23.25" customHeight="1" thickBot="1" x14ac:dyDescent="0.4">
      <c r="A11" s="13" t="s">
        <v>40</v>
      </c>
      <c r="B11" s="124">
        <f>SUMIF(HK!A:A,"196*",HK!D:D)-SUMIF(HK!A:A,"196*",HK!C:C)</f>
        <v>3126.88</v>
      </c>
      <c r="C11" s="124">
        <f>SUMIF(HK!A:A,"196100",HK!J:J)+SUMIF(HK!A:A,"196200",HK!J:J)</f>
        <v>4078.46</v>
      </c>
      <c r="D11" s="124">
        <f>SUMIF(HK!A:A,"196100",HK!I:I)+SUMIF(HK!A:A,"196200",HK!I:I)</f>
        <v>4069.55</v>
      </c>
      <c r="E11" s="89"/>
      <c r="F11" s="124">
        <f>SUMIF(HK!A:A,"196*",HK!L:L)-SUMIF(HK!A:A,"196*",HK!K:K)</f>
        <v>3135.79</v>
      </c>
      <c r="H11" s="148"/>
    </row>
    <row r="12" spans="1:8" ht="23.25" customHeight="1" thickBot="1" x14ac:dyDescent="0.4">
      <c r="A12" s="13" t="s">
        <v>41</v>
      </c>
      <c r="B12" s="72"/>
      <c r="C12" s="72"/>
      <c r="D12" s="72"/>
      <c r="E12" s="72"/>
      <c r="F12" s="14">
        <f t="shared" ref="F12:F13" si="0">SUM(B12:E12)</f>
        <v>0</v>
      </c>
    </row>
    <row r="13" spans="1:8" ht="23.25" customHeight="1" thickBot="1" x14ac:dyDescent="0.4">
      <c r="A13" s="13" t="s">
        <v>206</v>
      </c>
      <c r="B13" s="72"/>
      <c r="C13" s="72"/>
      <c r="D13" s="72"/>
      <c r="E13" s="72"/>
      <c r="F13" s="14">
        <f t="shared" si="0"/>
        <v>0</v>
      </c>
    </row>
    <row r="14" spans="1:8" ht="23.25" customHeight="1" thickBot="1" x14ac:dyDescent="0.4">
      <c r="A14" s="21" t="s">
        <v>42</v>
      </c>
      <c r="B14" s="34">
        <f>SUM(B7:B13)</f>
        <v>3126.88</v>
      </c>
      <c r="C14" s="34">
        <f t="shared" ref="C14:F14" si="1">SUM(C7:C13)</f>
        <v>4078.46</v>
      </c>
      <c r="D14" s="34">
        <f t="shared" si="1"/>
        <v>4069.55</v>
      </c>
      <c r="E14" s="34">
        <f t="shared" si="1"/>
        <v>0</v>
      </c>
      <c r="F14" s="36">
        <f t="shared" si="1"/>
        <v>3135.79</v>
      </c>
    </row>
    <row r="15" spans="1:8" ht="15" thickTop="1" x14ac:dyDescent="0.35">
      <c r="A15" s="2"/>
    </row>
  </sheetData>
  <mergeCells count="2">
    <mergeCell ref="B5:F5"/>
    <mergeCell ref="A5:A6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00B050"/>
  </sheetPr>
  <dimension ref="A1:K12"/>
  <sheetViews>
    <sheetView showGridLines="0" zoomScaleNormal="100" workbookViewId="0">
      <selection sqref="A1:F12"/>
    </sheetView>
  </sheetViews>
  <sheetFormatPr defaultRowHeight="14.5" x14ac:dyDescent="0.35"/>
  <cols>
    <col min="1" max="1" width="25.26953125" customWidth="1"/>
    <col min="2" max="6" width="12.1796875" customWidth="1"/>
  </cols>
  <sheetData>
    <row r="1" spans="1:11" x14ac:dyDescent="0.35">
      <c r="A1" t="str">
        <f>VYSVETLIVKY!$B$39</f>
        <v>Poznámky Úč POD 3-01</v>
      </c>
      <c r="F1" s="204" t="str">
        <f>VYSVETLIVKY!$B$40</f>
        <v>IČO : 44078773</v>
      </c>
    </row>
    <row r="2" spans="1:11" x14ac:dyDescent="0.35">
      <c r="F2" s="204" t="str">
        <f>VYSVETLIVKY!$B$41</f>
        <v>DIČ : 2022590790</v>
      </c>
    </row>
    <row r="3" spans="1:11" ht="15" thickBot="1" x14ac:dyDescent="0.4">
      <c r="A3" s="1" t="s">
        <v>263</v>
      </c>
    </row>
    <row r="4" spans="1:11" ht="15.5" thickTop="1" thickBot="1" x14ac:dyDescent="0.4">
      <c r="A4" s="206" t="s">
        <v>44</v>
      </c>
      <c r="B4" s="211" t="s">
        <v>2</v>
      </c>
      <c r="C4" s="212"/>
      <c r="D4" s="212"/>
      <c r="E4" s="212"/>
      <c r="F4" s="213"/>
    </row>
    <row r="5" spans="1:11" ht="62.25" customHeight="1" thickTop="1" thickBot="1" x14ac:dyDescent="0.4">
      <c r="A5" s="221"/>
      <c r="B5" s="85" t="s">
        <v>45</v>
      </c>
      <c r="C5" s="24" t="s">
        <v>203</v>
      </c>
      <c r="D5" s="85" t="s">
        <v>207</v>
      </c>
      <c r="E5" s="24" t="s">
        <v>205</v>
      </c>
      <c r="F5" s="85" t="s">
        <v>36</v>
      </c>
    </row>
    <row r="6" spans="1:11" s="3" customFormat="1" ht="33" customHeight="1" thickTop="1" thickBot="1" x14ac:dyDescent="0.4">
      <c r="A6" s="75" t="s">
        <v>47</v>
      </c>
      <c r="B6" s="152">
        <f>SUMIF(SUAM!C:C,"042",SUAM!E:E)+SUMIF(SUAM!C:C,"054",SUAM!E:E)</f>
        <v>0</v>
      </c>
      <c r="C6" s="90">
        <f>SUMIF(HK!A:A,"391100",HK!I:I)+SUMIF(HK!A:A,"391300",HK!I:I)</f>
        <v>0</v>
      </c>
      <c r="D6" s="90">
        <f>SUMIF(HK!A:A,"391100",HK!J:J)+SUMIF(HK!A:A,"391300",HK!J:J)</f>
        <v>0</v>
      </c>
      <c r="E6" s="90"/>
      <c r="F6" s="153">
        <f>SUMIF(SUA!C:C,"042",SUA!E:E)+SUMIF(SUA!C:C,"054",SUA!E:E)</f>
        <v>0</v>
      </c>
      <c r="G6" s="154"/>
      <c r="H6" s="202"/>
      <c r="I6" s="203"/>
      <c r="K6" s="73"/>
    </row>
    <row r="7" spans="1:11" s="3" customFormat="1" ht="33" customHeight="1" thickBot="1" x14ac:dyDescent="0.4">
      <c r="A7" s="75" t="s">
        <v>48</v>
      </c>
      <c r="B7" s="156">
        <f>SUMIF(SUAM!C:C,"047",SUAM!E:E)+SUMIF(SUAM!C:C,"059",SUAM!E:E)</f>
        <v>0</v>
      </c>
      <c r="C7" s="89"/>
      <c r="D7" s="89"/>
      <c r="E7" s="89"/>
      <c r="F7" s="124">
        <f>SUMIF(SUA!C:C,"047",SUA!E:E)+SUMIF(SUA!C:C,"059",SUA!E:E)</f>
        <v>0</v>
      </c>
      <c r="G7" s="154"/>
      <c r="H7" s="154"/>
      <c r="I7" s="155"/>
      <c r="K7" s="73"/>
    </row>
    <row r="8" spans="1:11" s="3" customFormat="1" ht="33" customHeight="1" thickBot="1" x14ac:dyDescent="0.4">
      <c r="A8" s="75" t="s">
        <v>57</v>
      </c>
      <c r="B8" s="156">
        <f>SUMIF(SUAM!C:C,"048",SUAM!E:E)+SUMIF(SUAM!C:C,"060",SUAM!E:E)</f>
        <v>0</v>
      </c>
      <c r="C8" s="89"/>
      <c r="D8" s="89"/>
      <c r="E8" s="89"/>
      <c r="F8" s="124">
        <f>SUMIF(SUA!C:C,"048",SUA!E:E)+SUMIF(SUA!C:C,"060",SUA!E:E)</f>
        <v>0</v>
      </c>
      <c r="G8" s="154"/>
      <c r="H8" s="154"/>
      <c r="I8" s="155"/>
      <c r="K8" s="73"/>
    </row>
    <row r="9" spans="1:11" s="3" customFormat="1" ht="33" customHeight="1" thickBot="1" x14ac:dyDescent="0.4">
      <c r="A9" s="75" t="s">
        <v>49</v>
      </c>
      <c r="B9" s="156">
        <f>SUMIF(SUAM!C:C,"049",SUAM!E:E)+SUMIF(SUAM!C:C,"061",SUAM!E:E)</f>
        <v>0</v>
      </c>
      <c r="C9" s="89"/>
      <c r="D9" s="89"/>
      <c r="E9" s="89"/>
      <c r="F9" s="124">
        <f>SUMIF(SUA!C:C,"049",SUA!E:E)+SUMIF(SUA!C:C,"061",SUA!E:E)</f>
        <v>0</v>
      </c>
      <c r="G9" s="154"/>
      <c r="H9" s="154"/>
      <c r="I9" s="155"/>
      <c r="K9" s="73"/>
    </row>
    <row r="10" spans="1:11" s="3" customFormat="1" ht="33" customHeight="1" thickBot="1" x14ac:dyDescent="0.4">
      <c r="A10" s="75" t="s">
        <v>50</v>
      </c>
      <c r="B10" s="156">
        <f>SUMIF(SUAM!C:C,"051",SUAM!E:E)+SUMIF(SUAM!C:C,"062",SUAM!E:E)+SUMIF(SUAM!C:C,"063",SUAM!E:E)+SUMIF(SUAM!C:C,"065",SUAM!E:E)</f>
        <v>0</v>
      </c>
      <c r="C10" s="89">
        <f>SUMIF(HK!A:A,"391200",HK!I:I)</f>
        <v>0</v>
      </c>
      <c r="D10" s="89">
        <f>SUMIF(HK!A:A,"391200",HK!J:J)</f>
        <v>7726.27</v>
      </c>
      <c r="E10" s="89"/>
      <c r="F10" s="124">
        <f>SUMIF(SUA!C:C,"051",SUA!E:E)+SUMIF(SUA!C:C,"062",SUA!E:E)+SUMIF(SUA!C:C,"063",SUA!E:E)+SUMIF(SUAM!C:C,"065",SUA!E:E)</f>
        <v>7726.27</v>
      </c>
      <c r="G10" s="154"/>
      <c r="H10" s="154"/>
      <c r="I10" s="155"/>
      <c r="K10" s="73"/>
    </row>
    <row r="11" spans="1:11" s="3" customFormat="1" ht="33" customHeight="1" thickBot="1" x14ac:dyDescent="0.4">
      <c r="A11" s="76" t="s">
        <v>51</v>
      </c>
      <c r="B11" s="86">
        <f>SUM(B6:B10)</f>
        <v>0</v>
      </c>
      <c r="C11" s="86">
        <f t="shared" ref="C11:E11" si="0">SUM(C6:C10)</f>
        <v>0</v>
      </c>
      <c r="D11" s="86">
        <f t="shared" si="0"/>
        <v>7726.27</v>
      </c>
      <c r="E11" s="86">
        <f t="shared" si="0"/>
        <v>0</v>
      </c>
      <c r="F11" s="87">
        <f>SUM(F6:F10)</f>
        <v>7726.27</v>
      </c>
    </row>
    <row r="12" spans="1:11" ht="15" thickTop="1" x14ac:dyDescent="0.35"/>
  </sheetData>
  <mergeCells count="2">
    <mergeCell ref="B4:F4"/>
    <mergeCell ref="A4:A5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00B050"/>
  </sheetPr>
  <dimension ref="A1:F22"/>
  <sheetViews>
    <sheetView showGridLines="0" zoomScaleNormal="100" workbookViewId="0">
      <selection sqref="A1:D22"/>
    </sheetView>
  </sheetViews>
  <sheetFormatPr defaultRowHeight="14.5" x14ac:dyDescent="0.35"/>
  <cols>
    <col min="1" max="1" width="25.81640625" customWidth="1"/>
    <col min="2" max="4" width="20.1796875" customWidth="1"/>
    <col min="5" max="6" width="20.453125" customWidth="1"/>
  </cols>
  <sheetData>
    <row r="1" spans="1:6" x14ac:dyDescent="0.35">
      <c r="A1" t="str">
        <f>VYSVETLIVKY!$B$39</f>
        <v>Poznámky Úč POD 3-01</v>
      </c>
      <c r="D1" s="204" t="str">
        <f>VYSVETLIVKY!$B$40</f>
        <v>IČO : 44078773</v>
      </c>
    </row>
    <row r="2" spans="1:6" x14ac:dyDescent="0.35">
      <c r="D2" s="204" t="str">
        <f>VYSVETLIVKY!$B$41</f>
        <v>DIČ : 2022590790</v>
      </c>
    </row>
    <row r="3" spans="1:6" x14ac:dyDescent="0.35">
      <c r="A3" s="1" t="s">
        <v>264</v>
      </c>
    </row>
    <row r="4" spans="1:6" ht="15" thickBot="1" x14ac:dyDescent="0.4">
      <c r="A4" s="2" t="s">
        <v>7</v>
      </c>
    </row>
    <row r="5" spans="1:6" ht="22.5" customHeight="1" thickTop="1" thickBot="1" x14ac:dyDescent="0.4">
      <c r="A5" s="9" t="s">
        <v>52</v>
      </c>
      <c r="B5" s="10" t="s">
        <v>53</v>
      </c>
      <c r="C5" s="10" t="s">
        <v>54</v>
      </c>
      <c r="D5" s="10" t="s">
        <v>51</v>
      </c>
    </row>
    <row r="6" spans="1:6" ht="22.5" customHeight="1" thickTop="1" thickBot="1" x14ac:dyDescent="0.4">
      <c r="A6" s="37" t="s">
        <v>55</v>
      </c>
      <c r="B6" s="32"/>
      <c r="C6" s="32"/>
      <c r="D6" s="33"/>
    </row>
    <row r="7" spans="1:6" ht="22.5" customHeight="1" thickTop="1" thickBot="1" x14ac:dyDescent="0.4">
      <c r="A7" s="13" t="s">
        <v>56</v>
      </c>
      <c r="B7" s="20"/>
      <c r="C7" s="20"/>
      <c r="D7" s="158">
        <f>SUMIF(SUA!C:C,"042",SUA!D:D)</f>
        <v>15283.08</v>
      </c>
      <c r="E7" s="159"/>
      <c r="F7" s="155"/>
    </row>
    <row r="8" spans="1:6" ht="22.5" customHeight="1" thickBot="1" x14ac:dyDescent="0.4">
      <c r="A8" s="13" t="s">
        <v>48</v>
      </c>
      <c r="B8" s="20"/>
      <c r="C8" s="20"/>
      <c r="D8" s="158">
        <f>SUMIF(SUA!C:C,"047",SUA!D:D)</f>
        <v>0</v>
      </c>
      <c r="E8" s="159"/>
      <c r="F8" s="155"/>
    </row>
    <row r="9" spans="1:6" ht="22.5" customHeight="1" thickBot="1" x14ac:dyDescent="0.4">
      <c r="A9" s="13" t="s">
        <v>57</v>
      </c>
      <c r="B9" s="20"/>
      <c r="C9" s="20"/>
      <c r="D9" s="158">
        <f>SUMIF(SUA!C:C,"048",SUA!D:D)</f>
        <v>0</v>
      </c>
      <c r="E9" s="159"/>
      <c r="F9" s="155"/>
    </row>
    <row r="10" spans="1:6" ht="22.5" customHeight="1" thickBot="1" x14ac:dyDescent="0.4">
      <c r="A10" s="13" t="s">
        <v>49</v>
      </c>
      <c r="B10" s="20"/>
      <c r="C10" s="20"/>
      <c r="D10" s="158">
        <f>SUMIF(SUA!C:C,"049",SUA!D:D)</f>
        <v>0</v>
      </c>
      <c r="E10" s="159"/>
      <c r="F10" s="155"/>
    </row>
    <row r="11" spans="1:6" ht="22.5" customHeight="1" thickBot="1" x14ac:dyDescent="0.4">
      <c r="A11" s="13" t="s">
        <v>50</v>
      </c>
      <c r="B11" s="20"/>
      <c r="C11" s="20"/>
      <c r="D11" s="158">
        <f>SUMIF(SUA!C:C,"051",SUA!D:D)</f>
        <v>0</v>
      </c>
      <c r="E11" s="159"/>
      <c r="F11" s="155"/>
    </row>
    <row r="12" spans="1:6" ht="22.5" customHeight="1" thickBot="1" x14ac:dyDescent="0.4">
      <c r="A12" s="21" t="s">
        <v>58</v>
      </c>
      <c r="B12" s="34">
        <f>SUM(B7:B11)</f>
        <v>0</v>
      </c>
      <c r="C12" s="34">
        <f>SUM(C7:C11)</f>
        <v>0</v>
      </c>
      <c r="D12" s="149">
        <f>SUM(D7:D11)</f>
        <v>15283.08</v>
      </c>
      <c r="E12" s="159"/>
      <c r="F12" s="159"/>
    </row>
    <row r="13" spans="1:6" ht="22.5" customHeight="1" thickTop="1" thickBot="1" x14ac:dyDescent="0.4">
      <c r="A13" s="37" t="s">
        <v>59</v>
      </c>
      <c r="B13" s="32"/>
      <c r="C13" s="32"/>
      <c r="D13" s="147"/>
      <c r="E13" s="159"/>
      <c r="F13" s="159"/>
    </row>
    <row r="14" spans="1:6" ht="22.5" customHeight="1" thickTop="1" thickBot="1" x14ac:dyDescent="0.4">
      <c r="A14" s="13" t="s">
        <v>60</v>
      </c>
      <c r="B14" s="20"/>
      <c r="C14" s="20"/>
      <c r="D14" s="158">
        <f>SUMIF(SUA!C:C,"054",SUA!D:D)</f>
        <v>157872.29999999999</v>
      </c>
      <c r="E14" s="159"/>
      <c r="F14" s="155"/>
    </row>
    <row r="15" spans="1:6" ht="22.5" customHeight="1" thickBot="1" x14ac:dyDescent="0.4">
      <c r="A15" s="13" t="s">
        <v>48</v>
      </c>
      <c r="B15" s="20"/>
      <c r="C15" s="20"/>
      <c r="D15" s="158">
        <f>SUMIF(SUA!C:C,"059",SUA!D:D)</f>
        <v>363255.48</v>
      </c>
      <c r="E15" s="159"/>
      <c r="F15" s="155"/>
    </row>
    <row r="16" spans="1:6" ht="22.5" customHeight="1" thickBot="1" x14ac:dyDescent="0.4">
      <c r="A16" s="13" t="s">
        <v>57</v>
      </c>
      <c r="B16" s="20"/>
      <c r="C16" s="20"/>
      <c r="D16" s="158">
        <f>SUMIF(SUA!C:C,"060",SUA!D:D)</f>
        <v>0</v>
      </c>
      <c r="E16" s="159"/>
      <c r="F16" s="155"/>
    </row>
    <row r="17" spans="1:6" ht="22.5" customHeight="1" thickBot="1" x14ac:dyDescent="0.4">
      <c r="A17" s="13" t="s">
        <v>49</v>
      </c>
      <c r="B17" s="20"/>
      <c r="C17" s="20"/>
      <c r="D17" s="158">
        <f>SUMIF(SUA!C:C,"060",SUA!D:D)</f>
        <v>0</v>
      </c>
      <c r="E17" s="159"/>
      <c r="F17" s="155"/>
    </row>
    <row r="18" spans="1:6" ht="22.5" customHeight="1" thickBot="1" x14ac:dyDescent="0.4">
      <c r="A18" s="13" t="s">
        <v>61</v>
      </c>
      <c r="B18" s="20"/>
      <c r="C18" s="20"/>
      <c r="D18" s="158">
        <f>SUMIF(SUA!C:C,"061",SUA!D:D)</f>
        <v>0</v>
      </c>
      <c r="E18" s="159"/>
      <c r="F18" s="155"/>
    </row>
    <row r="19" spans="1:6" ht="22.5" customHeight="1" thickBot="1" x14ac:dyDescent="0.4">
      <c r="A19" s="13" t="s">
        <v>62</v>
      </c>
      <c r="B19" s="20"/>
      <c r="C19" s="20"/>
      <c r="D19" s="158">
        <f>SUMIF(SUA!C:C,"062",SUA!D:D)</f>
        <v>0</v>
      </c>
      <c r="E19" s="159"/>
      <c r="F19" s="155"/>
    </row>
    <row r="20" spans="1:6" ht="22.5" customHeight="1" thickBot="1" x14ac:dyDescent="0.4">
      <c r="A20" s="13" t="s">
        <v>50</v>
      </c>
      <c r="B20" s="20"/>
      <c r="C20" s="20"/>
      <c r="D20" s="158">
        <f>SUMIF(SUA!C:C,"063",SUA!D:D)</f>
        <v>0</v>
      </c>
      <c r="E20" s="159"/>
      <c r="F20" s="155"/>
    </row>
    <row r="21" spans="1:6" ht="22.5" customHeight="1" thickBot="1" x14ac:dyDescent="0.4">
      <c r="A21" s="21" t="s">
        <v>63</v>
      </c>
      <c r="B21" s="34">
        <f>SUM(B14:B20)</f>
        <v>0</v>
      </c>
      <c r="C21" s="34">
        <f>SUM(C14:C20)</f>
        <v>0</v>
      </c>
      <c r="D21" s="36">
        <f>SUM(D14:D20)</f>
        <v>521127.77999999997</v>
      </c>
    </row>
    <row r="22" spans="1:6" ht="15" thickTop="1" x14ac:dyDescent="0.35">
      <c r="A22" s="5"/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31</vt:i4>
      </vt:variant>
      <vt:variant>
        <vt:lpstr>Named Ranges</vt:lpstr>
      </vt:variant>
      <vt:variant>
        <vt:i4>29</vt:i4>
      </vt:variant>
    </vt:vector>
  </HeadingPairs>
  <TitlesOfParts>
    <vt:vector size="60" baseType="lpstr">
      <vt:lpstr>VYSVETLIVKY</vt:lpstr>
      <vt:lpstr>Info</vt:lpstr>
      <vt:lpstr>text</vt:lpstr>
      <vt:lpstr>1</vt:lpstr>
      <vt:lpstr>2</vt:lpstr>
      <vt:lpstr>4</vt:lpstr>
      <vt:lpstr>11</vt:lpstr>
      <vt:lpstr>14</vt:lpstr>
      <vt:lpstr>15</vt:lpstr>
      <vt:lpstr>17</vt:lpstr>
      <vt:lpstr>22</vt:lpstr>
      <vt:lpstr>23</vt:lpstr>
      <vt:lpstr>24</vt:lpstr>
      <vt:lpstr>25</vt:lpstr>
      <vt:lpstr>26</vt:lpstr>
      <vt:lpstr>32</vt:lpstr>
      <vt:lpstr>33</vt:lpstr>
      <vt:lpstr>34</vt:lpstr>
      <vt:lpstr>36</vt:lpstr>
      <vt:lpstr>37</vt:lpstr>
      <vt:lpstr>Hárok1</vt:lpstr>
      <vt:lpstr>HK</vt:lpstr>
      <vt:lpstr>HKSU</vt:lpstr>
      <vt:lpstr>HKM</vt:lpstr>
      <vt:lpstr>HKSUM</vt:lpstr>
      <vt:lpstr>VZaS</vt:lpstr>
      <vt:lpstr>VZaSM</vt:lpstr>
      <vt:lpstr>SUA</vt:lpstr>
      <vt:lpstr>SUP</vt:lpstr>
      <vt:lpstr>SUAM</vt:lpstr>
      <vt:lpstr>SUPM</vt:lpstr>
      <vt:lpstr>'1'!Print_Area</vt:lpstr>
      <vt:lpstr>'11'!Print_Area</vt:lpstr>
      <vt:lpstr>'14'!Print_Area</vt:lpstr>
      <vt:lpstr>'15'!Print_Area</vt:lpstr>
      <vt:lpstr>'17'!Print_Area</vt:lpstr>
      <vt:lpstr>'2'!Print_Area</vt:lpstr>
      <vt:lpstr>'22'!Print_Area</vt:lpstr>
      <vt:lpstr>'23'!Print_Area</vt:lpstr>
      <vt:lpstr>'24'!Print_Area</vt:lpstr>
      <vt:lpstr>'25'!Print_Area</vt:lpstr>
      <vt:lpstr>'26'!Print_Area</vt:lpstr>
      <vt:lpstr>'32'!Print_Area</vt:lpstr>
      <vt:lpstr>'33'!Print_Area</vt:lpstr>
      <vt:lpstr>'34'!Print_Area</vt:lpstr>
      <vt:lpstr>'36'!Print_Area</vt:lpstr>
      <vt:lpstr>'37'!Print_Area</vt:lpstr>
      <vt:lpstr>'4'!Print_Area</vt:lpstr>
      <vt:lpstr>Hárok1!Print_Area</vt:lpstr>
      <vt:lpstr>HK!Print_Area</vt:lpstr>
      <vt:lpstr>HKM!Print_Area</vt:lpstr>
      <vt:lpstr>HKSU!Print_Area</vt:lpstr>
      <vt:lpstr>HKSUM!Print_Area</vt:lpstr>
      <vt:lpstr>Info!Print_Area</vt:lpstr>
      <vt:lpstr>SUA!Print_Area</vt:lpstr>
      <vt:lpstr>SUAM!Print_Area</vt:lpstr>
      <vt:lpstr>SUP!Print_Area</vt:lpstr>
      <vt:lpstr>SUPM!Print_Area</vt:lpstr>
      <vt:lpstr>VZaS!Print_Area</vt:lpstr>
      <vt:lpstr>VZaSM!Print_Area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2025-02-21T12:38:05Z</dcterms:modified>
</cp:coreProperties>
</file>