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-15" yWindow="-15" windowWidth="25230" windowHeight="12690" tabRatio="948"/>
  </bookViews>
  <sheets>
    <sheet name="1" sheetId="1" r:id="rId1"/>
    <sheet name="2" sheetId="5" r:id="rId2"/>
    <sheet name="4" sheetId="7" r:id="rId3"/>
    <sheet name="6" sheetId="9" r:id="rId4"/>
    <sheet name="8" sheetId="11" r:id="rId5"/>
    <sheet name="15" sheetId="77" r:id="rId6"/>
    <sheet name="17" sheetId="19" r:id="rId7"/>
    <sheet name="22" sheetId="25" r:id="rId8"/>
    <sheet name="23" sheetId="27" r:id="rId9"/>
    <sheet name="26" sheetId="30" r:id="rId10"/>
    <sheet name="28" sheetId="32" r:id="rId11"/>
    <sheet name="32" sheetId="38" r:id="rId12"/>
    <sheet name="33" sheetId="40" r:id="rId13"/>
    <sheet name="36" sheetId="43" r:id="rId14"/>
    <sheet name="HK" sheetId="64" r:id="rId15"/>
    <sheet name="HKSU" sheetId="73" r:id="rId16"/>
    <sheet name="HKM" sheetId="65" r:id="rId17"/>
    <sheet name="HKSUM" sheetId="74" r:id="rId18"/>
    <sheet name="VZaS" sheetId="66" r:id="rId19"/>
    <sheet name="VZaSM" sheetId="67" r:id="rId20"/>
    <sheet name="SUA" sheetId="68" r:id="rId21"/>
    <sheet name="SUP" sheetId="69" r:id="rId22"/>
    <sheet name="SUAM" sheetId="70" r:id="rId23"/>
    <sheet name="SUPM" sheetId="71" r:id="rId24"/>
    <sheet name="Info" sheetId="72" r:id="rId25"/>
  </sheets>
  <calcPr calcId="162913"/>
</workbook>
</file>

<file path=xl/calcChain.xml><?xml version="1.0" encoding="utf-8"?>
<calcChain xmlns="http://schemas.openxmlformats.org/spreadsheetml/2006/main">
  <c r="I36" i="9" l="1"/>
  <c r="I16" i="9"/>
  <c r="I12" i="9"/>
  <c r="F12" i="43" l="1"/>
  <c r="C12" i="43"/>
  <c r="F11" i="43"/>
  <c r="C11" i="43"/>
  <c r="E4" i="43"/>
  <c r="B4" i="43"/>
  <c r="F25" i="32"/>
  <c r="E25" i="32"/>
  <c r="F11" i="32"/>
  <c r="E11" i="32"/>
  <c r="F7" i="32"/>
  <c r="E7" i="32"/>
  <c r="B18" i="25"/>
  <c r="B4" i="25"/>
  <c r="C6" i="19"/>
  <c r="B6" i="19"/>
  <c r="C5" i="19"/>
  <c r="B5" i="19"/>
  <c r="C4" i="19"/>
  <c r="B4" i="19"/>
  <c r="D18" i="77"/>
  <c r="D17" i="77"/>
  <c r="D16" i="77"/>
  <c r="D15" i="77"/>
  <c r="D14" i="77"/>
  <c r="D13" i="77"/>
  <c r="D12" i="77"/>
  <c r="D9" i="77"/>
  <c r="D8" i="77"/>
  <c r="D7" i="77"/>
  <c r="D6" i="77"/>
  <c r="D5" i="77"/>
  <c r="C19" i="77" l="1"/>
  <c r="B19" i="77"/>
  <c r="C10" i="77"/>
  <c r="B10" i="77"/>
  <c r="D19" i="77" l="1"/>
  <c r="D10" i="77"/>
  <c r="C7" i="30"/>
  <c r="B7" i="30"/>
  <c r="B26" i="25"/>
  <c r="B14" i="25"/>
  <c r="C7" i="19"/>
  <c r="B7" i="19"/>
  <c r="C8" i="19" l="1"/>
  <c r="B8" i="19"/>
  <c r="J33" i="9" l="1"/>
  <c r="J34" i="9"/>
  <c r="J32" i="9"/>
  <c r="J27" i="9"/>
  <c r="J28" i="9"/>
  <c r="J29" i="9"/>
  <c r="J14" i="9"/>
  <c r="J13" i="9"/>
  <c r="J7" i="9"/>
  <c r="J8" i="9"/>
  <c r="J9" i="9"/>
  <c r="J45" i="7"/>
  <c r="J46" i="7"/>
  <c r="J39" i="7"/>
  <c r="J40" i="7"/>
  <c r="J33" i="7"/>
  <c r="J34" i="7"/>
  <c r="J35" i="7"/>
  <c r="J19" i="7"/>
  <c r="J20" i="7"/>
  <c r="J13" i="7"/>
  <c r="J14" i="7"/>
  <c r="J7" i="7"/>
  <c r="J8" i="7"/>
  <c r="J9" i="7"/>
  <c r="F5" i="38" l="1"/>
  <c r="E5" i="38"/>
  <c r="C5" i="38"/>
  <c r="C9" i="30" l="1"/>
  <c r="B30" i="9"/>
  <c r="H10" i="9"/>
  <c r="H22" i="7"/>
  <c r="I18" i="7"/>
  <c r="I22" i="7"/>
  <c r="G33" i="5"/>
  <c r="C33" i="5"/>
  <c r="E12" i="5"/>
  <c r="E10" i="5"/>
  <c r="C10" i="5"/>
  <c r="E6" i="5"/>
  <c r="B12" i="5" l="1"/>
  <c r="F12" i="38" l="1"/>
  <c r="E12" i="38"/>
  <c r="F29" i="27"/>
  <c r="B29" i="27"/>
  <c r="J12" i="9"/>
  <c r="I48" i="7"/>
  <c r="H49" i="5"/>
  <c r="H18" i="5"/>
  <c r="H22" i="5"/>
  <c r="C6" i="40" l="1"/>
  <c r="C5" i="40"/>
  <c r="C4" i="40"/>
  <c r="C3" i="40"/>
  <c r="B6" i="40"/>
  <c r="B5" i="40"/>
  <c r="B4" i="40"/>
  <c r="B3" i="40"/>
  <c r="F10" i="38"/>
  <c r="F9" i="38"/>
  <c r="F8" i="38"/>
  <c r="E10" i="38"/>
  <c r="E9" i="38"/>
  <c r="E8" i="38"/>
  <c r="F6" i="38"/>
  <c r="E6" i="38"/>
  <c r="D6" i="38"/>
  <c r="C6" i="38"/>
  <c r="B6" i="38"/>
  <c r="B5" i="38"/>
  <c r="F4" i="38"/>
  <c r="E4" i="38"/>
  <c r="D4" i="38"/>
  <c r="C4" i="38"/>
  <c r="B4" i="38"/>
  <c r="B9" i="30"/>
  <c r="C3" i="30"/>
  <c r="B3" i="30"/>
  <c r="F23" i="27"/>
  <c r="B23" i="27"/>
  <c r="F11" i="27"/>
  <c r="B11" i="27"/>
  <c r="F5" i="27"/>
  <c r="B5" i="27"/>
  <c r="F18" i="11"/>
  <c r="F15" i="11"/>
  <c r="F11" i="11"/>
  <c r="F7" i="11"/>
  <c r="I30" i="9"/>
  <c r="H30" i="9"/>
  <c r="F30" i="9"/>
  <c r="E30" i="9"/>
  <c r="D30" i="9"/>
  <c r="C30" i="9"/>
  <c r="I26" i="9"/>
  <c r="H26" i="9"/>
  <c r="F26" i="9"/>
  <c r="E26" i="9"/>
  <c r="D26" i="9"/>
  <c r="C26" i="9"/>
  <c r="B26" i="9"/>
  <c r="I10" i="9"/>
  <c r="F10" i="9"/>
  <c r="E10" i="9"/>
  <c r="D10" i="9"/>
  <c r="C10" i="9"/>
  <c r="B10" i="9"/>
  <c r="I6" i="9"/>
  <c r="H6" i="9"/>
  <c r="F6" i="9"/>
  <c r="E6" i="9"/>
  <c r="D6" i="9"/>
  <c r="C6" i="9"/>
  <c r="B6" i="9"/>
  <c r="H48" i="7"/>
  <c r="H44" i="7"/>
  <c r="J44" i="7" s="1"/>
  <c r="G42" i="7"/>
  <c r="F42" i="7"/>
  <c r="E42" i="7"/>
  <c r="D42" i="7"/>
  <c r="C42" i="7"/>
  <c r="G38" i="7"/>
  <c r="F38" i="7"/>
  <c r="E38" i="7"/>
  <c r="D38" i="7"/>
  <c r="C38" i="7"/>
  <c r="I36" i="7"/>
  <c r="H36" i="7"/>
  <c r="G36" i="7"/>
  <c r="F36" i="7"/>
  <c r="E36" i="7"/>
  <c r="D36" i="7"/>
  <c r="C36" i="7"/>
  <c r="B36" i="7"/>
  <c r="I32" i="7"/>
  <c r="H32" i="7"/>
  <c r="G32" i="7"/>
  <c r="F32" i="7"/>
  <c r="E32" i="7"/>
  <c r="D32" i="7"/>
  <c r="C32" i="7"/>
  <c r="B32" i="7"/>
  <c r="H18" i="7"/>
  <c r="J18" i="7" s="1"/>
  <c r="J22" i="7" s="1"/>
  <c r="G16" i="7"/>
  <c r="F16" i="7"/>
  <c r="E16" i="7"/>
  <c r="D16" i="7"/>
  <c r="C16" i="7"/>
  <c r="G12" i="7"/>
  <c r="F12" i="7"/>
  <c r="E12" i="7"/>
  <c r="D12" i="7"/>
  <c r="C12" i="7"/>
  <c r="I10" i="7"/>
  <c r="H10" i="7"/>
  <c r="G10" i="7"/>
  <c r="F10" i="7"/>
  <c r="E10" i="7"/>
  <c r="D10" i="7"/>
  <c r="C10" i="7"/>
  <c r="B10" i="7"/>
  <c r="I6" i="7"/>
  <c r="H6" i="7"/>
  <c r="G6" i="7"/>
  <c r="F6" i="7"/>
  <c r="E6" i="7"/>
  <c r="D6" i="7"/>
  <c r="C6" i="7"/>
  <c r="B6" i="7"/>
  <c r="F19" i="11" l="1"/>
  <c r="J6" i="9"/>
  <c r="J26" i="9"/>
  <c r="J32" i="7"/>
  <c r="J38" i="7"/>
  <c r="J6" i="7"/>
  <c r="J12" i="7"/>
  <c r="J16" i="7" s="1"/>
  <c r="G49" i="5"/>
  <c r="G45" i="5"/>
  <c r="F43" i="5"/>
  <c r="E43" i="5"/>
  <c r="D43" i="5"/>
  <c r="C43" i="5"/>
  <c r="B43" i="5"/>
  <c r="F39" i="5"/>
  <c r="E39" i="5"/>
  <c r="D39" i="5"/>
  <c r="C39" i="5"/>
  <c r="B39" i="5"/>
  <c r="H37" i="5"/>
  <c r="G37" i="5"/>
  <c r="F37" i="5"/>
  <c r="E37" i="5"/>
  <c r="D37" i="5"/>
  <c r="C37" i="5"/>
  <c r="B37" i="5"/>
  <c r="H33" i="5"/>
  <c r="F33" i="5"/>
  <c r="E33" i="5"/>
  <c r="D33" i="5"/>
  <c r="B33" i="5"/>
  <c r="B6" i="5"/>
  <c r="G22" i="5"/>
  <c r="G18" i="5"/>
  <c r="F16" i="5"/>
  <c r="E16" i="5"/>
  <c r="D16" i="5"/>
  <c r="C16" i="5"/>
  <c r="B16" i="5"/>
  <c r="F12" i="5"/>
  <c r="D12" i="5"/>
  <c r="C12" i="5"/>
  <c r="H10" i="5"/>
  <c r="G10" i="5"/>
  <c r="F10" i="5"/>
  <c r="D10" i="5"/>
  <c r="B10" i="5"/>
  <c r="H6" i="5"/>
  <c r="G6" i="5"/>
  <c r="F6" i="5"/>
  <c r="D6" i="5"/>
  <c r="C6" i="5"/>
  <c r="J24" i="7" l="1"/>
  <c r="J10" i="7"/>
  <c r="J25" i="7" s="1"/>
  <c r="D5" i="38"/>
  <c r="J16" i="9" l="1"/>
  <c r="J36" i="9"/>
  <c r="J10" i="9"/>
  <c r="J30" i="9"/>
  <c r="E23" i="27" l="1"/>
  <c r="D23" i="27"/>
  <c r="C23" i="27"/>
  <c r="E29" i="27"/>
  <c r="D29" i="27"/>
  <c r="C29" i="27"/>
  <c r="E11" i="27"/>
  <c r="D11" i="27"/>
  <c r="C11" i="27"/>
  <c r="I47" i="5"/>
  <c r="I46" i="5"/>
  <c r="I45" i="5"/>
  <c r="I41" i="5"/>
  <c r="I40" i="5"/>
  <c r="I39" i="5"/>
  <c r="I36" i="5"/>
  <c r="I35" i="5"/>
  <c r="I34" i="5"/>
  <c r="I33" i="5"/>
  <c r="I49" i="5" l="1"/>
  <c r="I37" i="5"/>
  <c r="I43" i="5"/>
  <c r="I50" i="7" l="1"/>
  <c r="H50" i="7"/>
  <c r="G50" i="7"/>
  <c r="F50" i="7"/>
  <c r="E50" i="7"/>
  <c r="D50" i="7"/>
  <c r="C50" i="7"/>
  <c r="B50" i="7"/>
  <c r="I20" i="5"/>
  <c r="I19" i="5"/>
  <c r="I18" i="5"/>
  <c r="I14" i="5"/>
  <c r="I13" i="5"/>
  <c r="I12" i="5"/>
  <c r="I9" i="5"/>
  <c r="I8" i="5"/>
  <c r="I7" i="5"/>
  <c r="I6" i="5"/>
  <c r="F35" i="27"/>
  <c r="F34" i="27"/>
  <c r="F33" i="27"/>
  <c r="F32" i="27"/>
  <c r="F31" i="27"/>
  <c r="F30" i="27"/>
  <c r="F28" i="27"/>
  <c r="F27" i="27"/>
  <c r="F26" i="27"/>
  <c r="F25" i="27"/>
  <c r="F24" i="27"/>
  <c r="F17" i="27"/>
  <c r="F16" i="27"/>
  <c r="F15" i="27"/>
  <c r="F14" i="27"/>
  <c r="F13" i="27"/>
  <c r="F12" i="27"/>
  <c r="F10" i="27"/>
  <c r="F9" i="27"/>
  <c r="F8" i="27"/>
  <c r="F7" i="27"/>
  <c r="F6" i="27"/>
  <c r="E5" i="27"/>
  <c r="D5" i="27"/>
  <c r="C5" i="27"/>
  <c r="I22" i="5" l="1"/>
  <c r="J42" i="7"/>
  <c r="I16" i="5"/>
  <c r="I10" i="5"/>
  <c r="C51" i="7"/>
  <c r="G51" i="7"/>
  <c r="I24" i="5"/>
  <c r="B51" i="7"/>
  <c r="F51" i="7"/>
  <c r="J36" i="7"/>
  <c r="J48" i="7"/>
  <c r="E51" i="7"/>
  <c r="I51" i="7"/>
  <c r="D51" i="7"/>
  <c r="H51" i="7"/>
  <c r="J50" i="7"/>
  <c r="I51" i="5"/>
  <c r="I52" i="5" l="1"/>
  <c r="I25" i="5"/>
  <c r="J51" i="7"/>
  <c r="C9" i="40"/>
  <c r="B9" i="40"/>
</calcChain>
</file>

<file path=xl/sharedStrings.xml><?xml version="1.0" encoding="utf-8"?>
<sst xmlns="http://schemas.openxmlformats.org/spreadsheetml/2006/main" count="2629" uniqueCount="1214">
  <si>
    <t>1.  Informácie k časti A. písm. c) prílohy č. 3 o počte zamestnancov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</si>
  <si>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</si>
  <si>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</si>
  <si>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</si>
  <si>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</si>
  <si>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 toho:</t>
  </si>
  <si>
    <t>počet vedúcich zamestnancov</t>
  </si>
  <si>
    <t>Tabuľka č. 1</t>
  </si>
  <si>
    <t>Spolu</t>
  </si>
  <si>
    <t>Tabuľka č. 2</t>
  </si>
  <si>
    <t>x</t>
  </si>
  <si>
    <t>Dlhodobý nehmotný majetok</t>
  </si>
  <si>
    <t>Softvér</t>
  </si>
  <si>
    <t>Goodwill</t>
  </si>
  <si>
    <t>Ostatný DNM</t>
  </si>
  <si>
    <t>Poskytnuté preddavky na DNM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</si>
  <si>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</si>
  <si>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</si>
  <si>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</si>
  <si>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</si>
  <si>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</si>
  <si>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</si>
  <si>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</si>
  <si>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</si>
  <si>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</si>
  <si>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</si>
  <si>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Dlhodobý hmotný majetok</t>
  </si>
  <si>
    <t>Pozemky</t>
  </si>
  <si>
    <t>Stavby</t>
  </si>
  <si>
    <t>Samostatné hnuteľné veci a súbory hnuteľných vecí</t>
  </si>
  <si>
    <t>Základné stádo a ťažné zvieratá</t>
  </si>
  <si>
    <t>Ostatný DHM</t>
  </si>
  <si>
    <t>Poskytnuté preddavky na DHM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</si>
  <si>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</si>
  <si>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</si>
  <si>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</si>
  <si>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</si>
  <si>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</si>
  <si>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</si>
  <si>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</si>
  <si>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</si>
  <si>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</si>
  <si>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</si>
  <si>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</si>
  <si>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</si>
  <si>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</si>
  <si>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</si>
  <si>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</si>
  <si>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Výrobky</t>
  </si>
  <si>
    <t>Tvorba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</si>
  <si>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</si>
  <si>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</si>
  <si>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</si>
  <si>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</si>
  <si>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</si>
  <si>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</si>
  <si>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</si>
  <si>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</si>
  <si>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</si>
  <si>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</si>
  <si>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</si>
  <si>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</si>
  <si>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</si>
  <si>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</si>
  <si>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</si>
  <si>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</si>
  <si>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</si>
  <si>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</si>
  <si>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</si>
  <si>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</si>
  <si>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</si>
  <si>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</si>
  <si>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</si>
  <si>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</si>
  <si>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</si>
  <si>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</si>
  <si>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</si>
  <si>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</si>
  <si>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</si>
  <si>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</si>
  <si>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</si>
  <si>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</si>
  <si>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</si>
  <si>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</si>
  <si>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</si>
  <si>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</si>
  <si>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</si>
  <si>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</si>
  <si>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</si>
  <si>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Použitie</t>
  </si>
  <si>
    <t>Zrušenie</t>
  </si>
  <si>
    <t>Dlhodobé rezervy, z toho:</t>
  </si>
  <si>
    <t>Krátkodobé rezervy, z toho: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</si>
  <si>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</si>
  <si>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</si>
  <si>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</si>
  <si>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</si>
  <si>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</si>
  <si>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</si>
  <si>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</si>
  <si>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</si>
  <si>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</si>
  <si>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</si>
  <si>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</si>
  <si>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</si>
  <si>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</si>
  <si>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</si>
  <si>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</si>
  <si>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</si>
  <si>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</si>
  <si>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</si>
  <si>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</si>
  <si>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</si>
  <si>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</si>
  <si>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</si>
  <si>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</si>
  <si>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</si>
  <si>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</si>
  <si>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</si>
  <si>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</si>
  <si>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</si>
  <si>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</si>
  <si>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</si>
  <si>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</si>
  <si>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</si>
  <si>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</si>
  <si>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</si>
  <si>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</si>
  <si>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</si>
  <si>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</si>
  <si>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</si>
  <si>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</si>
  <si>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</si>
  <si>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Aktivované náklady na vývoj</t>
  </si>
  <si>
    <t>Oceniteľné práva</t>
  </si>
  <si>
    <t>Obstarávaný DNM</t>
  </si>
  <si>
    <t>Pestovateľské celky 
trvalých porastov</t>
  </si>
  <si>
    <t>Obstarávaný DHM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</si>
  <si>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</si>
  <si>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</si>
  <si>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</si>
  <si>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</si>
  <si>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</si>
  <si>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</si>
  <si>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</si>
  <si>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</si>
  <si>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Nedokončená výroba a polotovary vlastnej výroby</t>
  </si>
  <si>
    <t>Bezprostred- 
ne predchádza-
júce účtovné obdobie</t>
  </si>
  <si>
    <t>Pôžičky ÚJ 
v kons. celku</t>
  </si>
  <si>
    <t>Podielové CP a podiely 
v spoločnosti
s podstatným
vplyvom</t>
  </si>
  <si>
    <t>Označenie</t>
  </si>
  <si>
    <t>A K T Í V A</t>
  </si>
  <si>
    <t>Zaokrúhlené
(brutto)</t>
  </si>
  <si>
    <t>Zaokrúhlené
(korekcia)</t>
  </si>
  <si>
    <t>Zaokrúhlené
(netto)</t>
  </si>
  <si>
    <t>Zaokrúhlené
(minulé)</t>
  </si>
  <si>
    <t>P A S Í V A</t>
  </si>
  <si>
    <t>Zaokrúhlené
(sledované)</t>
  </si>
  <si>
    <t>T E X T</t>
  </si>
  <si>
    <t>Účet</t>
  </si>
  <si>
    <t>Názov účtu</t>
  </si>
  <si>
    <t>Poč.stav k 1.1.
Má dať</t>
  </si>
  <si>
    <t>Poč.stav k 1.1.
Dal</t>
  </si>
  <si>
    <t>Poč.stav mesiaca
Má dať</t>
  </si>
  <si>
    <t>Poč.stav mesiaca
Dal</t>
  </si>
  <si>
    <t>Mesačný obrat
Má dať</t>
  </si>
  <si>
    <t>Mesačný obrat
Dal</t>
  </si>
  <si>
    <t>Celkový obrat
Má dať</t>
  </si>
  <si>
    <t>Celkový obrat
Dal</t>
  </si>
  <si>
    <t>Zostatok
Má dať</t>
  </si>
  <si>
    <t>Zostatok
Dal</t>
  </si>
  <si>
    <t>Číslo 
riad.</t>
  </si>
  <si>
    <t>Skutočnosť v účtovnom 
období sledovanom</t>
  </si>
  <si>
    <t>Skutočnosť v účtovnom
období minulom</t>
  </si>
  <si>
    <t>Brutto v bežnom
účtovnom období</t>
  </si>
  <si>
    <t>Korekcia v bežnom
účtovnom období</t>
  </si>
  <si>
    <t>Netto v bežnom
účtovnom období</t>
  </si>
  <si>
    <t>Netto v minulom
účtovnom období</t>
  </si>
  <si>
    <t>Stav v bežnom
účtovnom období</t>
  </si>
  <si>
    <t>Stav v minulom
účtovnom období</t>
  </si>
  <si>
    <t>Popis</t>
  </si>
  <si>
    <t>Syntetický účet</t>
  </si>
  <si>
    <t>Názov syntetického účtu</t>
  </si>
  <si>
    <t>Účtovná hodnota </t>
  </si>
  <si>
    <t>6. Informácie k časti F. písm. j) prílohy č. 3 o  dlhodobom finančnom majetku</t>
  </si>
  <si>
    <t>4.  Informácie k časti F. písm. a) prílohy č. 3 o dlhodobom hmotnom majetku</t>
  </si>
  <si>
    <t>2. Informácie k časti F. písm. a) prílohy č. 3 o dlhodobom nehmotnom majetku</t>
  </si>
  <si>
    <t>15. Informácie k časti F. písm. s) prílohy č. 3 o  vekovej štruktúre pohľadávok</t>
  </si>
  <si>
    <t>17. Informácie k časti F. písm. w)  prílohy č. 3 o krátkodobom finančnom majetku</t>
  </si>
  <si>
    <t xml:space="preserve">22. Informácie k časti G. písm. a) tretiemu bodu prílohy č. 3 o rozdelení účtovného zisku alebo o vysporiadaní účtovnej straty </t>
  </si>
  <si>
    <t>26. Informácie k časti G. písm. g) prílohy č. 3 o záväzkoch zo sociálneho fondu</t>
  </si>
  <si>
    <t>28. Informácie k časti G. písm. i)  prílohy č. 3 o bankových úveroch, pôžičkách a krátkodobých finančných výpomociach</t>
  </si>
  <si>
    <t>32. Informácie k časti H. písm. b) prílohy č. 3 o zmene stavu vnútroorganizačných zásob</t>
  </si>
  <si>
    <t>33. Informácie k časti H. písm. g)  prílohy č. 3 o čistom obrate</t>
  </si>
  <si>
    <t>8. Informácie k časti F. písm. i) prílohy č. 3 o štruktúre dlhodobého finančného majetku</t>
  </si>
  <si>
    <t>36. Informácie k časti J.  písm. f) a g) prílohy č. 3 o daniach z príjmov</t>
  </si>
  <si>
    <t>23. Informácie k časti G. písm. b) prílohy č. 3 o rezervách</t>
  </si>
  <si>
    <t>013000</t>
  </si>
  <si>
    <t>Software Asseco</t>
  </si>
  <si>
    <t>014000</t>
  </si>
  <si>
    <t>Oceniteľné práva - internetová stránka</t>
  </si>
  <si>
    <t>021000</t>
  </si>
  <si>
    <t>021010</t>
  </si>
  <si>
    <t>Stavby - Sklad KK Kavalec</t>
  </si>
  <si>
    <t>021020</t>
  </si>
  <si>
    <t>Stavby - Sklad Haligovce</t>
  </si>
  <si>
    <t>022010</t>
  </si>
  <si>
    <t>Dopravné prostriedky</t>
  </si>
  <si>
    <t>022012</t>
  </si>
  <si>
    <t>D.p.- traktor CLASS Arion 450 PPA041PO500152</t>
  </si>
  <si>
    <t>022020</t>
  </si>
  <si>
    <t>Počítače, kamerový systém</t>
  </si>
  <si>
    <t>026010</t>
  </si>
  <si>
    <t>Základné stado a zvieratá - dobytok</t>
  </si>
  <si>
    <t>026020</t>
  </si>
  <si>
    <t>Základné stado a zvieratá - býk</t>
  </si>
  <si>
    <t>029000</t>
  </si>
  <si>
    <t>Ostatný DHM - včelí d., Clark voz.</t>
  </si>
  <si>
    <t>029010</t>
  </si>
  <si>
    <t>Ostatný DHM - Obracač CLASS</t>
  </si>
  <si>
    <t>029011</t>
  </si>
  <si>
    <t>Ostatný DHM - Kosa CLASS DISCO 28</t>
  </si>
  <si>
    <t>029012</t>
  </si>
  <si>
    <t>Ostatný DHM - Lis CLASS ROLLANT 520</t>
  </si>
  <si>
    <t>029013</t>
  </si>
  <si>
    <t>Ostatný DHM - Balikovačka SIPMA</t>
  </si>
  <si>
    <t>029014</t>
  </si>
  <si>
    <t>Ostatný DHM - Zhrňovač CLAAS LINER 420</t>
  </si>
  <si>
    <t>029015</t>
  </si>
  <si>
    <t>Ostatný DHM - Kosa predná CLASS DISCO 3200</t>
  </si>
  <si>
    <t>031010</t>
  </si>
  <si>
    <t>Pozemky - sklad KK Kavalec</t>
  </si>
  <si>
    <t>031020</t>
  </si>
  <si>
    <t>Pozemky - sklad Haligovce</t>
  </si>
  <si>
    <t>042000</t>
  </si>
  <si>
    <t>Obstaranie dlhodobého hmotného majetku</t>
  </si>
  <si>
    <t>061000</t>
  </si>
  <si>
    <t>Podielové cenné pap. a podiely ZAMAGRO</t>
  </si>
  <si>
    <t>073000</t>
  </si>
  <si>
    <t>Oprávky k software Asseco</t>
  </si>
  <si>
    <t>074000</t>
  </si>
  <si>
    <t>Oprávky k oceniteľným právam - internetová stránka</t>
  </si>
  <si>
    <t>081010</t>
  </si>
  <si>
    <t>Oprávky k stavbám</t>
  </si>
  <si>
    <t>082010</t>
  </si>
  <si>
    <t>Oprávky k dopravným prostriedkom</t>
  </si>
  <si>
    <t>082012</t>
  </si>
  <si>
    <t>Oprávky k dopravným p. - CLASS traktor</t>
  </si>
  <si>
    <t>082020</t>
  </si>
  <si>
    <t>Oprávky - počítač, kamerový systém</t>
  </si>
  <si>
    <t>086000</t>
  </si>
  <si>
    <t>Oprávky k základnému stádu a ťažným zvieratám</t>
  </si>
  <si>
    <t>086001</t>
  </si>
  <si>
    <t>Oprávky k základnému stádu - BÝK</t>
  </si>
  <si>
    <t>089000</t>
  </si>
  <si>
    <t>Oprávky k ostatnému DHM včelý d.,Clark</t>
  </si>
  <si>
    <t>089010</t>
  </si>
  <si>
    <t>Oprávky k DHM obracač CLASS</t>
  </si>
  <si>
    <t>089011</t>
  </si>
  <si>
    <t>Oprávky k DHM kosa CLASS DISCO 28</t>
  </si>
  <si>
    <t>089012</t>
  </si>
  <si>
    <t>Oprávky k DHM lis CLASS ROLLANT 520</t>
  </si>
  <si>
    <t>089013</t>
  </si>
  <si>
    <t>Oprávky k DHM balikovačka SIPMA</t>
  </si>
  <si>
    <t>089014</t>
  </si>
  <si>
    <t>Oprávky k DHM zhrňovač CLAAS LINER 420</t>
  </si>
  <si>
    <t>089015</t>
  </si>
  <si>
    <t>Oprávky k DHM kosa predná CLASS DISCO 3200</t>
  </si>
  <si>
    <t>111000</t>
  </si>
  <si>
    <t>Obstaranie materiálu</t>
  </si>
  <si>
    <t>112001</t>
  </si>
  <si>
    <t>Materiál na sklade - nákup krmiva</t>
  </si>
  <si>
    <t>112010</t>
  </si>
  <si>
    <t>PHM na sklade</t>
  </si>
  <si>
    <t>123010</t>
  </si>
  <si>
    <t>Výrobky vl. výroba - seno, senáž</t>
  </si>
  <si>
    <t>124010</t>
  </si>
  <si>
    <t>Zvieratá - včely</t>
  </si>
  <si>
    <t>124020</t>
  </si>
  <si>
    <t>Zvieratá - hovädzí dobytok</t>
  </si>
  <si>
    <t>131000</t>
  </si>
  <si>
    <t>Obstaranie tovaru</t>
  </si>
  <si>
    <t>132010</t>
  </si>
  <si>
    <t>Tovar na sklade Kežmarok</t>
  </si>
  <si>
    <t>132020</t>
  </si>
  <si>
    <t>Tovar na sklade Bardejov</t>
  </si>
  <si>
    <t>132030</t>
  </si>
  <si>
    <t>Tovar na sklade medzisklad Kežmarok</t>
  </si>
  <si>
    <t>132040</t>
  </si>
  <si>
    <t>Tovar na sklade medzisklad Bardejov</t>
  </si>
  <si>
    <t>211000</t>
  </si>
  <si>
    <t>Pokladnica EUR</t>
  </si>
  <si>
    <t>213010</t>
  </si>
  <si>
    <t>Stravné lístky Kežmarok</t>
  </si>
  <si>
    <t>221000</t>
  </si>
  <si>
    <t>Bankové účty</t>
  </si>
  <si>
    <t>261000</t>
  </si>
  <si>
    <t>Peniaze na ceste - vklad z pokladne</t>
  </si>
  <si>
    <t>311010</t>
  </si>
  <si>
    <t>Odberatelia  tuzemskí</t>
  </si>
  <si>
    <t>311100</t>
  </si>
  <si>
    <t>Odberatelia zahraniční</t>
  </si>
  <si>
    <t>314000</t>
  </si>
  <si>
    <t>Poskytnuté preddavky</t>
  </si>
  <si>
    <t>314001</t>
  </si>
  <si>
    <t>Poskytnuté preddavky  zahraničné</t>
  </si>
  <si>
    <t>314100</t>
  </si>
  <si>
    <t>Základ dane poskytnutých preddavkov do DPH</t>
  </si>
  <si>
    <t>314200</t>
  </si>
  <si>
    <t>Celková suma poskytnutých preddavkov do DPH</t>
  </si>
  <si>
    <t>315000</t>
  </si>
  <si>
    <t>Ostatné pohľadávky - terminál</t>
  </si>
  <si>
    <t>321010</t>
  </si>
  <si>
    <t>Dodávatelia tuzemskí</t>
  </si>
  <si>
    <t>321020</t>
  </si>
  <si>
    <t>Dodávatelia zahraniční</t>
  </si>
  <si>
    <t>323000</t>
  </si>
  <si>
    <t>Krátkodobé rezervy - nevyčerpané dov.</t>
  </si>
  <si>
    <t>324000</t>
  </si>
  <si>
    <t>Prijaté preddavky tuzemskí</t>
  </si>
  <si>
    <t>324001</t>
  </si>
  <si>
    <t>Prijaté preddavky - chybná platba</t>
  </si>
  <si>
    <t>324100</t>
  </si>
  <si>
    <t>Základ dane prijatých preddavkov do DPH</t>
  </si>
  <si>
    <t>324200</t>
  </si>
  <si>
    <t>Celková suma prijatých preddavkov do DPH</t>
  </si>
  <si>
    <t>325000</t>
  </si>
  <si>
    <t>Ostatné záväzky</t>
  </si>
  <si>
    <t>331000</t>
  </si>
  <si>
    <t>Zamestnanci</t>
  </si>
  <si>
    <t>335000</t>
  </si>
  <si>
    <t>Pohľadávky voči zamestnancom - strava</t>
  </si>
  <si>
    <t>336010</t>
  </si>
  <si>
    <t>Zúčtovanie s Všeobecná ZP</t>
  </si>
  <si>
    <t>336020</t>
  </si>
  <si>
    <t>Zúčtovanie s Dôvera ZP</t>
  </si>
  <si>
    <t>336100</t>
  </si>
  <si>
    <t>Zúčtovanie s SP</t>
  </si>
  <si>
    <t>341000</t>
  </si>
  <si>
    <t>Daň z príjmov - preddavky na daň</t>
  </si>
  <si>
    <t>342000</t>
  </si>
  <si>
    <t>Ostatné priame dane</t>
  </si>
  <si>
    <t>343011</t>
  </si>
  <si>
    <t>DPH 10% Výstup tuzemsko</t>
  </si>
  <si>
    <t>343012</t>
  </si>
  <si>
    <t>DPH 10% Vstup tuzemsko - má nárok</t>
  </si>
  <si>
    <t>343021</t>
  </si>
  <si>
    <t>DPH 20% Výstup tuzemsko</t>
  </si>
  <si>
    <t>343022</t>
  </si>
  <si>
    <t>DPH 20% Vstup tuzemsko - má nárok</t>
  </si>
  <si>
    <t>343221</t>
  </si>
  <si>
    <t>DPH 20% Vstup EÚ - má nárok</t>
  </si>
  <si>
    <t>343222</t>
  </si>
  <si>
    <t>DPH 20% Výstup EÚ</t>
  </si>
  <si>
    <t>343321</t>
  </si>
  <si>
    <t>DPH 20% Vstup tuz. samozdanenie - má nárok</t>
  </si>
  <si>
    <t>343322</t>
  </si>
  <si>
    <t>DPH 20% Výstup tuz. samozdanenie</t>
  </si>
  <si>
    <t>343900</t>
  </si>
  <si>
    <t>DPH Zúčtovanie s DÚ</t>
  </si>
  <si>
    <t>345000</t>
  </si>
  <si>
    <t>Ostatné dane a poplatky</t>
  </si>
  <si>
    <t>346001</t>
  </si>
  <si>
    <t>Dotácie zo štátneho rozpočtu PPA</t>
  </si>
  <si>
    <t>365010</t>
  </si>
  <si>
    <t>Ostatné záv. voči spol. a člen.</t>
  </si>
  <si>
    <t>367010</t>
  </si>
  <si>
    <t xml:space="preserve">Záväzky z upís. nespl. cenn. papierov a vkladov </t>
  </si>
  <si>
    <t>378000</t>
  </si>
  <si>
    <t>379000</t>
  </si>
  <si>
    <t>Iné záväzky</t>
  </si>
  <si>
    <t>395000</t>
  </si>
  <si>
    <t>Vnútorné zúčtovanie</t>
  </si>
  <si>
    <t>411000</t>
  </si>
  <si>
    <t>Základné imanie</t>
  </si>
  <si>
    <t>421000</t>
  </si>
  <si>
    <t>Zákonný rezervný fond</t>
  </si>
  <si>
    <t>428017</t>
  </si>
  <si>
    <t>Nerozdelený zisk r.2016</t>
  </si>
  <si>
    <t>428018</t>
  </si>
  <si>
    <t>Nerozdelený zisk r.2017</t>
  </si>
  <si>
    <t>428019</t>
  </si>
  <si>
    <t>Nerozdelený zisk r.2018</t>
  </si>
  <si>
    <t>428020</t>
  </si>
  <si>
    <t>Nerozdelený zisk r.2019</t>
  </si>
  <si>
    <t>428021</t>
  </si>
  <si>
    <t>Nerozdelený zisk r.2020</t>
  </si>
  <si>
    <t>428022</t>
  </si>
  <si>
    <t>Nerozdelený zisk r.2021</t>
  </si>
  <si>
    <t>428023</t>
  </si>
  <si>
    <t>Nerozdelený zisk r.2022</t>
  </si>
  <si>
    <t>431000</t>
  </si>
  <si>
    <t>Výsledok hospodárenia v schvaľovaní</t>
  </si>
  <si>
    <t>461010</t>
  </si>
  <si>
    <t>Bankový úver</t>
  </si>
  <si>
    <t>472000</t>
  </si>
  <si>
    <t>Záväzky zo sociálneho fondu</t>
  </si>
  <si>
    <t>474010</t>
  </si>
  <si>
    <t>Záväzky z prenájmu pôdy</t>
  </si>
  <si>
    <t>479050</t>
  </si>
  <si>
    <t>Finančný úver Mobil Samsung S24</t>
  </si>
  <si>
    <t>479060</t>
  </si>
  <si>
    <t>Finančný úver Mobil iPhone 16</t>
  </si>
  <si>
    <t>479080</t>
  </si>
  <si>
    <t>Finančný úver Lis CLAAS ROLLANT 520</t>
  </si>
  <si>
    <t>501010</t>
  </si>
  <si>
    <t>Kancelárske potreby</t>
  </si>
  <si>
    <t>501011</t>
  </si>
  <si>
    <t>Reklamné predmety</t>
  </si>
  <si>
    <t>501020</t>
  </si>
  <si>
    <t>Spotrebný mat. - mobil</t>
  </si>
  <si>
    <t>501030</t>
  </si>
  <si>
    <t>PHM - vozík CLARCK</t>
  </si>
  <si>
    <t>501031</t>
  </si>
  <si>
    <t>PHM - Volvo</t>
  </si>
  <si>
    <t>501032</t>
  </si>
  <si>
    <t>PHM - Crafter</t>
  </si>
  <si>
    <t>501033</t>
  </si>
  <si>
    <t>ND auto, spotreb. materiál auto</t>
  </si>
  <si>
    <t>501035</t>
  </si>
  <si>
    <t>PHM štvorkolka</t>
  </si>
  <si>
    <t>501036</t>
  </si>
  <si>
    <t>PHM Toyota</t>
  </si>
  <si>
    <t>501037</t>
  </si>
  <si>
    <t>PHM Traktor</t>
  </si>
  <si>
    <t>501040</t>
  </si>
  <si>
    <t>Spotrebný materiál</t>
  </si>
  <si>
    <t>501041</t>
  </si>
  <si>
    <t>Čistiace a hygien. Prostriedky</t>
  </si>
  <si>
    <t>501042</t>
  </si>
  <si>
    <t>Spotrebný materiál - včely</t>
  </si>
  <si>
    <t>501043</t>
  </si>
  <si>
    <t>Spotrebný materiál - kávomat+kuchynka</t>
  </si>
  <si>
    <t>501044</t>
  </si>
  <si>
    <t>Spotrebný materiál traktor</t>
  </si>
  <si>
    <t>501045</t>
  </si>
  <si>
    <t>Spotreba materiálu - PC</t>
  </si>
  <si>
    <t>501050</t>
  </si>
  <si>
    <t>Spotreba RV - seno, senáž</t>
  </si>
  <si>
    <t>501100</t>
  </si>
  <si>
    <t>Spotreba materiálu - Haligovce</t>
  </si>
  <si>
    <t>502010</t>
  </si>
  <si>
    <t>Spotreba energie</t>
  </si>
  <si>
    <t>504000</t>
  </si>
  <si>
    <t>Predaný tovar -obstaranie</t>
  </si>
  <si>
    <t>511000</t>
  </si>
  <si>
    <t>Opravy a udržiavanie</t>
  </si>
  <si>
    <t>512000</t>
  </si>
  <si>
    <t>Cestovné</t>
  </si>
  <si>
    <t>518010</t>
  </si>
  <si>
    <t>Tel. poplatky, Sinet</t>
  </si>
  <si>
    <t>518011</t>
  </si>
  <si>
    <t>Poštovné, ost. poplatky</t>
  </si>
  <si>
    <t>518020</t>
  </si>
  <si>
    <t>Zverej. údajov, hosting, doména</t>
  </si>
  <si>
    <t>518040</t>
  </si>
  <si>
    <t>Ostatné služby</t>
  </si>
  <si>
    <t>518042</t>
  </si>
  <si>
    <t>Asseco služby + Skeagis</t>
  </si>
  <si>
    <t>518043</t>
  </si>
  <si>
    <t>Preprava tovaru</t>
  </si>
  <si>
    <t>518051</t>
  </si>
  <si>
    <t xml:space="preserve">Nájom poľnoh. pozemkov </t>
  </si>
  <si>
    <t>518052</t>
  </si>
  <si>
    <t>Naturalis - kontrola a certifikácia</t>
  </si>
  <si>
    <t>518070</t>
  </si>
  <si>
    <t>Nájom Kežmarok</t>
  </si>
  <si>
    <t>518071</t>
  </si>
  <si>
    <t>Nájom Bardejov</t>
  </si>
  <si>
    <t>518072</t>
  </si>
  <si>
    <t>Servisné práce</t>
  </si>
  <si>
    <t>518073</t>
  </si>
  <si>
    <t>Nájom Sp. Stará Ves</t>
  </si>
  <si>
    <t>518074</t>
  </si>
  <si>
    <t>Vodné, stočné</t>
  </si>
  <si>
    <t>518080</t>
  </si>
  <si>
    <t>Veterinárne služby + kafilerka</t>
  </si>
  <si>
    <t>521000</t>
  </si>
  <si>
    <t>Mzdové náklady</t>
  </si>
  <si>
    <t>521020</t>
  </si>
  <si>
    <t>Rezerva na nevyč. dovolenky</t>
  </si>
  <si>
    <t>524000</t>
  </si>
  <si>
    <t>Zákonné sociálne poistenie</t>
  </si>
  <si>
    <t>524010</t>
  </si>
  <si>
    <t>Zákonné sociálne zabezpečenie</t>
  </si>
  <si>
    <t>527000</t>
  </si>
  <si>
    <t>Zákonné sociálne náklady</t>
  </si>
  <si>
    <t>527010</t>
  </si>
  <si>
    <t>Zákonné sociálne náklady - strava</t>
  </si>
  <si>
    <t>531000</t>
  </si>
  <si>
    <t>Daň z motorových vozidiel</t>
  </si>
  <si>
    <t>532000</t>
  </si>
  <si>
    <t>Daň z nehnuteľností</t>
  </si>
  <si>
    <t>541000</t>
  </si>
  <si>
    <t>Zost. cena predaného dlhodob.nehm. a hmot. majetku</t>
  </si>
  <si>
    <t>545000</t>
  </si>
  <si>
    <t>Ostatné pokuty, penále a úroky z omeškania</t>
  </si>
  <si>
    <t>548005</t>
  </si>
  <si>
    <t>Centové zaokrúhlenie - strata</t>
  </si>
  <si>
    <t>548011</t>
  </si>
  <si>
    <t>Havarijné poistenie</t>
  </si>
  <si>
    <t>548012</t>
  </si>
  <si>
    <t>PZP Volvo</t>
  </si>
  <si>
    <t>548013</t>
  </si>
  <si>
    <t>PZP Crafter</t>
  </si>
  <si>
    <t>548014</t>
  </si>
  <si>
    <t>PZP CLASS traktor</t>
  </si>
  <si>
    <t>548015</t>
  </si>
  <si>
    <t>Poistenie majetku - Haligovce</t>
  </si>
  <si>
    <t>548017</t>
  </si>
  <si>
    <t>PZP TOYOTA Hillux</t>
  </si>
  <si>
    <t>548019</t>
  </si>
  <si>
    <t>PZP Can am</t>
  </si>
  <si>
    <t>548020</t>
  </si>
  <si>
    <t>Poistenie majetku+strojov CLARCK</t>
  </si>
  <si>
    <t>551000</t>
  </si>
  <si>
    <t>Odpisy DHM - základné stádo dobytok</t>
  </si>
  <si>
    <t>551001</t>
  </si>
  <si>
    <t>Odpisy DHM - základné stádo BÝK</t>
  </si>
  <si>
    <t>551010</t>
  </si>
  <si>
    <t>Odpisy DHM - dopravné prostriedky</t>
  </si>
  <si>
    <t>551011</t>
  </si>
  <si>
    <t>Odpisy DHM - Poľnohosp. technika</t>
  </si>
  <si>
    <t>551012</t>
  </si>
  <si>
    <t>Odpisy DHM - stavby</t>
  </si>
  <si>
    <t>551020</t>
  </si>
  <si>
    <t>Odpisy DNM - softver + server + intern.s.</t>
  </si>
  <si>
    <t>562011</t>
  </si>
  <si>
    <t>Úroky bankový úver</t>
  </si>
  <si>
    <t>562030</t>
  </si>
  <si>
    <t>Úroky kontokorent</t>
  </si>
  <si>
    <t>562035</t>
  </si>
  <si>
    <t>Úroky leasing lis CLAAS ROLLANT 520</t>
  </si>
  <si>
    <t>568010</t>
  </si>
  <si>
    <t>Poplatky banke</t>
  </si>
  <si>
    <t>591000</t>
  </si>
  <si>
    <t>Splatná daň z príjmov z bežnej činnosti</t>
  </si>
  <si>
    <t>602010</t>
  </si>
  <si>
    <t>Tržba za dopravu</t>
  </si>
  <si>
    <t>602020</t>
  </si>
  <si>
    <t>Tržby z predaja služieb</t>
  </si>
  <si>
    <t>604000</t>
  </si>
  <si>
    <t>Tržby za tovar KK</t>
  </si>
  <si>
    <t>604010</t>
  </si>
  <si>
    <t>Tržby za tovar FA</t>
  </si>
  <si>
    <t>604020</t>
  </si>
  <si>
    <t>Tržby za tovar BJ</t>
  </si>
  <si>
    <t>613010</t>
  </si>
  <si>
    <t>Zmena stavu výrobkov - RV seno, senáž</t>
  </si>
  <si>
    <t>614000</t>
  </si>
  <si>
    <t>Zmena stavu zvierat</t>
  </si>
  <si>
    <t>624000</t>
  </si>
  <si>
    <t>Aktivácia dlhodobého hmotného majetku</t>
  </si>
  <si>
    <t>641000</t>
  </si>
  <si>
    <t>Tržby z predaja dlhodob. nehmot. a hmot. majetku</t>
  </si>
  <si>
    <t>648000</t>
  </si>
  <si>
    <t>Ostatné výnosy z hospodárskej činnosti</t>
  </si>
  <si>
    <t>648005</t>
  </si>
  <si>
    <t>Centové zaokrúhlenie - zisk</t>
  </si>
  <si>
    <t>648011</t>
  </si>
  <si>
    <t>Ostatné výnosy z HČ - dotácia PPA zelená nafta</t>
  </si>
  <si>
    <t>648012</t>
  </si>
  <si>
    <t>Ostatné výnosy z HČ - dotácia PPA</t>
  </si>
  <si>
    <t>648020</t>
  </si>
  <si>
    <t>Ostatné výnosy z HČ - náhrada od poisťovňe</t>
  </si>
  <si>
    <t>022011</t>
  </si>
  <si>
    <t>Dopravné prostriedky - traktor Zetor</t>
  </si>
  <si>
    <t>043000</t>
  </si>
  <si>
    <t>Obstaranie dlhodobého finančného majetku</t>
  </si>
  <si>
    <t>082011</t>
  </si>
  <si>
    <t>Oprávky k dopravným p. - Zetor</t>
  </si>
  <si>
    <t>346000</t>
  </si>
  <si>
    <t>Dotácie zo štátneho rozpočtu UP</t>
  </si>
  <si>
    <t>346002</t>
  </si>
  <si>
    <t xml:space="preserve">Dotácie zo PPA 041PO500152 </t>
  </si>
  <si>
    <t>365011</t>
  </si>
  <si>
    <t>Ostatné záv. voči spol. a člen. - kúpa OP</t>
  </si>
  <si>
    <t>479010</t>
  </si>
  <si>
    <t>Finančný úver Volvo</t>
  </si>
  <si>
    <t>479020</t>
  </si>
  <si>
    <t>Finančný úver vozík Clark</t>
  </si>
  <si>
    <t>479040</t>
  </si>
  <si>
    <t>Finančný úver CLASS traktor</t>
  </si>
  <si>
    <t>501051</t>
  </si>
  <si>
    <t>Náradie</t>
  </si>
  <si>
    <t>501099</t>
  </si>
  <si>
    <t>Spotrebný materiál DOBYTOK</t>
  </si>
  <si>
    <t>518001</t>
  </si>
  <si>
    <t>Cestovné služby</t>
  </si>
  <si>
    <t>518030</t>
  </si>
  <si>
    <t>Inštalácia, upgrade</t>
  </si>
  <si>
    <t>518047</t>
  </si>
  <si>
    <t>RTVS - konces. poplatky</t>
  </si>
  <si>
    <t>548000</t>
  </si>
  <si>
    <t>Ostatné náklady na hospodársku činnosť</t>
  </si>
  <si>
    <t>548023</t>
  </si>
  <si>
    <t>PZP traktor Zetor</t>
  </si>
  <si>
    <t>562033</t>
  </si>
  <si>
    <t>Úroky leasing VOLVO</t>
  </si>
  <si>
    <t>562034</t>
  </si>
  <si>
    <t>Úroky leasing CLARCK</t>
  </si>
  <si>
    <t>562036</t>
  </si>
  <si>
    <t>Úroky traktor CLAAS Arion 450</t>
  </si>
  <si>
    <t>602040</t>
  </si>
  <si>
    <t>Internet</t>
  </si>
  <si>
    <t>648010</t>
  </si>
  <si>
    <t>Ostatné výnosy z HČ - dotácia na prac. miesto</t>
  </si>
  <si>
    <t>013</t>
  </si>
  <si>
    <t>Software</t>
  </si>
  <si>
    <t>014</t>
  </si>
  <si>
    <t>021</t>
  </si>
  <si>
    <t>022</t>
  </si>
  <si>
    <t>Samost. hnuteľné veci a súbory hnuteľných vecí</t>
  </si>
  <si>
    <t>026</t>
  </si>
  <si>
    <t>Základné stádo a ťažné zvieratá</t>
  </si>
  <si>
    <t>029</t>
  </si>
  <si>
    <t>Ostatný dlhodobý hmotný majetok</t>
  </si>
  <si>
    <t>031</t>
  </si>
  <si>
    <t>042</t>
  </si>
  <si>
    <t>061</t>
  </si>
  <si>
    <t>Podielové cenné pap. a podiely v ovládanej osobe</t>
  </si>
  <si>
    <t>073</t>
  </si>
  <si>
    <t>Oprávky k software</t>
  </si>
  <si>
    <t>074</t>
  </si>
  <si>
    <t>Oprávky k oceniteľným právam</t>
  </si>
  <si>
    <t>081</t>
  </si>
  <si>
    <t>082</t>
  </si>
  <si>
    <t>Oprávky k samost. hnut. veciam a k súboru hn. vecí</t>
  </si>
  <si>
    <t>086</t>
  </si>
  <si>
    <t>089</t>
  </si>
  <si>
    <t>Oprávky k ostatnému dlhodobému hmotnému majetku</t>
  </si>
  <si>
    <t>111</t>
  </si>
  <si>
    <t>112</t>
  </si>
  <si>
    <t>Materiál na sklade</t>
  </si>
  <si>
    <t>123</t>
  </si>
  <si>
    <t>124</t>
  </si>
  <si>
    <t>131</t>
  </si>
  <si>
    <t>132</t>
  </si>
  <si>
    <t>Tovar na sklade a v predajniach</t>
  </si>
  <si>
    <t>211</t>
  </si>
  <si>
    <t>Pokladnica</t>
  </si>
  <si>
    <t>213</t>
  </si>
  <si>
    <t>Ceniny</t>
  </si>
  <si>
    <t>221</t>
  </si>
  <si>
    <t>261</t>
  </si>
  <si>
    <t>Peniaze na ceste</t>
  </si>
  <si>
    <t>311</t>
  </si>
  <si>
    <t>Odberatelia</t>
  </si>
  <si>
    <t>314</t>
  </si>
  <si>
    <t>315</t>
  </si>
  <si>
    <t>Ostatné pohľadávky</t>
  </si>
  <si>
    <t>321</t>
  </si>
  <si>
    <t>Dodávatelia</t>
  </si>
  <si>
    <t>323</t>
  </si>
  <si>
    <t>Krátkodobé rezervy</t>
  </si>
  <si>
    <t>324</t>
  </si>
  <si>
    <t>Prijaté preddavky</t>
  </si>
  <si>
    <t>325</t>
  </si>
  <si>
    <t>331</t>
  </si>
  <si>
    <t>335</t>
  </si>
  <si>
    <t>Pohľadávky voči zamestnancom</t>
  </si>
  <si>
    <t>336</t>
  </si>
  <si>
    <t>Zúčt so zamest. a org. soc. poist. a zdrav. poist</t>
  </si>
  <si>
    <t>341</t>
  </si>
  <si>
    <t>Daň z príjmov</t>
  </si>
  <si>
    <t>342</t>
  </si>
  <si>
    <t>343</t>
  </si>
  <si>
    <t>Daň z pridanej hodnoty</t>
  </si>
  <si>
    <t>345</t>
  </si>
  <si>
    <t>346</t>
  </si>
  <si>
    <t>Dotácie zo štátneho rozpočtu</t>
  </si>
  <si>
    <t>365</t>
  </si>
  <si>
    <t>Ostatné záväzky voči spoločníkom a členom</t>
  </si>
  <si>
    <t>367</t>
  </si>
  <si>
    <t>Záväzky z upís. nespl. cenn. papierov a vkladov</t>
  </si>
  <si>
    <t>378</t>
  </si>
  <si>
    <t>379</t>
  </si>
  <si>
    <t>395</t>
  </si>
  <si>
    <t>411</t>
  </si>
  <si>
    <t>421</t>
  </si>
  <si>
    <t>428</t>
  </si>
  <si>
    <t>Nerozdelený zisk minulých rokov</t>
  </si>
  <si>
    <t>431</t>
  </si>
  <si>
    <t>461</t>
  </si>
  <si>
    <t>Bankové úvery</t>
  </si>
  <si>
    <t>472</t>
  </si>
  <si>
    <t>474</t>
  </si>
  <si>
    <t>Záväzky z nájmu</t>
  </si>
  <si>
    <t>479</t>
  </si>
  <si>
    <t>Ostatné dlhodobé záväzky</t>
  </si>
  <si>
    <t>501</t>
  </si>
  <si>
    <t>Spotreba materiálu</t>
  </si>
  <si>
    <t>502</t>
  </si>
  <si>
    <t>504</t>
  </si>
  <si>
    <t>Predaný tovar</t>
  </si>
  <si>
    <t>511</t>
  </si>
  <si>
    <t>512</t>
  </si>
  <si>
    <t>518</t>
  </si>
  <si>
    <t>521</t>
  </si>
  <si>
    <t>524</t>
  </si>
  <si>
    <t>527</t>
  </si>
  <si>
    <t>531</t>
  </si>
  <si>
    <t>532</t>
  </si>
  <si>
    <t>541</t>
  </si>
  <si>
    <t>545</t>
  </si>
  <si>
    <t>548</t>
  </si>
  <si>
    <t>551</t>
  </si>
  <si>
    <t>Odpisy dlhodobého nehmotného a hmotného majetku</t>
  </si>
  <si>
    <t>562</t>
  </si>
  <si>
    <t>Úroky</t>
  </si>
  <si>
    <t>568</t>
  </si>
  <si>
    <t>Ostatné finančné náklady</t>
  </si>
  <si>
    <t>591</t>
  </si>
  <si>
    <t>602</t>
  </si>
  <si>
    <t>604</t>
  </si>
  <si>
    <t>Tržby za tovar</t>
  </si>
  <si>
    <t>613</t>
  </si>
  <si>
    <t>Zmena stavu výrobkov</t>
  </si>
  <si>
    <t>614</t>
  </si>
  <si>
    <t>624</t>
  </si>
  <si>
    <t>641</t>
  </si>
  <si>
    <t>648</t>
  </si>
  <si>
    <t>043</t>
  </si>
  <si>
    <t>*</t>
  </si>
  <si>
    <t>Čistý obrat (časť účt.tr. 6 podľa zákona)</t>
  </si>
  <si>
    <t>01</t>
  </si>
  <si>
    <t>**</t>
  </si>
  <si>
    <t>Výnosy z hospodárskej činnosti spolu súčet (r.03 až r.09)</t>
  </si>
  <si>
    <t>02</t>
  </si>
  <si>
    <t>I.</t>
  </si>
  <si>
    <t>Tržby z predaja tovaru (604,607)</t>
  </si>
  <si>
    <t>03</t>
  </si>
  <si>
    <t>ll.</t>
  </si>
  <si>
    <t>Tržby z predaja vlastných výrobkov a služieb (601)</t>
  </si>
  <si>
    <t>04</t>
  </si>
  <si>
    <t>llI.</t>
  </si>
  <si>
    <t>Tržby z predaja služieb (602, 606)</t>
  </si>
  <si>
    <t>05</t>
  </si>
  <si>
    <t>IV.</t>
  </si>
  <si>
    <t>Zmeny stavu vnútroorganizačných zásob (+/-) (účtová skupina 61)</t>
  </si>
  <si>
    <t>06</t>
  </si>
  <si>
    <t>V.</t>
  </si>
  <si>
    <t>Aktivácia (účtová skupina 62)</t>
  </si>
  <si>
    <t>07</t>
  </si>
  <si>
    <t>Vl.</t>
  </si>
  <si>
    <t>Tržby z predaja dlhodobého nehmotného majetku, dlhodobého hmotného majetku a materiálu (641,642)</t>
  </si>
  <si>
    <t>08</t>
  </si>
  <si>
    <t>VII</t>
  </si>
  <si>
    <t>Ostatné výnosy z hospodárskej činnosti (644,645,646,648,655,657)</t>
  </si>
  <si>
    <t>09</t>
  </si>
  <si>
    <t>Náklady na hospodársku činnosť spolu r.11+r.12+r.13+r.14+r15+r.20+r.21+r.24+r.25+r.26</t>
  </si>
  <si>
    <t>10</t>
  </si>
  <si>
    <t>A.</t>
  </si>
  <si>
    <t>Náklady vynaložené na obstaranie predaného tovaru ( 504, 507)</t>
  </si>
  <si>
    <t>11</t>
  </si>
  <si>
    <t>B.</t>
  </si>
  <si>
    <t>Spotreba materiálu, energie a ostatných neskladovateľných dodávok (501,502,503)</t>
  </si>
  <si>
    <t>12</t>
  </si>
  <si>
    <t>C.</t>
  </si>
  <si>
    <t>Opravné položky k zásobám (+/-) (505)</t>
  </si>
  <si>
    <t>13</t>
  </si>
  <si>
    <t>D.</t>
  </si>
  <si>
    <t>Služby (účtová skupina 51)</t>
  </si>
  <si>
    <t>14</t>
  </si>
  <si>
    <t>E.</t>
  </si>
  <si>
    <t>Osobné náklady (r. 16 až 19)</t>
  </si>
  <si>
    <t>15</t>
  </si>
  <si>
    <t>E.1.</t>
  </si>
  <si>
    <t>Mzdové náklady (521,522)</t>
  </si>
  <si>
    <t>16</t>
  </si>
  <si>
    <t>Odmeny členom orgánov spoločnosti a družstva (523)</t>
  </si>
  <si>
    <t>17</t>
  </si>
  <si>
    <t>Náklady na sociálne poistenie (524,525,526)</t>
  </si>
  <si>
    <t>18</t>
  </si>
  <si>
    <t>Sociálne náklady (527,528)</t>
  </si>
  <si>
    <t>19</t>
  </si>
  <si>
    <t>F.</t>
  </si>
  <si>
    <t>Dane a poplatky (účtová  skupina 53)</t>
  </si>
  <si>
    <t>20</t>
  </si>
  <si>
    <t>G.</t>
  </si>
  <si>
    <t>Odpisy o opravné položky k dlhodobému nehmotnému majetku a dlhodobému hmotnému majetku (r.22 + r.23)</t>
  </si>
  <si>
    <t>21</t>
  </si>
  <si>
    <t>G.1.</t>
  </si>
  <si>
    <t>Odpisy dlhodobého nehmotného majetku a dlhodobého hmotného majetku (551)</t>
  </si>
  <si>
    <t>22</t>
  </si>
  <si>
    <t>Opravné položky k dlhodobému nehmotnému majetku a dlhodobému hmotnému majetku (+/-) (553)</t>
  </si>
  <si>
    <t>23</t>
  </si>
  <si>
    <t>H.</t>
  </si>
  <si>
    <t>Zostatková cena predaného dlhodobého majetku a predaného materiálu (541,542)</t>
  </si>
  <si>
    <t>24</t>
  </si>
  <si>
    <t>Opravné položky k pohľadávkam (+/-) ( 547)</t>
  </si>
  <si>
    <t>25</t>
  </si>
  <si>
    <t>J.</t>
  </si>
  <si>
    <t>Ostatné náklady na hospodársku činnosť (543,544,545,546,548,549,555,557)</t>
  </si>
  <si>
    <t>26</t>
  </si>
  <si>
    <t>***</t>
  </si>
  <si>
    <t>Výsledok hospodárenia z hospodárskej činnosti (+/-)  (r. 02 - r. 10)</t>
  </si>
  <si>
    <t>27</t>
  </si>
  <si>
    <t>Pridaná hodnota (r.03+r.04+r.05+r.06+r.07)-(r.11+r.12+r.13+r.14)</t>
  </si>
  <si>
    <t>28</t>
  </si>
  <si>
    <t>Výnosy z finančnej činnosti spolu r.30+r.31+r.35+r.39+r.42+r.43+r.44</t>
  </si>
  <si>
    <t>29</t>
  </si>
  <si>
    <t>VlII.</t>
  </si>
  <si>
    <t>Tržby z predaja cenných papierov a podielov (661)</t>
  </si>
  <si>
    <t>30</t>
  </si>
  <si>
    <t>IX.</t>
  </si>
  <si>
    <t>Výnosy z dlhodobého finančného majetku súčet (r.32 až r.34)</t>
  </si>
  <si>
    <t>31</t>
  </si>
  <si>
    <t>IX.1.</t>
  </si>
  <si>
    <t>Výnosy z cenných papierov a podielov od prepojených ÚJ (665 A)</t>
  </si>
  <si>
    <t>32</t>
  </si>
  <si>
    <t>Výnosy z cenných papierov a podielov v podielovej účasti okrem výnosov prepojených ÚJ (665 A)</t>
  </si>
  <si>
    <t>33</t>
  </si>
  <si>
    <t>Ostatné výnosy z cenných papierov a podielov (665 A)</t>
  </si>
  <si>
    <t>34</t>
  </si>
  <si>
    <t>X.</t>
  </si>
  <si>
    <t>Výnosy z kratkodobého finančného majetku súčet (r.36 až r.38)</t>
  </si>
  <si>
    <t>35</t>
  </si>
  <si>
    <t>X.1.</t>
  </si>
  <si>
    <t>Výnosy z kratkodobého finančného majetku od prepojených ÚJ (666A)</t>
  </si>
  <si>
    <t>36</t>
  </si>
  <si>
    <t>Výnosy z kratkodobého fin.majetku v podielovej účasti okrem výnosov prepojených ÚJ (666A)</t>
  </si>
  <si>
    <t>37</t>
  </si>
  <si>
    <t>Ostatné výnosy z kratkodobého finančného majetku (666A)</t>
  </si>
  <si>
    <t>38</t>
  </si>
  <si>
    <t>XI.</t>
  </si>
  <si>
    <t>Výnosové úroky (r. 40 + r. 41)</t>
  </si>
  <si>
    <t>39</t>
  </si>
  <si>
    <t>XI.1.</t>
  </si>
  <si>
    <t>Výnosové úroky od prepojených ÚJ (662A)</t>
  </si>
  <si>
    <t>40</t>
  </si>
  <si>
    <t>Ostatné výnosové úroky (662A)</t>
  </si>
  <si>
    <t>41</t>
  </si>
  <si>
    <t>XlI.</t>
  </si>
  <si>
    <t>Kurzové zisky (663)</t>
  </si>
  <si>
    <t>42</t>
  </si>
  <si>
    <t>XIII.</t>
  </si>
  <si>
    <t>Výnosy z precenenia cenných papierov a výnosy z derivátových operácií (664,667)</t>
  </si>
  <si>
    <t>43</t>
  </si>
  <si>
    <t>XlV.</t>
  </si>
  <si>
    <t>Ostatné výnosy z finančnej činnosti (668)</t>
  </si>
  <si>
    <t>44</t>
  </si>
  <si>
    <t>Náklady na finančnú činnosť spolu r.46+r.47+r.48+r.49+r.52+r.53+r.54</t>
  </si>
  <si>
    <t>45</t>
  </si>
  <si>
    <t>K.</t>
  </si>
  <si>
    <t>Predané cenné papiere a podiely (561)</t>
  </si>
  <si>
    <t>46</t>
  </si>
  <si>
    <t>L.</t>
  </si>
  <si>
    <t>Náklady na krátkodobý finančný majetok (566)</t>
  </si>
  <si>
    <t>47</t>
  </si>
  <si>
    <t>M.</t>
  </si>
  <si>
    <t>Opravné položky k finančnému majetku (+/-) (565)</t>
  </si>
  <si>
    <t>48</t>
  </si>
  <si>
    <t>N.</t>
  </si>
  <si>
    <t>Nákladové úroky ( r.50 + r.51 )</t>
  </si>
  <si>
    <t>49</t>
  </si>
  <si>
    <t>N.1.</t>
  </si>
  <si>
    <t>Nákladové úroky na prepojené ÚJ ( 562A )</t>
  </si>
  <si>
    <t>50</t>
  </si>
  <si>
    <t>Ostatné nákladové úroky ( 562A )</t>
  </si>
  <si>
    <t>51</t>
  </si>
  <si>
    <t>O.</t>
  </si>
  <si>
    <t>Kurzové straty (563)</t>
  </si>
  <si>
    <t>52</t>
  </si>
  <si>
    <t>P.</t>
  </si>
  <si>
    <t>Náklady na precenenie cenných papierov a náklady na derivátové operácie (564,567)</t>
  </si>
  <si>
    <t>53</t>
  </si>
  <si>
    <t>Q.</t>
  </si>
  <si>
    <t>Ostatné náklady na finančnú činnosť (568,569)</t>
  </si>
  <si>
    <t>54</t>
  </si>
  <si>
    <t>Výsledok hospodárenia z finančnej činnosti (+/-) (r.29 - r.45)</t>
  </si>
  <si>
    <t>55</t>
  </si>
  <si>
    <t>****</t>
  </si>
  <si>
    <t>Výsledok hospodárenia za účtovné obdobie pred zdanením (+/-) (r. 27 + r. 55)</t>
  </si>
  <si>
    <t>56</t>
  </si>
  <si>
    <t>R.</t>
  </si>
  <si>
    <t>Daň z príjmov (r. 58+ r.59)</t>
  </si>
  <si>
    <t>57</t>
  </si>
  <si>
    <t>R.1.</t>
  </si>
  <si>
    <t>Daň z príjmov splatná (591, 595)</t>
  </si>
  <si>
    <t>58</t>
  </si>
  <si>
    <t>Daň z príjmov odložená (+/-) (592)</t>
  </si>
  <si>
    <t>59</t>
  </si>
  <si>
    <t>S.</t>
  </si>
  <si>
    <t>Prevod podielov na výsledku hospodárenia spoločníkom (+/-596)</t>
  </si>
  <si>
    <t>60</t>
  </si>
  <si>
    <t>Výsledok hospodárenia za účtovné obdobie po zdanení (+/-) (r. 56- r. 57- r.60)</t>
  </si>
  <si>
    <t>61</t>
  </si>
  <si>
    <t>SPOLU MAJETOK r. 02+ r. 33+ r. 74</t>
  </si>
  <si>
    <t>001</t>
  </si>
  <si>
    <t>Neobežný majetok r. 03+ r. 11+ r. 21</t>
  </si>
  <si>
    <t>002</t>
  </si>
  <si>
    <t>A.l.</t>
  </si>
  <si>
    <t>Dlhodobý nehmotný majetok súčet (r. 04 až r. 10)</t>
  </si>
  <si>
    <t>003</t>
  </si>
  <si>
    <t>A.I.1</t>
  </si>
  <si>
    <t>Aktivované náklady na vývoj (012) - /072,091A/</t>
  </si>
  <si>
    <t>004</t>
  </si>
  <si>
    <t>Softvér (013) - /073,091A/</t>
  </si>
  <si>
    <t>005</t>
  </si>
  <si>
    <t>Oceniteľné práva (014) - /074,091A/</t>
  </si>
  <si>
    <t>006</t>
  </si>
  <si>
    <t>Goodwill (015) - /075,091A/</t>
  </si>
  <si>
    <t>007</t>
  </si>
  <si>
    <t>Ostatný dlhodobý nehmotný majetok (019,01X) - /079,07X,091A/</t>
  </si>
  <si>
    <t>008</t>
  </si>
  <si>
    <t>Obstarávaný dlhodobý nehmotný majetok (041) - /093/</t>
  </si>
  <si>
    <t>009</t>
  </si>
  <si>
    <t>Poskytnuté preddavky na dlhodobý nehmotný majetok (051) - /095A/</t>
  </si>
  <si>
    <t>010</t>
  </si>
  <si>
    <t>A.ll.</t>
  </si>
  <si>
    <t>Dlhodobý hmotný majetok súčet (r. 12 až 20)</t>
  </si>
  <si>
    <t>011</t>
  </si>
  <si>
    <t>A.ll.1.</t>
  </si>
  <si>
    <t>Pozemky (031) - /092A/</t>
  </si>
  <si>
    <t>012</t>
  </si>
  <si>
    <t>Stavby (021) - /081,092A/</t>
  </si>
  <si>
    <t>Samostatné hnuteľné veci a súbory hnuteľných vecí (022) - /082,092A/</t>
  </si>
  <si>
    <t>Pestovateľské celky trvalých porastov (025) - /085,092A/</t>
  </si>
  <si>
    <t>015</t>
  </si>
  <si>
    <t>Základné stádo a ťažné zvieratá (026) - /086,092A/</t>
  </si>
  <si>
    <t>016</t>
  </si>
  <si>
    <t>Ostatný dlhodobý hmotný majetok (029,02X,032) - /089,08X,092A/</t>
  </si>
  <si>
    <t>017</t>
  </si>
  <si>
    <t>Obstarávaný dlhodobý hmotný majetok (042) - /094/</t>
  </si>
  <si>
    <t>018</t>
  </si>
  <si>
    <t>Poskytnuté preddavky na dlhodobý hmotný majetok (052) - /095A/</t>
  </si>
  <si>
    <t>019</t>
  </si>
  <si>
    <t>Opravná položka k nadobudnutému majetku (+/- 097) +/- 098</t>
  </si>
  <si>
    <t>020</t>
  </si>
  <si>
    <t>A.lll.</t>
  </si>
  <si>
    <t>Dlhodobý finančný majetok súčet (r. 22 až 32)</t>
  </si>
  <si>
    <t>A.lll.1.</t>
  </si>
  <si>
    <t>Podielové cenné papiere a podiely v prepojených účtovných jednotkách (061A,062A,063A) - /096A/</t>
  </si>
  <si>
    <t>Podielové cenné papiere a podiely s podielovu účasťou okrem prepojených ÚJ  (062A) - /096A/</t>
  </si>
  <si>
    <t>023</t>
  </si>
  <si>
    <t>Ostatné realizovateľné cenné papiere a podiely (063A) - /096A/</t>
  </si>
  <si>
    <t>024</t>
  </si>
  <si>
    <t>Pôžičky prepojeným účtovným jednotkám (066A) - /096A/</t>
  </si>
  <si>
    <t>025</t>
  </si>
  <si>
    <t>Pôžičky v rámci podielovej účasti okrem prepojeným ÚJ (066A) - /096A/</t>
  </si>
  <si>
    <t>Ostatné pôžičky (067A) - /096A/</t>
  </si>
  <si>
    <t>027</t>
  </si>
  <si>
    <t>Dlhové cenné papiere a ostatný dlhodobý finančný majetok ( 065A,069A,06XA ) - /096A/</t>
  </si>
  <si>
    <t>028</t>
  </si>
  <si>
    <t>Pôžičky a ostatný dlhodobý finančný majetok so zostatkovou dobou splatnosti najviac 1 rok ( 066A,067A,069A,06XA) - /096A/</t>
  </si>
  <si>
    <t>Účty v bankách s dobou viazanosti dhšou ako 1 rok (22XA)</t>
  </si>
  <si>
    <t>030</t>
  </si>
  <si>
    <t>Obstarávaný dlhodobý finančný majetok ( 043 ) - /096A/</t>
  </si>
  <si>
    <t>Poskytnuté preddavky na dlhodobý finančný majetok ( 053 ) - /095A/</t>
  </si>
  <si>
    <t>032</t>
  </si>
  <si>
    <t>Obežný majetok r. 034+ r. 041+ r. 053+ r. 066+ r. 071</t>
  </si>
  <si>
    <t>033</t>
  </si>
  <si>
    <t>B.l.</t>
  </si>
  <si>
    <t>Zásoby súčet (r. 035 až r. 040)</t>
  </si>
  <si>
    <t>034</t>
  </si>
  <si>
    <t>B.l.1.</t>
  </si>
  <si>
    <t>Materiál (112,119,11X) - /191,19X/</t>
  </si>
  <si>
    <t>035</t>
  </si>
  <si>
    <t>Nedokončená výroba a polotovary vlastnej výroby(121,122, 12X) - /192,193,19X/</t>
  </si>
  <si>
    <t>036</t>
  </si>
  <si>
    <t>Výrobky (123) - /194/</t>
  </si>
  <si>
    <t>037</t>
  </si>
  <si>
    <t>Zvieratá (124) - /195/</t>
  </si>
  <si>
    <t>038</t>
  </si>
  <si>
    <t>Tovar ( 132,133,13X,139 ) - /196,19X/</t>
  </si>
  <si>
    <t>039</t>
  </si>
  <si>
    <t>Poskytnuté preddavky na zásoby (314A) - /391A/</t>
  </si>
  <si>
    <t>040</t>
  </si>
  <si>
    <t>B.ll.</t>
  </si>
  <si>
    <t>Dlhodobé pohľadávky súčet (r.042 + r.046 až r.052)</t>
  </si>
  <si>
    <t>041</t>
  </si>
  <si>
    <t>B.ll.1.</t>
  </si>
  <si>
    <t>Pohľadávky z obchodného styku súčet (r.043 až r.045)</t>
  </si>
  <si>
    <t>1.a.</t>
  </si>
  <si>
    <t>Pohľadávky z obchodného styku voči prepojeným ÚJ (311A,312A,313A,314A,315A,31XA) - /391A/</t>
  </si>
  <si>
    <t>1.b.</t>
  </si>
  <si>
    <t>Pohľ.z obch.styku v rámci pod.účasti okrem pohľ.voči prep.ÚJ (311A,312A,313A,314A,315A,31XA) - /391A/</t>
  </si>
  <si>
    <t>044</t>
  </si>
  <si>
    <t>1.c.</t>
  </si>
  <si>
    <t>Ostatné pohľadávky z obchodného styku (311A,312A,313A,314A,315A,31XA) - /391A/</t>
  </si>
  <si>
    <t>045</t>
  </si>
  <si>
    <t>Čistá hodnota zákazky (316A)</t>
  </si>
  <si>
    <t>046</t>
  </si>
  <si>
    <t>Ostatné pohľadávky voči prepojeným ÚJ ( 351A ) - /391A/</t>
  </si>
  <si>
    <t>047</t>
  </si>
  <si>
    <t>Ostatné pohľ. v rámci podielovej účasti okrem pohľ.voči prep.ÚJ  (351A) - /391A/</t>
  </si>
  <si>
    <t>048</t>
  </si>
  <si>
    <t>Pohľadávky voči spoločníkom,členom a združeniu (354A,355A,358A,35XA) - /391A/</t>
  </si>
  <si>
    <t>049</t>
  </si>
  <si>
    <t>Pohľadávky z derivátových operácií (373A, 376A)</t>
  </si>
  <si>
    <t>050</t>
  </si>
  <si>
    <t>Iné pohľadávky (335A,336A,33XA,371A,374A,375A,378A) - /391A/</t>
  </si>
  <si>
    <t>051</t>
  </si>
  <si>
    <t>Odložená daňová pohľadávka (481 A)</t>
  </si>
  <si>
    <t>052</t>
  </si>
  <si>
    <t>B.lll.</t>
  </si>
  <si>
    <t>Krátkodobé pohľadávky súčet (r. 54 + r.58 až r.65)</t>
  </si>
  <si>
    <t>053</t>
  </si>
  <si>
    <t>B.lll.1.</t>
  </si>
  <si>
    <t>Pohľadávky z obchodného styku (súčet r.55 až r.57)</t>
  </si>
  <si>
    <t>054</t>
  </si>
  <si>
    <t>055</t>
  </si>
  <si>
    <t>056</t>
  </si>
  <si>
    <t>057</t>
  </si>
  <si>
    <t>058</t>
  </si>
  <si>
    <t>059</t>
  </si>
  <si>
    <t>060</t>
  </si>
  <si>
    <t>Pohľadávky voči spoločníkom,členom a združeniu (354A,355A,358A,35XA,398A) - /391A/</t>
  </si>
  <si>
    <t>6.,</t>
  </si>
  <si>
    <t>Sociálne poistenie ( 336A ) - /391A/</t>
  </si>
  <si>
    <t>062</t>
  </si>
  <si>
    <t>Daňové pohľadávky a dotácie (341,342,343,345, 346, 347) - 391A</t>
  </si>
  <si>
    <t>063</t>
  </si>
  <si>
    <t>064</t>
  </si>
  <si>
    <t>Iné pohľadávky (335A,33XA,371A,374A,375A,378A) - /391A/</t>
  </si>
  <si>
    <t>065</t>
  </si>
  <si>
    <t>B.IV.</t>
  </si>
  <si>
    <t>Krátkodobý finančný majetok súčet (r. 67 až r.70)</t>
  </si>
  <si>
    <t>066</t>
  </si>
  <si>
    <t>B.IV.1.</t>
  </si>
  <si>
    <t>Krátkodobý finančný majetok v prepojených ÚJ (251A,253A,256A,257A,25XA) - /291A,29XA)</t>
  </si>
  <si>
    <t>067</t>
  </si>
  <si>
    <t>Krátkodobý fin.maj.bez krátkod.fin.maj. v prepojených ÚJ (251A,253A,256A,257A,25XA) - /291A,29XA/</t>
  </si>
  <si>
    <t>068</t>
  </si>
  <si>
    <t>Vlastné akcie a vlastné obchodné podiely (252)</t>
  </si>
  <si>
    <t>069</t>
  </si>
  <si>
    <t>Obstarávaný krátkodobý finančný majetok (259, 314A) - /291A/</t>
  </si>
  <si>
    <t>070</t>
  </si>
  <si>
    <t>B.V.</t>
  </si>
  <si>
    <t>Finančné účty r.072 + r. 073</t>
  </si>
  <si>
    <t>071</t>
  </si>
  <si>
    <t>B.V.1.</t>
  </si>
  <si>
    <t>Peniaze ( 211,213,21X )</t>
  </si>
  <si>
    <t>072</t>
  </si>
  <si>
    <t>Účty v bankách ( 221A, 22X +/-261 )</t>
  </si>
  <si>
    <t>Časové rozlíšenie súčet (r. 75 až r. 78)</t>
  </si>
  <si>
    <t>C.1.</t>
  </si>
  <si>
    <t>Náklady budúcich období dlhodobé (381A,382A)</t>
  </si>
  <si>
    <t>075</t>
  </si>
  <si>
    <t>Náklady budúcich období krátkodobé (381A,382A)</t>
  </si>
  <si>
    <t>076</t>
  </si>
  <si>
    <t>Príjmy budúcich období dlhodobé (385A)</t>
  </si>
  <si>
    <t>077</t>
  </si>
  <si>
    <t>Príjmy budúcich období krátkodobé (385A)</t>
  </si>
  <si>
    <t>078</t>
  </si>
  <si>
    <t xml:space="preserve">Spolu vlastné imanie a záväzky ( r.080 + r.101 + r.141 )_x000D_
</t>
  </si>
  <si>
    <t>079</t>
  </si>
  <si>
    <t>Vlastné imanie r.081+r.085+r.086+r.087+r.090+r.093+r.097+r.100</t>
  </si>
  <si>
    <t>080</t>
  </si>
  <si>
    <t>Základné imanie súčet (r. 082 až r. 084)</t>
  </si>
  <si>
    <t>A.l.1.</t>
  </si>
  <si>
    <t>Základné imanie ( 411 alebo +/-491 )</t>
  </si>
  <si>
    <t>Zmena základného imania +/-419</t>
  </si>
  <si>
    <t>083</t>
  </si>
  <si>
    <t>Pohľadávky za upísané vlastné imanie (/-/353)</t>
  </si>
  <si>
    <t>084</t>
  </si>
  <si>
    <t>Emisné ážio (412)</t>
  </si>
  <si>
    <t>085</t>
  </si>
  <si>
    <t>A.III.</t>
  </si>
  <si>
    <t>Ostatné kapitálové fondy (413)</t>
  </si>
  <si>
    <t>A.IV.</t>
  </si>
  <si>
    <t>Zákonné rezervné fondy r. 088 + r. 089</t>
  </si>
  <si>
    <t>087</t>
  </si>
  <si>
    <t>A.IV.1.</t>
  </si>
  <si>
    <t>Zákonný rezervný fond a nedeliteľný fond (417A,418,421A,422)</t>
  </si>
  <si>
    <t>088</t>
  </si>
  <si>
    <t>Rezervný fond na vlastné akcie a vlastné podiely ( 417A,421A )</t>
  </si>
  <si>
    <t>A.V.</t>
  </si>
  <si>
    <t>Ostatné fondy zo zisku r. 091 + r. 092</t>
  </si>
  <si>
    <t>090</t>
  </si>
  <si>
    <t>A.V.1.</t>
  </si>
  <si>
    <t>Štatutárne fondy ( 423, 42X )</t>
  </si>
  <si>
    <t>091</t>
  </si>
  <si>
    <t>Ostatné fondy ( 427, 42X )</t>
  </si>
  <si>
    <t>092</t>
  </si>
  <si>
    <t>A.Vl.</t>
  </si>
  <si>
    <t>Oceňovacie rozdiely z precenenia súčet (r. 094 až r. 096)</t>
  </si>
  <si>
    <t>093</t>
  </si>
  <si>
    <t>A.VI.1.</t>
  </si>
  <si>
    <t>Oceňovacie rozdiely z precenenia majetku a záväzkov (+/-414)</t>
  </si>
  <si>
    <t>094</t>
  </si>
  <si>
    <t>Oceňovacie rozdiely z kapitálových účastín (+/-415)</t>
  </si>
  <si>
    <t>095</t>
  </si>
  <si>
    <t>Oceňovacie rozdiely z precenenia pri zlúčení, splynutí a rozdelení (+/-416)</t>
  </si>
  <si>
    <t>096</t>
  </si>
  <si>
    <t>A.VII.</t>
  </si>
  <si>
    <t>Výsledok hospodárenia minulých rokov r. 098 + r.099</t>
  </si>
  <si>
    <t>097</t>
  </si>
  <si>
    <t>A.VII.1.</t>
  </si>
  <si>
    <t>Nerozdelený zisk z minulých rokov ( 428 )</t>
  </si>
  <si>
    <t>098</t>
  </si>
  <si>
    <t>Neuhradená strata minulých rokov (/-/429)</t>
  </si>
  <si>
    <t>099</t>
  </si>
  <si>
    <t>A.VIII.</t>
  </si>
  <si>
    <t>Výsledok hospodárenia za účtovné obdobie po zdanení /+- / r.01- (r. 81+ r.85+ r.86+ r. 87+ r. 90+ r. 93 + r.97 + r.101 + r.141)</t>
  </si>
  <si>
    <t>100</t>
  </si>
  <si>
    <t>Záväzky r. 102 + r. 118 + r. 121 + r. 122 + r.136 + r. 139 + r. 140</t>
  </si>
  <si>
    <t>101</t>
  </si>
  <si>
    <t>Dlhodobé záväzky súčet (r. 103 + r. 107 až r. 117)</t>
  </si>
  <si>
    <t>102</t>
  </si>
  <si>
    <t>Dlhodobé záväzky z obchodného styku súčet (r. 104 až r. 106)</t>
  </si>
  <si>
    <t>103</t>
  </si>
  <si>
    <t>Záväzky z obchodného styku voči prepojeným účtovným jednotkám (321A,475A,476A)</t>
  </si>
  <si>
    <t>104</t>
  </si>
  <si>
    <t>Záväzky z obchodného styku v rámci podielovej účasti okrem záväzkov voči prepojeným účtovným jednotkám (321A,475A,476A)</t>
  </si>
  <si>
    <t>105</t>
  </si>
  <si>
    <t>Ostatné záväzky z obchodného styku (321A,475A,476A)</t>
  </si>
  <si>
    <t>106</t>
  </si>
  <si>
    <t>107</t>
  </si>
  <si>
    <t>Ostatné záväzky voči prepojeným účtovným jednotkám (471A,47XA)</t>
  </si>
  <si>
    <t>108</t>
  </si>
  <si>
    <t>Ostatné záväzky v rámci podielovej účasti okrem záväzkov voči prep.ÚJ  (471A, 47XA)</t>
  </si>
  <si>
    <t>109</t>
  </si>
  <si>
    <t>Ostatné dlhodobé zázäzky ( 479A, 47XA )</t>
  </si>
  <si>
    <t>110</t>
  </si>
  <si>
    <t>Dlhodobé prijaté preddavky (475A)</t>
  </si>
  <si>
    <t>Dlhodobé zmenky na úhradu (478A)</t>
  </si>
  <si>
    <t>Vydané dlhopisy (473A,/-/255A)</t>
  </si>
  <si>
    <t>113</t>
  </si>
  <si>
    <t>Záväzky zo sociálneho fondu (472)</t>
  </si>
  <si>
    <t>114</t>
  </si>
  <si>
    <t>Iné dlhodobé záväzky ( 336A, 372A, 474A, 47XA)</t>
  </si>
  <si>
    <t>115</t>
  </si>
  <si>
    <t>Dlhodobé záväzky z derivátových operácií (373A, 377A)</t>
  </si>
  <si>
    <t>116</t>
  </si>
  <si>
    <t>Odložený daňový záväzok (481A)</t>
  </si>
  <si>
    <t>117</t>
  </si>
  <si>
    <t>B.II.</t>
  </si>
  <si>
    <t>Dlhodobé rezervy r. 119 + r. 120</t>
  </si>
  <si>
    <t>118</t>
  </si>
  <si>
    <t>B.lI.1.</t>
  </si>
  <si>
    <t>Zákonné rezervy ( 451A )</t>
  </si>
  <si>
    <t>119</t>
  </si>
  <si>
    <t>Ostatné rezervy ( 459A, 45XA )</t>
  </si>
  <si>
    <t>120</t>
  </si>
  <si>
    <t>B.III.</t>
  </si>
  <si>
    <t>Dlhodobé bankové úvery ( 461A, 46XA )</t>
  </si>
  <si>
    <t>121</t>
  </si>
  <si>
    <t>B.lV.</t>
  </si>
  <si>
    <t>Krátkodobé záväzky  súčet ( r. 123 + r. 127 až r. 135)</t>
  </si>
  <si>
    <t>122</t>
  </si>
  <si>
    <t>B.lV.1.</t>
  </si>
  <si>
    <t>Záväzky z obchodného styku súčet (r. 124 až r. 126)</t>
  </si>
  <si>
    <t>Záväzky z obchodného styku voči prepojeným účtovným jednotkám (321A,322A,324A,325A,326A,32XA,475A,476A,478A,47XA)</t>
  </si>
  <si>
    <t>Záväzky z obchodného styku v rámci podielovej účasti okrem záväzkov voči prepojeným účtovným jednotkám (321A,322A,324A,325A,326A,32XA,475A,476A,478A,47XA)</t>
  </si>
  <si>
    <t>125</t>
  </si>
  <si>
    <t>Ostatné záväzky z obchodného styku (321A,322A,324A,325A,326A,32XA,475A,476A,478A,47XA)</t>
  </si>
  <si>
    <t>126</t>
  </si>
  <si>
    <t>127</t>
  </si>
  <si>
    <t>Ostatné záväzky voči prepojeným účtovným jednotkám (361A,36XA,471A,47XA)</t>
  </si>
  <si>
    <t>128</t>
  </si>
  <si>
    <t>Ostatné záväzky v rámci podielovej účasti okrem záväzkov voči prepojeným účtovným jednotkám  (361A,36XA,471A,47XA)</t>
  </si>
  <si>
    <t>129</t>
  </si>
  <si>
    <t>Záväzky voči spoločníkom a združeniu ( 364, 365, 366, 367, 368, 398A, 478A, 479A)</t>
  </si>
  <si>
    <t>130</t>
  </si>
  <si>
    <t>Záväzky voči zamestnancom ( 331,333,33X,479A )</t>
  </si>
  <si>
    <t>Záväzky zo sociálneho poistenia ( 336A )</t>
  </si>
  <si>
    <t>Daňové záväzky a dotácie ( 341, 342, 343, 345, 346, 347, 34X )</t>
  </si>
  <si>
    <t>133</t>
  </si>
  <si>
    <t>Záväzky z derivátových operácií (373A, 377A)</t>
  </si>
  <si>
    <t>134</t>
  </si>
  <si>
    <t>Iné záväzky ( 372A, 379A, 474A, 475A, 479A, 47XA )</t>
  </si>
  <si>
    <t>135</t>
  </si>
  <si>
    <t>Krátkodobé rezervy r.137 +r.138</t>
  </si>
  <si>
    <t>136</t>
  </si>
  <si>
    <t>Zákonné rezervy ( 323A, 451A )</t>
  </si>
  <si>
    <t>137</t>
  </si>
  <si>
    <t>Ostatné rezervy (323A, 32X, 459A, 45XA)</t>
  </si>
  <si>
    <t>138</t>
  </si>
  <si>
    <t>B.VI.</t>
  </si>
  <si>
    <t>Bežné bankové úvery (221A,231,232,23X,461A,46XA)</t>
  </si>
  <si>
    <t>139</t>
  </si>
  <si>
    <t>B.VII.</t>
  </si>
  <si>
    <t>Krátkodobé finančné výpomoci (241,249,24X,473A,/-/255A)</t>
  </si>
  <si>
    <t>140</t>
  </si>
  <si>
    <t>Časové rozlíšenie súčet (r. 142 až 145)</t>
  </si>
  <si>
    <t>141</t>
  </si>
  <si>
    <t>Výdavky budúcich období dlhodobé (383A)</t>
  </si>
  <si>
    <t>142</t>
  </si>
  <si>
    <t>Výdavky budúcich období krátkodobé (383A)</t>
  </si>
  <si>
    <t>143</t>
  </si>
  <si>
    <t>Výnosy budúcich období dlhodobé (384A)</t>
  </si>
  <si>
    <t>144</t>
  </si>
  <si>
    <t>Výnosy budúcich období krátkodobé (384A)</t>
  </si>
  <si>
    <t>145</t>
  </si>
  <si>
    <t>Dátum zostavenia ÚZ</t>
  </si>
  <si>
    <t>20.03.2025</t>
  </si>
  <si>
    <t>Obdobie od</t>
  </si>
  <si>
    <t>01.01.2024</t>
  </si>
  <si>
    <t>Obdobie do</t>
  </si>
  <si>
    <t>31.12.2024</t>
  </si>
  <si>
    <t>Bezprostredne predchádzajúce obdobie od</t>
  </si>
  <si>
    <t>01.01.2023</t>
  </si>
  <si>
    <t>Bezprostredne predchádzajúce obdobie do</t>
  </si>
  <si>
    <t>31.12.2023</t>
  </si>
  <si>
    <t>IČO</t>
  </si>
  <si>
    <t>DIČ</t>
  </si>
  <si>
    <t>Kód SK NACE</t>
  </si>
  <si>
    <t>Názov1</t>
  </si>
  <si>
    <t>Kanty s.r.o.</t>
  </si>
  <si>
    <t>Názov2</t>
  </si>
  <si>
    <t>Ulica</t>
  </si>
  <si>
    <t>Garbiarska 2406/19A</t>
  </si>
  <si>
    <t>Číslo</t>
  </si>
  <si>
    <t>PSČ</t>
  </si>
  <si>
    <t>060 01</t>
  </si>
  <si>
    <t>Názov obce</t>
  </si>
  <si>
    <t>Kežmarok</t>
  </si>
  <si>
    <t>Číslo telefónu</t>
  </si>
  <si>
    <t>0911165400_x000D_
0911165400</t>
  </si>
  <si>
    <t>Číslo faxu</t>
  </si>
  <si>
    <t>E-mail</t>
  </si>
  <si>
    <t>kucova@kanty.sk_x000D_
kucova@kanty.sk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</si>
</sst>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26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justify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3" fontId="5" fillId="0" borderId="6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 wrapText="1"/>
    </xf>
    <xf numFmtId="3" fontId="5" fillId="0" borderId="8" xfId="0" applyNumberFormat="1" applyFont="1" applyBorder="1" applyAlignment="1">
      <alignment horizontal="right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3" fontId="5" fillId="0" borderId="13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 wrapText="1"/>
    </xf>
    <xf numFmtId="3" fontId="5" fillId="0" borderId="14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3" fontId="5" fillId="0" borderId="18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9" fontId="5" fillId="0" borderId="13" xfId="1" applyFont="1" applyBorder="1" applyAlignment="1">
      <alignment horizontal="center" vertical="center" wrapText="1"/>
    </xf>
    <xf numFmtId="9" fontId="5" fillId="0" borderId="14" xfId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31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" fontId="5" fillId="0" borderId="4" xfId="0" applyNumberFormat="1" applyFont="1" applyBorder="1" applyAlignment="1">
      <alignment horizontal="right" vertical="center"/>
    </xf>
    <xf numFmtId="3" fontId="5" fillId="0" borderId="8" xfId="0" applyNumberFormat="1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3" fontId="4" fillId="0" borderId="14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5" fillId="0" borderId="13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9" fontId="5" fillId="0" borderId="13" xfId="1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9" fontId="5" fillId="0" borderId="14" xfId="1" applyFont="1" applyBorder="1" applyAlignment="1">
      <alignment horizontal="right" vertical="center"/>
    </xf>
    <xf numFmtId="0" fontId="5" fillId="0" borderId="32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4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3" fontId="5" fillId="0" borderId="16" xfId="0" applyNumberFormat="1" applyFont="1" applyBorder="1" applyAlignment="1">
      <alignment horizontal="right" vertical="center"/>
    </xf>
    <xf numFmtId="3" fontId="5" fillId="0" borderId="30" xfId="0" applyNumberFormat="1" applyFont="1" applyBorder="1" applyAlignment="1">
      <alignment horizontal="right" vertical="center"/>
    </xf>
    <xf numFmtId="3" fontId="4" fillId="0" borderId="18" xfId="0" applyNumberFormat="1" applyFont="1" applyBorder="1" applyAlignment="1">
      <alignment horizontal="right" vertical="center"/>
    </xf>
    <xf numFmtId="3" fontId="4" fillId="0" borderId="37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9" fontId="5" fillId="0" borderId="8" xfId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8" fillId="0" borderId="0" xfId="0" applyFont="1"/>
    <xf numFmtId="0" fontId="5" fillId="0" borderId="21" xfId="0" applyFont="1" applyBorder="1" applyAlignment="1">
      <alignment vertical="center" wrapText="1"/>
    </xf>
    <xf numFmtId="0" fontId="5" fillId="0" borderId="39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3" fontId="4" fillId="0" borderId="36" xfId="0" applyNumberFormat="1" applyFont="1" applyBorder="1" applyAlignment="1">
      <alignment horizontal="right" vertical="center" wrapText="1"/>
    </xf>
    <xf numFmtId="0" fontId="10" fillId="0" borderId="0" xfId="0" applyFont="1"/>
    <xf numFmtId="3" fontId="4" fillId="0" borderId="36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9" fontId="5" fillId="0" borderId="16" xfId="1" applyFont="1" applyBorder="1" applyAlignment="1">
      <alignment horizontal="right" vertical="center"/>
    </xf>
    <xf numFmtId="14" fontId="5" fillId="0" borderId="16" xfId="0" applyNumberFormat="1" applyFont="1" applyBorder="1" applyAlignment="1">
      <alignment horizontal="right" vertical="center"/>
    </xf>
    <xf numFmtId="0" fontId="9" fillId="0" borderId="0" xfId="0" applyFont="1"/>
    <xf numFmtId="3" fontId="13" fillId="2" borderId="13" xfId="0" applyNumberFormat="1" applyFont="1" applyFill="1" applyBorder="1" applyAlignment="1">
      <alignment horizontal="right" vertical="center" wrapText="1"/>
    </xf>
    <xf numFmtId="3" fontId="13" fillId="2" borderId="17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vertical="center" wrapText="1"/>
    </xf>
    <xf numFmtId="3" fontId="13" fillId="2" borderId="14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2" borderId="0" xfId="0" applyFill="1"/>
    <xf numFmtId="0" fontId="0" fillId="0" borderId="0" xfId="0" applyBorder="1"/>
    <xf numFmtId="49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right" vertical="top"/>
    </xf>
    <xf numFmtId="49" fontId="5" fillId="0" borderId="0" xfId="0" applyNumberFormat="1" applyFont="1" applyBorder="1"/>
    <xf numFmtId="0" fontId="5" fillId="0" borderId="0" xfId="0" applyFont="1" applyBorder="1"/>
    <xf numFmtId="164" fontId="5" fillId="0" borderId="0" xfId="0" applyNumberFormat="1" applyFont="1" applyBorder="1"/>
    <xf numFmtId="0" fontId="15" fillId="0" borderId="0" xfId="0" applyFont="1" applyBorder="1"/>
    <xf numFmtId="49" fontId="15" fillId="0" borderId="0" xfId="0" applyNumberFormat="1" applyFont="1" applyBorder="1"/>
    <xf numFmtId="164" fontId="15" fillId="0" borderId="0" xfId="0" applyNumberFormat="1" applyFont="1" applyBorder="1"/>
    <xf numFmtId="49" fontId="14" fillId="3" borderId="35" xfId="0" applyNumberFormat="1" applyFont="1" applyFill="1" applyBorder="1" applyAlignment="1">
      <alignment horizontal="left" vertical="top" wrapText="1"/>
    </xf>
    <xf numFmtId="0" fontId="14" fillId="3" borderId="35" xfId="0" applyFont="1" applyFill="1" applyBorder="1" applyAlignment="1">
      <alignment horizontal="left" vertical="top" wrapText="1"/>
    </xf>
    <xf numFmtId="164" fontId="14" fillId="3" borderId="35" xfId="0" applyNumberFormat="1" applyFont="1" applyFill="1" applyBorder="1" applyAlignment="1">
      <alignment horizontal="right" vertical="top" wrapText="1"/>
    </xf>
    <xf numFmtId="0" fontId="5" fillId="3" borderId="35" xfId="0" applyFont="1" applyFill="1" applyBorder="1"/>
    <xf numFmtId="3" fontId="5" fillId="2" borderId="6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/>
    </xf>
    <xf numFmtId="3" fontId="5" fillId="2" borderId="8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3" fontId="5" fillId="2" borderId="13" xfId="0" applyNumberFormat="1" applyFont="1" applyFill="1" applyBorder="1" applyAlignment="1">
      <alignment horizontal="right" vertical="center" wrapText="1"/>
    </xf>
    <xf numFmtId="3" fontId="5" fillId="2" borderId="14" xfId="0" applyNumberFormat="1" applyFont="1" applyFill="1" applyBorder="1" applyAlignment="1">
      <alignment horizontal="right" vertical="center" wrapText="1"/>
    </xf>
    <xf numFmtId="0" fontId="11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3" fontId="12" fillId="2" borderId="13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9" xfId="0" applyFont="1" applyFill="1" applyBorder="1" applyAlignment="1">
      <alignment horizontal="right" vertical="center" wrapText="1"/>
    </xf>
    <xf numFmtId="1" fontId="12" fillId="2" borderId="33" xfId="0" applyNumberFormat="1" applyFont="1" applyFill="1" applyBorder="1" applyAlignment="1">
      <alignment horizontal="right" vertical="center" wrapText="1"/>
    </xf>
    <xf numFmtId="3" fontId="7" fillId="2" borderId="13" xfId="0" applyNumberFormat="1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0" fillId="2" borderId="0" xfId="0" applyFill="1" applyAlignment="1">
      <alignment wrapText="1"/>
    </xf>
    <xf numFmtId="0" fontId="5" fillId="2" borderId="1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13" fillId="2" borderId="0" xfId="0" applyFont="1" applyFill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3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vertical="center" wrapText="1"/>
    </xf>
    <xf numFmtId="3" fontId="13" fillId="2" borderId="8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2" fillId="2" borderId="10" xfId="0" applyFont="1" applyFill="1" applyBorder="1" applyAlignment="1">
      <alignment horizontal="right" vertical="center" wrapText="1"/>
    </xf>
    <xf numFmtId="3" fontId="12" fillId="2" borderId="8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0" fontId="16" fillId="2" borderId="0" xfId="0" applyFont="1" applyFill="1"/>
    <xf numFmtId="3" fontId="12" fillId="2" borderId="6" xfId="0" applyNumberFormat="1" applyFont="1" applyFill="1" applyBorder="1" applyAlignment="1">
      <alignment horizontal="right" vertical="center" wrapText="1"/>
    </xf>
    <xf numFmtId="0" fontId="16" fillId="2" borderId="0" xfId="0" applyFont="1" applyFill="1" applyAlignment="1">
      <alignment horizontal="right"/>
    </xf>
    <xf numFmtId="3" fontId="12" fillId="2" borderId="40" xfId="0" applyNumberFormat="1" applyFont="1" applyFill="1" applyBorder="1" applyAlignment="1">
      <alignment horizontal="right" vertical="center" wrapText="1"/>
    </xf>
    <xf numFmtId="3" fontId="12" fillId="2" borderId="41" xfId="0" applyNumberFormat="1" applyFont="1" applyFill="1" applyBorder="1" applyAlignment="1">
      <alignment horizontal="right" vertical="center" wrapText="1"/>
    </xf>
    <xf numFmtId="3" fontId="12" fillId="2" borderId="29" xfId="0" applyNumberFormat="1" applyFont="1" applyFill="1" applyBorder="1" applyAlignment="1">
      <alignment horizontal="right" vertical="center" wrapText="1"/>
    </xf>
    <xf numFmtId="3" fontId="12" fillId="2" borderId="30" xfId="0" applyNumberFormat="1" applyFont="1" applyFill="1" applyBorder="1" applyAlignment="1">
      <alignment horizontal="right" vertical="center" wrapText="1"/>
    </xf>
    <xf numFmtId="3" fontId="13" fillId="2" borderId="13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3" fontId="13" fillId="2" borderId="29" xfId="0" applyNumberFormat="1" applyFont="1" applyFill="1" applyBorder="1" applyAlignment="1">
      <alignment horizontal="right" vertical="center"/>
    </xf>
    <xf numFmtId="3" fontId="13" fillId="2" borderId="36" xfId="0" applyNumberFormat="1" applyFont="1" applyFill="1" applyBorder="1" applyAlignment="1">
      <alignment horizontal="right" vertical="center"/>
    </xf>
    <xf numFmtId="3" fontId="12" fillId="2" borderId="3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/>
    </xf>
    <xf numFmtId="3" fontId="13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right" vertical="center"/>
    </xf>
    <xf numFmtId="3" fontId="13" fillId="2" borderId="42" xfId="0" applyNumberFormat="1" applyFont="1" applyFill="1" applyBorder="1" applyAlignment="1">
      <alignment horizontal="right" vertical="center"/>
    </xf>
    <xf numFmtId="3" fontId="13" fillId="2" borderId="16" xfId="0" applyNumberFormat="1" applyFont="1" applyFill="1" applyBorder="1" applyAlignment="1">
      <alignment horizontal="right" vertical="center"/>
    </xf>
    <xf numFmtId="3" fontId="13" fillId="2" borderId="30" xfId="0" applyNumberFormat="1" applyFont="1" applyFill="1" applyBorder="1" applyAlignment="1">
      <alignment horizontal="right" vertical="center"/>
    </xf>
    <xf numFmtId="3" fontId="13" fillId="2" borderId="17" xfId="0" applyNumberFormat="1" applyFont="1" applyFill="1" applyBorder="1" applyAlignment="1">
      <alignment horizontal="right" vertical="center"/>
    </xf>
    <xf numFmtId="3" fontId="13" fillId="2" borderId="14" xfId="0" applyNumberFormat="1" applyFont="1" applyFill="1" applyBorder="1" applyAlignment="1">
      <alignment horizontal="right" vertical="center"/>
    </xf>
    <xf numFmtId="3" fontId="13" fillId="2" borderId="18" xfId="0" applyNumberFormat="1" applyFont="1" applyFill="1" applyBorder="1" applyAlignment="1">
      <alignment horizontal="right" vertical="center"/>
    </xf>
    <xf numFmtId="3" fontId="13" fillId="2" borderId="37" xfId="0" applyNumberFormat="1" applyFont="1" applyFill="1" applyBorder="1" applyAlignment="1">
      <alignment horizontal="right" vertical="center"/>
    </xf>
    <xf numFmtId="3" fontId="12" fillId="2" borderId="10" xfId="0" applyNumberFormat="1" applyFont="1" applyFill="1" applyBorder="1" applyAlignment="1">
      <alignment horizontal="right" vertical="center"/>
    </xf>
    <xf numFmtId="3" fontId="12" fillId="2" borderId="36" xfId="0" applyNumberFormat="1" applyFont="1" applyFill="1" applyBorder="1" applyAlignment="1">
      <alignment horizontal="right" vertical="center"/>
    </xf>
    <xf numFmtId="3" fontId="12" fillId="2" borderId="8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center"/>
    </xf>
    <xf numFmtId="3" fontId="12" fillId="2" borderId="13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right"/>
    </xf>
    <xf numFmtId="3" fontId="12" fillId="2" borderId="14" xfId="0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26" xfId="0" applyFont="1" applyFill="1" applyBorder="1" applyAlignment="1">
      <alignment horizontal="right" vertical="center"/>
    </xf>
    <xf numFmtId="0" fontId="12" fillId="2" borderId="25" xfId="0" applyFont="1" applyFill="1" applyBorder="1" applyAlignment="1">
      <alignment horizontal="right" vertical="center"/>
    </xf>
    <xf numFmtId="0" fontId="13" fillId="2" borderId="6" xfId="0" applyFont="1" applyFill="1" applyBorder="1" applyAlignment="1">
      <alignment horizontal="right" vertical="center"/>
    </xf>
    <xf numFmtId="0" fontId="16" fillId="2" borderId="0" xfId="0" applyFont="1" applyFill="1" applyAlignment="1">
      <alignment horizontal="right" vertical="center" wrapText="1"/>
    </xf>
    <xf numFmtId="0" fontId="17" fillId="2" borderId="0" xfId="0" applyFont="1" applyFill="1" applyAlignment="1">
      <alignment horizontal="right" vertical="center" wrapText="1"/>
    </xf>
    <xf numFmtId="3" fontId="13" fillId="2" borderId="13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center" vertical="center"/>
    </xf>
    <xf numFmtId="9" fontId="13" fillId="2" borderId="6" xfId="1" applyFont="1" applyFill="1" applyBorder="1" applyAlignment="1">
      <alignment horizontal="right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right" vertical="center" wrapText="1"/>
    </xf>
    <xf numFmtId="3" fontId="5" fillId="2" borderId="33" xfId="0" applyNumberFormat="1" applyFont="1" applyFill="1" applyBorder="1" applyAlignment="1">
      <alignment horizontal="right" vertical="center" wrapText="1"/>
    </xf>
    <xf numFmtId="3" fontId="5" fillId="2" borderId="17" xfId="0" applyNumberFormat="1" applyFont="1" applyFill="1" applyBorder="1" applyAlignment="1">
      <alignment horizontal="right" vertical="center" wrapText="1"/>
    </xf>
    <xf numFmtId="3" fontId="5" fillId="2" borderId="23" xfId="0" applyNumberFormat="1" applyFont="1" applyFill="1" applyBorder="1" applyAlignment="1">
      <alignment horizontal="right" vertical="center" wrapText="1"/>
    </xf>
    <xf numFmtId="3" fontId="5" fillId="2" borderId="43" xfId="0" applyNumberFormat="1" applyFont="1" applyFill="1" applyBorder="1" applyAlignment="1">
      <alignment horizontal="right" vertical="center" wrapText="1"/>
    </xf>
    <xf numFmtId="3" fontId="13" fillId="2" borderId="28" xfId="0" applyNumberFormat="1" applyFont="1" applyFill="1" applyBorder="1" applyAlignment="1">
      <alignment horizontal="right" vertical="center" wrapText="1"/>
    </xf>
    <xf numFmtId="0" fontId="0" fillId="2" borderId="0" xfId="0" applyFill="1" applyBorder="1"/>
    <xf numFmtId="3" fontId="13" fillId="2" borderId="33" xfId="0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5" fillId="2" borderId="43" xfId="0" applyFont="1" applyFill="1" applyBorder="1" applyAlignment="1">
      <alignment vertical="center" wrapText="1"/>
    </xf>
    <xf numFmtId="0" fontId="13" fillId="2" borderId="43" xfId="0" applyFont="1" applyFill="1" applyBorder="1" applyAlignment="1">
      <alignment vertical="center" wrapText="1"/>
    </xf>
    <xf numFmtId="0" fontId="5" fillId="0" borderId="43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2" fillId="0" borderId="0" xfId="0" applyFont="1"/>
    <xf numFmtId="0" fontId="4" fillId="2" borderId="9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3">
    <cellStyle name="Normálna" xfId="0" builtinId="0"/>
    <cellStyle name="Normálna 2" xfId="2"/>
    <cellStyle name="Percentá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C6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33.28515625" customWidth="1"/>
    <col min="2" max="3" width="26.140625" customWidth="1"/>
  </cols>
  <sheetData>
    <row r="1" spans="1:3" ht="17.25" thickBot="1" x14ac:dyDescent="0.35">
      <c r="A1" s="1" t="s">
        <v>0</v>
      </c>
    </row>
    <row r="2" spans="1:3" ht="21.75" customHeight="1" thickTop="1" thickBot="1" x14ac:dyDescent="0.3">
      <c r="A2" s="6" t="s">
        <v>1</v>
      </c>
      <c r="B2" s="7" t="s">
        <v>2</v>
      </c>
      <c r="C2" s="7" t="s">
        <v>3</v>
      </c>
    </row>
    <row r="3" spans="1:3" ht="22.5" customHeight="1" thickTop="1" thickBot="1" x14ac:dyDescent="0.3">
      <c r="A3" s="8" t="s">
        <v>4</v>
      </c>
      <c r="B3" s="9">
        <v>8</v>
      </c>
      <c r="C3" s="9">
        <v>9</v>
      </c>
    </row>
    <row r="4" spans="1:3" ht="22.5" customHeight="1" thickBot="1" x14ac:dyDescent="0.3">
      <c r="A4" s="10" t="s">
        <v>5</v>
      </c>
      <c r="B4" s="11">
        <v>8</v>
      </c>
      <c r="C4" s="11">
        <v>9</v>
      </c>
    </row>
    <row r="5" spans="1:3" ht="22.5" customHeight="1" thickBot="1" x14ac:dyDescent="0.3">
      <c r="A5" s="12" t="s">
        <v>6</v>
      </c>
      <c r="B5" s="13">
        <v>2</v>
      </c>
      <c r="C5" s="13">
        <v>2</v>
      </c>
    </row>
    <row r="6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0"/>
  <sheetViews>
    <sheetView showGridLines="0" zoomScaleNormal="100" workbookViewId="0">
      <selection activeCell="C9" sqref="C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14.42578125" customWidth="1"/>
    <col min="6" max="7" width="23.28515625" customWidth="1"/>
  </cols>
  <sheetData>
    <row r="1" spans="1:6" ht="17.25" thickBot="1" x14ac:dyDescent="0.35">
      <c r="A1" s="1" t="s">
        <v>190</v>
      </c>
    </row>
    <row r="2" spans="1:6" ht="21.75" customHeight="1" thickTop="1" thickBot="1" x14ac:dyDescent="0.3">
      <c r="A2" s="39" t="s">
        <v>54</v>
      </c>
      <c r="B2" s="22" t="s">
        <v>2</v>
      </c>
      <c r="C2" s="22" t="s">
        <v>3</v>
      </c>
    </row>
    <row r="3" spans="1:6" ht="21.75" customHeight="1" thickTop="1" thickBot="1" x14ac:dyDescent="0.3">
      <c r="A3" s="60" t="s">
        <v>93</v>
      </c>
      <c r="B3" s="192">
        <f>SUMIF(HK!A:A,"472*",HK!D:D)-SUMIF(HK!A:A,"472*",HK!C:C)</f>
        <v>1641.36</v>
      </c>
      <c r="C3" s="172">
        <f>SUMIF(HKM!A:A,"472*",HKM!D:D)-SUMIF(HKM!A:A,"472*",HKM!C:C)</f>
        <v>2513.06</v>
      </c>
      <c r="D3" s="166"/>
      <c r="E3" s="193"/>
      <c r="F3" s="166"/>
    </row>
    <row r="4" spans="1:6" ht="21.75" customHeight="1" thickBot="1" x14ac:dyDescent="0.3">
      <c r="A4" s="42" t="s">
        <v>94</v>
      </c>
      <c r="B4" s="171"/>
      <c r="C4" s="177"/>
      <c r="D4" s="166"/>
      <c r="E4" s="166"/>
      <c r="F4" s="166"/>
    </row>
    <row r="5" spans="1:6" ht="21.75" customHeight="1" thickBot="1" x14ac:dyDescent="0.3">
      <c r="A5" s="42" t="s">
        <v>95</v>
      </c>
      <c r="B5" s="171"/>
      <c r="C5" s="177"/>
      <c r="D5" s="166"/>
      <c r="E5" s="166"/>
      <c r="F5" s="166"/>
    </row>
    <row r="6" spans="1:6" ht="21.75" customHeight="1" thickBot="1" x14ac:dyDescent="0.3">
      <c r="A6" s="42" t="s">
        <v>96</v>
      </c>
      <c r="B6" s="171"/>
      <c r="C6" s="177"/>
      <c r="D6" s="166"/>
      <c r="E6" s="166"/>
      <c r="F6" s="166"/>
    </row>
    <row r="7" spans="1:6" ht="21.75" customHeight="1" thickBot="1" x14ac:dyDescent="0.3">
      <c r="A7" s="60" t="s">
        <v>97</v>
      </c>
      <c r="B7" s="171">
        <f>SUM(B4:B6)</f>
        <v>0</v>
      </c>
      <c r="C7" s="177">
        <f>SUM(C4:C6)</f>
        <v>0</v>
      </c>
      <c r="D7" s="166"/>
      <c r="E7" s="166"/>
      <c r="F7" s="166"/>
    </row>
    <row r="8" spans="1:6" ht="21.75" customHeight="1" thickBot="1" x14ac:dyDescent="0.3">
      <c r="A8" s="60" t="s">
        <v>98</v>
      </c>
      <c r="B8" s="171"/>
      <c r="C8" s="177"/>
      <c r="D8" s="166"/>
      <c r="E8" s="166"/>
      <c r="F8" s="166"/>
    </row>
    <row r="9" spans="1:6" ht="21.75" customHeight="1" thickBot="1" x14ac:dyDescent="0.3">
      <c r="A9" s="43" t="s">
        <v>99</v>
      </c>
      <c r="B9" s="194">
        <f>SUMIF(HK!A:A,"472*",HK!L:L)-SUMIF(HK!A:A,"472*",HK!K:K)</f>
        <v>967.03</v>
      </c>
      <c r="C9" s="190">
        <f>SUMIF(HKM!A:A,"472*",HKM!L:L)-SUMIF(HKM!A:A,"472*",HKM!K:K)</f>
        <v>1641.36</v>
      </c>
      <c r="D9" s="166"/>
      <c r="E9" s="193"/>
      <c r="F9" s="166"/>
    </row>
    <row r="10" spans="1:6" ht="17.25" thickTop="1" x14ac:dyDescent="0.3">
      <c r="A10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6"/>
  <sheetViews>
    <sheetView showGridLines="0" zoomScaleNormal="100" workbookViewId="0">
      <selection activeCell="F26" sqref="F26"/>
    </sheetView>
  </sheetViews>
  <sheetFormatPr defaultColWidth="9.140625" defaultRowHeight="11.25" x14ac:dyDescent="0.25"/>
  <cols>
    <col min="1" max="1" width="23" style="16" customWidth="1"/>
    <col min="2" max="2" width="8.28515625" style="16" customWidth="1"/>
    <col min="3" max="6" width="13.85546875" style="16" customWidth="1"/>
    <col min="7" max="7" width="23.28515625" style="16" customWidth="1"/>
    <col min="8" max="16384" width="9.140625" style="16"/>
  </cols>
  <sheetData>
    <row r="1" spans="1:9" ht="18.75" customHeight="1" x14ac:dyDescent="0.25">
      <c r="A1" s="260" t="s">
        <v>191</v>
      </c>
      <c r="B1" s="260"/>
      <c r="C1" s="260"/>
      <c r="D1" s="260"/>
      <c r="E1" s="260"/>
      <c r="F1" s="260"/>
      <c r="G1" s="260"/>
    </row>
    <row r="2" spans="1:9" ht="12" thickBot="1" x14ac:dyDescent="0.3">
      <c r="A2" s="16" t="s">
        <v>7</v>
      </c>
    </row>
    <row r="3" spans="1:9" ht="66.75" customHeight="1" thickTop="1" thickBot="1" x14ac:dyDescent="0.3">
      <c r="A3" s="15" t="s">
        <v>54</v>
      </c>
      <c r="B3" s="15" t="s">
        <v>100</v>
      </c>
      <c r="C3" s="31" t="s">
        <v>145</v>
      </c>
      <c r="D3" s="15" t="s">
        <v>101</v>
      </c>
      <c r="E3" s="15" t="s">
        <v>102</v>
      </c>
      <c r="F3" s="15" t="s">
        <v>103</v>
      </c>
    </row>
    <row r="4" spans="1:9" ht="21.75" customHeight="1" thickTop="1" thickBot="1" x14ac:dyDescent="0.3">
      <c r="A4" s="32" t="s">
        <v>104</v>
      </c>
      <c r="B4" s="54"/>
      <c r="C4" s="54"/>
      <c r="D4" s="54"/>
      <c r="E4" s="54"/>
      <c r="F4" s="50"/>
    </row>
    <row r="5" spans="1:9" ht="21.75" customHeight="1" thickTop="1" thickBot="1" x14ac:dyDescent="0.3">
      <c r="A5" s="44"/>
      <c r="B5" s="97"/>
      <c r="C5" s="98"/>
      <c r="D5" s="99"/>
      <c r="E5" s="78"/>
      <c r="F5" s="45"/>
    </row>
    <row r="6" spans="1:9" ht="21.75" customHeight="1" thickBot="1" x14ac:dyDescent="0.3">
      <c r="A6" s="89"/>
      <c r="B6" s="63"/>
      <c r="C6" s="66"/>
      <c r="D6" s="55"/>
      <c r="E6" s="47"/>
      <c r="F6" s="48"/>
    </row>
    <row r="7" spans="1:9" ht="21.75" customHeight="1" thickBot="1" x14ac:dyDescent="0.3">
      <c r="A7" s="89"/>
      <c r="B7" s="63"/>
      <c r="C7" s="66"/>
      <c r="D7" s="55"/>
      <c r="E7" s="192">
        <f>SUMIF(SUP!C:C,"121",SUP!D:D)</f>
        <v>0</v>
      </c>
      <c r="F7" s="172">
        <f>SUMIF(SUP!C:C,"121",SUP!E:E)</f>
        <v>0</v>
      </c>
      <c r="G7" s="159"/>
      <c r="H7" s="195"/>
      <c r="I7" s="159"/>
    </row>
    <row r="8" spans="1:9" ht="21.75" customHeight="1" thickBot="1" x14ac:dyDescent="0.3">
      <c r="A8" s="58" t="s">
        <v>105</v>
      </c>
      <c r="B8" s="64"/>
      <c r="C8" s="67"/>
      <c r="D8" s="67"/>
      <c r="E8" s="196"/>
      <c r="F8" s="197"/>
      <c r="G8" s="159"/>
      <c r="H8" s="159"/>
      <c r="I8" s="159"/>
    </row>
    <row r="9" spans="1:9" ht="21.75" customHeight="1" thickTop="1" thickBot="1" x14ac:dyDescent="0.3">
      <c r="A9" s="89"/>
      <c r="B9" s="63"/>
      <c r="C9" s="66"/>
      <c r="D9" s="55"/>
      <c r="E9" s="171"/>
      <c r="F9" s="177"/>
      <c r="G9" s="159"/>
      <c r="H9" s="159"/>
      <c r="I9" s="159"/>
    </row>
    <row r="10" spans="1:9" ht="21.75" customHeight="1" thickBot="1" x14ac:dyDescent="0.3">
      <c r="A10" s="89"/>
      <c r="B10" s="63"/>
      <c r="C10" s="66"/>
      <c r="D10" s="55"/>
      <c r="E10" s="171"/>
      <c r="F10" s="177"/>
      <c r="G10" s="159"/>
      <c r="H10" s="159"/>
      <c r="I10" s="159"/>
    </row>
    <row r="11" spans="1:9" ht="21.75" customHeight="1" thickBot="1" x14ac:dyDescent="0.3">
      <c r="A11" s="43"/>
      <c r="B11" s="65"/>
      <c r="C11" s="69"/>
      <c r="D11" s="56"/>
      <c r="E11" s="194">
        <f>SUMIF(SUP!C:C,"139",SUP!D:D)</f>
        <v>93195</v>
      </c>
      <c r="F11" s="190">
        <f>SUMIF(SUP!C:C,"139",SUP!E:E)</f>
        <v>221775</v>
      </c>
      <c r="G11" s="159"/>
      <c r="H11" s="195"/>
      <c r="I11" s="159"/>
    </row>
    <row r="12" spans="1:9" ht="12" thickTop="1" x14ac:dyDescent="0.25">
      <c r="A12" s="57"/>
    </row>
    <row r="13" spans="1:9" ht="12" thickBot="1" x14ac:dyDescent="0.3">
      <c r="A13" s="16" t="s">
        <v>9</v>
      </c>
    </row>
    <row r="14" spans="1:9" ht="66.75" customHeight="1" thickTop="1" thickBot="1" x14ac:dyDescent="0.3">
      <c r="A14" s="15" t="s">
        <v>54</v>
      </c>
      <c r="B14" s="15" t="s">
        <v>100</v>
      </c>
      <c r="C14" s="31" t="s">
        <v>145</v>
      </c>
      <c r="D14" s="15" t="s">
        <v>101</v>
      </c>
      <c r="E14" s="15" t="s">
        <v>102</v>
      </c>
      <c r="F14" s="15" t="s">
        <v>103</v>
      </c>
    </row>
    <row r="15" spans="1:9" ht="21.75" customHeight="1" thickTop="1" thickBot="1" x14ac:dyDescent="0.3">
      <c r="A15" s="32" t="s">
        <v>142</v>
      </c>
      <c r="B15" s="54"/>
      <c r="C15" s="54"/>
      <c r="D15" s="54"/>
      <c r="E15" s="54"/>
      <c r="F15" s="50"/>
    </row>
    <row r="16" spans="1:9" ht="21.75" customHeight="1" thickTop="1" thickBot="1" x14ac:dyDescent="0.3">
      <c r="A16" s="42"/>
      <c r="B16" s="63"/>
      <c r="C16" s="66"/>
      <c r="D16" s="55"/>
      <c r="E16" s="47"/>
      <c r="F16" s="48"/>
    </row>
    <row r="17" spans="1:8" ht="21.75" customHeight="1" thickBot="1" x14ac:dyDescent="0.3">
      <c r="A17" s="42"/>
      <c r="B17" s="63"/>
      <c r="C17" s="66"/>
      <c r="D17" s="55"/>
      <c r="E17" s="47"/>
      <c r="F17" s="48"/>
    </row>
    <row r="18" spans="1:8" ht="21.75" customHeight="1" thickBot="1" x14ac:dyDescent="0.3">
      <c r="A18" s="42"/>
      <c r="B18" s="63"/>
      <c r="C18" s="66"/>
      <c r="D18" s="55"/>
      <c r="E18" s="47"/>
      <c r="F18" s="48"/>
    </row>
    <row r="19" spans="1:8" ht="21.75" customHeight="1" thickBot="1" x14ac:dyDescent="0.3">
      <c r="A19" s="58" t="s">
        <v>143</v>
      </c>
      <c r="B19" s="64"/>
      <c r="C19" s="67"/>
      <c r="D19" s="67"/>
      <c r="E19" s="67"/>
      <c r="F19" s="68"/>
    </row>
    <row r="20" spans="1:8" ht="21.75" customHeight="1" thickTop="1" thickBot="1" x14ac:dyDescent="0.3">
      <c r="A20" s="42"/>
      <c r="B20" s="63"/>
      <c r="C20" s="66"/>
      <c r="D20" s="55"/>
      <c r="E20" s="47"/>
      <c r="F20" s="48"/>
    </row>
    <row r="21" spans="1:8" ht="21.75" customHeight="1" thickBot="1" x14ac:dyDescent="0.3">
      <c r="A21" s="42"/>
      <c r="B21" s="63"/>
      <c r="C21" s="66"/>
      <c r="D21" s="55"/>
      <c r="E21" s="47"/>
      <c r="F21" s="48"/>
    </row>
    <row r="22" spans="1:8" ht="21.75" customHeight="1" thickBot="1" x14ac:dyDescent="0.3">
      <c r="A22" s="42"/>
      <c r="B22" s="63"/>
      <c r="C22" s="66"/>
      <c r="D22" s="55"/>
      <c r="E22" s="47"/>
      <c r="F22" s="48"/>
    </row>
    <row r="23" spans="1:8" ht="21.75" customHeight="1" thickBot="1" x14ac:dyDescent="0.3">
      <c r="A23" s="58" t="s">
        <v>144</v>
      </c>
      <c r="B23" s="64"/>
      <c r="C23" s="67"/>
      <c r="D23" s="67"/>
      <c r="E23" s="67"/>
      <c r="F23" s="68"/>
    </row>
    <row r="24" spans="1:8" ht="21.75" customHeight="1" thickTop="1" thickBot="1" x14ac:dyDescent="0.3">
      <c r="A24" s="42"/>
      <c r="B24" s="63"/>
      <c r="C24" s="66"/>
      <c r="D24" s="55"/>
      <c r="E24" s="47"/>
      <c r="F24" s="48"/>
    </row>
    <row r="25" spans="1:8" ht="21.75" customHeight="1" thickBot="1" x14ac:dyDescent="0.3">
      <c r="A25" s="43"/>
      <c r="B25" s="65"/>
      <c r="C25" s="69"/>
      <c r="D25" s="56"/>
      <c r="E25" s="194">
        <f>SUMIF(SUP!C:C,"140",SUP!D:D)</f>
        <v>0</v>
      </c>
      <c r="F25" s="190">
        <f>SUMIF(SUP!C:C,"140",SUP!E:E)</f>
        <v>0</v>
      </c>
      <c r="G25" s="159"/>
      <c r="H25" s="195"/>
    </row>
    <row r="26" spans="1:8" ht="12" thickTop="1" x14ac:dyDescent="0.25">
      <c r="E26" s="159"/>
      <c r="F26" s="159"/>
      <c r="G26" s="159"/>
      <c r="H26" s="159"/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3"/>
  <sheetViews>
    <sheetView showGridLines="0" zoomScaleNormal="100" workbookViewId="0">
      <selection activeCell="F12" sqref="F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</cols>
  <sheetData>
    <row r="1" spans="1:10" ht="17.25" thickBot="1" x14ac:dyDescent="0.35">
      <c r="A1" s="1" t="s">
        <v>192</v>
      </c>
    </row>
    <row r="2" spans="1:10" ht="33" customHeight="1" thickTop="1" thickBot="1" x14ac:dyDescent="0.3">
      <c r="A2" s="258" t="s">
        <v>54</v>
      </c>
      <c r="B2" s="22" t="s">
        <v>2</v>
      </c>
      <c r="C2" s="240" t="s">
        <v>3</v>
      </c>
      <c r="D2" s="242"/>
      <c r="E2" s="240" t="s">
        <v>106</v>
      </c>
      <c r="F2" s="242"/>
    </row>
    <row r="3" spans="1:10" ht="45" customHeight="1" thickTop="1" thickBot="1" x14ac:dyDescent="0.3">
      <c r="A3" s="259"/>
      <c r="B3" s="17" t="s">
        <v>107</v>
      </c>
      <c r="C3" s="17" t="s">
        <v>107</v>
      </c>
      <c r="D3" s="17" t="s">
        <v>108</v>
      </c>
      <c r="E3" s="17" t="s">
        <v>2</v>
      </c>
      <c r="F3" s="17" t="s">
        <v>147</v>
      </c>
    </row>
    <row r="4" spans="1:10" ht="35.25" thickTop="1" thickBot="1" x14ac:dyDescent="0.3">
      <c r="A4" s="72" t="s">
        <v>146</v>
      </c>
      <c r="B4" s="165">
        <f>SUMIF(HK!A:A,"121*",HK!K:K)-SUMIF(HK!A:A,"121*",HK!L:L)+SUMIF(HK!A:A,"122*",HK!K:K)-SUMIF(HK!A:A,"122*",HK!L:L)</f>
        <v>0</v>
      </c>
      <c r="C4" s="165">
        <f>SUMIF(HKM!A:A,"121*",HKM!K:K)-SUMIF(HKM!A:A,"121*",HKM!L:L)+SUMIF(HKM!A:A,"122*",HKM!K:K)-SUMIF(HKM!A:A,"122*",HKM!L:L)</f>
        <v>0</v>
      </c>
      <c r="D4" s="165">
        <f>SUMIF(HKM!A:A,"121*",HKM!C:C)-SUMIF(HKM!A:A,"121*",HKM!D:D)+SUMIF(HKM!A:A,"122*",HKM!C:C)-SUMIF(HKM!A:A,"122*",HKM!D:D)</f>
        <v>0</v>
      </c>
      <c r="E4" s="165">
        <f>SUMIF(HK!A:A,"611*",HK!L:L)-SUMIF(HK!A:A,"611*",HK!K:K)+SUMIF(HK!A:A,"612*",HK!L:L)-SUMIF(HK!A:A,"611*",HK!K:K)</f>
        <v>0</v>
      </c>
      <c r="F4" s="165">
        <f>SUMIF(HKM!A:A,"611*",HKM!L:L)-SUMIF(HKM!A:A,"611*",HKM!K:K)+SUMIF(HKM!A:A,"612*",HKM!L:L)-SUMIF(HKM!A:A,"612*",HKM!K:K)</f>
        <v>0</v>
      </c>
      <c r="G4" s="166"/>
      <c r="H4" s="163"/>
      <c r="I4" s="166"/>
      <c r="J4" s="166"/>
    </row>
    <row r="5" spans="1:10" ht="15.75" thickBot="1" x14ac:dyDescent="0.3">
      <c r="A5" s="70" t="s">
        <v>48</v>
      </c>
      <c r="B5" s="165">
        <f>SUMIF(HK!A:A,"123*",HK!K:K)-SUMIF(HK!A:A,"123*",HK!L:L)</f>
        <v>385.13</v>
      </c>
      <c r="C5" s="165">
        <f>SUMIF(HKM!A:A,"123*",HKM!K:K)-SUMIF(HKM!A:A,"123*",HKM!L:L)</f>
        <v>144</v>
      </c>
      <c r="D5" s="165">
        <f>SUMIF(HKM!A:A,"123*",HKM!C:C)</f>
        <v>0</v>
      </c>
      <c r="E5" s="165">
        <f>SUMIF(HK!A:A,"613*",HK!L:L)-SUMIF(HK!A:A,"613*",HK!K:K)</f>
        <v>2072</v>
      </c>
      <c r="F5" s="165">
        <f>SUMIF(HKM!A:A,"613*",HKM!L:L)-SUMIF(HKM!A:A,"613*",HKM!K:K)</f>
        <v>1848</v>
      </c>
      <c r="G5" s="166"/>
      <c r="H5" s="163"/>
      <c r="I5" s="166"/>
      <c r="J5" s="166"/>
    </row>
    <row r="6" spans="1:10" ht="15.75" thickBot="1" x14ac:dyDescent="0.3">
      <c r="A6" s="10" t="s">
        <v>109</v>
      </c>
      <c r="B6" s="165">
        <f>SUMIF(HK!A:A,"124*",HK!K:K)-SUMIF(HK!A:A,"124*",HK!L:L)</f>
        <v>1550</v>
      </c>
      <c r="C6" s="165">
        <f>SUMIF(HKM!A:A,"124*",HKM!K:K)-SUMIF(HKM!A:A,"124*",HKM!L:L)</f>
        <v>4100</v>
      </c>
      <c r="D6" s="165">
        <f>SUMIF(HKM!A:A,"124*",HKM!C:C)-SUMIF(HKM!A:A,"124*",HKM!D:D)</f>
        <v>2900</v>
      </c>
      <c r="E6" s="165">
        <f>SUMIF(HK!A:A,"614*",HK!L:L)-SUMIF(HK!A:A,"614*",HK!K:K)</f>
        <v>-2550</v>
      </c>
      <c r="F6" s="165">
        <f>SUMIF(HKM!A:A,"614*",HKM!L:L)-SUMIF(HKM!A:A,"614*",HKM!K:K)</f>
        <v>1200</v>
      </c>
      <c r="G6" s="166"/>
      <c r="H6" s="163"/>
      <c r="I6" s="166"/>
      <c r="J6" s="166"/>
    </row>
    <row r="7" spans="1:10" ht="19.5" customHeight="1" thickBot="1" x14ac:dyDescent="0.3">
      <c r="A7" s="10" t="s">
        <v>8</v>
      </c>
      <c r="B7" s="180"/>
      <c r="C7" s="180"/>
      <c r="D7" s="198"/>
      <c r="E7" s="177"/>
      <c r="F7" s="177"/>
      <c r="G7" s="166"/>
      <c r="H7" s="199"/>
      <c r="I7" s="166"/>
      <c r="J7" s="166"/>
    </row>
    <row r="8" spans="1:10" ht="15.75" thickBot="1" x14ac:dyDescent="0.3">
      <c r="A8" s="10" t="s">
        <v>110</v>
      </c>
      <c r="B8" s="204" t="s">
        <v>10</v>
      </c>
      <c r="C8" s="204" t="s">
        <v>10</v>
      </c>
      <c r="D8" s="205" t="s">
        <v>10</v>
      </c>
      <c r="E8" s="165">
        <f>SUMIF(HK!A:A,"549*",HK!K:K)-SUMIF(HK!A:A,"549*",HK!L:L)</f>
        <v>0</v>
      </c>
      <c r="F8" s="165">
        <f>SUMIF(HKM!A:A,"549*",HKM!K:K)-SUMIF(HKM!A:A,"549*",HKM!L:L)</f>
        <v>0</v>
      </c>
      <c r="G8" s="166"/>
      <c r="H8" s="163"/>
      <c r="I8" s="166"/>
      <c r="J8" s="166"/>
    </row>
    <row r="9" spans="1:10" ht="15.75" thickBot="1" x14ac:dyDescent="0.3">
      <c r="A9" s="10" t="s">
        <v>111</v>
      </c>
      <c r="B9" s="204" t="s">
        <v>10</v>
      </c>
      <c r="C9" s="204" t="s">
        <v>10</v>
      </c>
      <c r="D9" s="205" t="s">
        <v>10</v>
      </c>
      <c r="E9" s="165">
        <f>SUMIF(HK!A:A,"513*",HK!K:K)-SUMIF(HK!A:A,"513*",HK!L:L)</f>
        <v>0</v>
      </c>
      <c r="F9" s="165">
        <f>SUMIF(HKM!A:A,"513*",HKM!K:K)-SUMIF(HKM!A:A,"513*",HKM!L:L)</f>
        <v>0</v>
      </c>
      <c r="G9" s="166"/>
      <c r="H9" s="163"/>
      <c r="I9" s="166"/>
      <c r="J9" s="166"/>
    </row>
    <row r="10" spans="1:10" ht="15.75" thickBot="1" x14ac:dyDescent="0.3">
      <c r="A10" s="10" t="s">
        <v>112</v>
      </c>
      <c r="B10" s="204" t="s">
        <v>10</v>
      </c>
      <c r="C10" s="204" t="s">
        <v>10</v>
      </c>
      <c r="D10" s="205" t="s">
        <v>10</v>
      </c>
      <c r="E10" s="165">
        <f>SUMIF(HK!A:A,"543*",HK!K:K)-SUMIF(HK!A:A,"543*",HK!L:L)</f>
        <v>0</v>
      </c>
      <c r="F10" s="165">
        <f>SUMIF(HKM!A:A,"543*",HKM!K:K)-SUMIF(HKM!A:A,"543*",HKM!L:L)</f>
        <v>0</v>
      </c>
      <c r="G10" s="166"/>
      <c r="H10" s="163"/>
      <c r="I10" s="166"/>
      <c r="J10" s="166"/>
    </row>
    <row r="11" spans="1:10" ht="19.5" customHeight="1" thickBot="1" x14ac:dyDescent="0.3">
      <c r="A11" s="12" t="s">
        <v>113</v>
      </c>
      <c r="B11" s="206" t="s">
        <v>10</v>
      </c>
      <c r="C11" s="206" t="s">
        <v>10</v>
      </c>
      <c r="D11" s="207" t="s">
        <v>10</v>
      </c>
      <c r="E11" s="178"/>
      <c r="F11" s="178"/>
      <c r="G11" s="166"/>
      <c r="H11" s="199"/>
      <c r="I11" s="166"/>
      <c r="J11" s="166"/>
    </row>
    <row r="12" spans="1:10" ht="35.25" thickTop="1" thickBot="1" x14ac:dyDescent="0.3">
      <c r="A12" s="19" t="s">
        <v>114</v>
      </c>
      <c r="B12" s="206" t="s">
        <v>10</v>
      </c>
      <c r="C12" s="206" t="s">
        <v>10</v>
      </c>
      <c r="D12" s="207" t="s">
        <v>10</v>
      </c>
      <c r="E12" s="172">
        <f>SUMIF(VZaS!C:C,"006",VZaS!D:D)</f>
        <v>-478</v>
      </c>
      <c r="F12" s="172">
        <f>SUMIF(VZaS!C:C,"006",VZaS!E:E)</f>
        <v>3048</v>
      </c>
      <c r="G12" s="166"/>
      <c r="H12" s="200"/>
      <c r="I12" s="166"/>
      <c r="J12" s="166"/>
    </row>
    <row r="13" spans="1:10" ht="15.75" thickTop="1" x14ac:dyDescent="0.25"/>
  </sheetData>
  <mergeCells count="3">
    <mergeCell ref="A2:A3"/>
    <mergeCell ref="C2:D2"/>
    <mergeCell ref="E2:F2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10"/>
  <sheetViews>
    <sheetView showGridLines="0" zoomScaleNormal="100" workbookViewId="0">
      <selection activeCell="C1" sqref="C1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7" ht="17.25" thickBot="1" x14ac:dyDescent="0.35">
      <c r="A1" s="1" t="s">
        <v>193</v>
      </c>
    </row>
    <row r="2" spans="1:7" ht="26.25" customHeight="1" thickTop="1" thickBot="1" x14ac:dyDescent="0.3">
      <c r="A2" s="39" t="s">
        <v>54</v>
      </c>
      <c r="B2" s="22" t="s">
        <v>2</v>
      </c>
      <c r="C2" s="22" t="s">
        <v>3</v>
      </c>
    </row>
    <row r="3" spans="1:7" ht="18.75" customHeight="1" thickTop="1" thickBot="1" x14ac:dyDescent="0.3">
      <c r="A3" s="42" t="s">
        <v>115</v>
      </c>
      <c r="B3" s="172">
        <f>SUMIF(HK!A:A,"601*",HK!L:L)-SUMIF(HK!A:A,"601*",HK!K:K)</f>
        <v>0</v>
      </c>
      <c r="C3" s="172">
        <f>SUMIF(HKM!A:A,"601*",HKM!L:L)-SUMIF(HKM!A:A,"601*",HKM!K:K)</f>
        <v>0</v>
      </c>
      <c r="D3" s="166"/>
      <c r="E3" s="193"/>
      <c r="G3" s="95"/>
    </row>
    <row r="4" spans="1:7" ht="18.75" customHeight="1" thickBot="1" x14ac:dyDescent="0.3">
      <c r="A4" s="42" t="s">
        <v>116</v>
      </c>
      <c r="B4" s="172">
        <f>SUMIF(HK!A:A,"602*",HK!L:L)-SUMIF(HK!A:A,"602*",HK!K:K)</f>
        <v>39607.71</v>
      </c>
      <c r="C4" s="172">
        <f>SUMIF(HKM!A:A,"602*",HKM!L:L)-SUMIF(HKM!A:A,"602*",HKM!K:K)</f>
        <v>37135.69</v>
      </c>
      <c r="D4" s="166"/>
      <c r="E4" s="193"/>
      <c r="G4" s="95"/>
    </row>
    <row r="5" spans="1:7" ht="18.75" customHeight="1" thickBot="1" x14ac:dyDescent="0.3">
      <c r="A5" s="42" t="s">
        <v>117</v>
      </c>
      <c r="B5" s="172">
        <f>SUMIF(HK!A:A,"604*",HK!L:L)-SUMIF(HK!A:A,"604*",HK!K:K)</f>
        <v>718181.95</v>
      </c>
      <c r="C5" s="172">
        <f>SUMIF(HKM!A:A,"604*",HKM!L:L)-SUMIF(HKM!A:A,"604*",HKM!K:K)</f>
        <v>889486.52</v>
      </c>
      <c r="D5" s="166"/>
      <c r="E5" s="193"/>
      <c r="G5" s="95"/>
    </row>
    <row r="6" spans="1:7" ht="18.75" customHeight="1" thickBot="1" x14ac:dyDescent="0.3">
      <c r="A6" s="42" t="s">
        <v>118</v>
      </c>
      <c r="B6" s="172">
        <f>SUMIF(HK!A:A,"606*",HK!L:L)-SUMIF(HK!A:A,"606*",HK!K:K)</f>
        <v>0</v>
      </c>
      <c r="C6" s="172">
        <f>SUMIF(HKM!A:A,"606*",HKM!L:L)-SUMIF(HKM!A:A,"606*",HKM!K:K)</f>
        <v>0</v>
      </c>
      <c r="D6" s="166"/>
      <c r="E6" s="193"/>
      <c r="G6" s="95"/>
    </row>
    <row r="7" spans="1:7" ht="18.75" customHeight="1" thickBot="1" x14ac:dyDescent="0.3">
      <c r="A7" s="42" t="s">
        <v>119</v>
      </c>
      <c r="B7" s="172"/>
      <c r="C7" s="172"/>
      <c r="D7" s="166"/>
      <c r="E7" s="193"/>
      <c r="G7" s="100"/>
    </row>
    <row r="8" spans="1:7" ht="23.25" thickBot="1" x14ac:dyDescent="0.3">
      <c r="A8" s="10" t="s">
        <v>120</v>
      </c>
      <c r="B8" s="177"/>
      <c r="C8" s="177"/>
      <c r="D8" s="166"/>
      <c r="E8" s="166"/>
      <c r="G8" s="95"/>
    </row>
    <row r="9" spans="1:7" ht="18.75" customHeight="1" thickBot="1" x14ac:dyDescent="0.3">
      <c r="A9" s="43" t="s">
        <v>121</v>
      </c>
      <c r="B9" s="46">
        <f>SUM(B3:B8)</f>
        <v>757789.65999999992</v>
      </c>
      <c r="C9" s="46">
        <f>SUM(C3:C8)</f>
        <v>926622.21</v>
      </c>
    </row>
    <row r="10" spans="1: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14"/>
  <sheetViews>
    <sheetView showGridLines="0" zoomScaleNormal="100" workbookViewId="0">
      <selection activeCell="F13" sqref="F13"/>
    </sheetView>
  </sheetViews>
  <sheetFormatPr defaultRowHeight="15" x14ac:dyDescent="0.25"/>
  <cols>
    <col min="1" max="1" width="22.28515625" customWidth="1"/>
    <col min="2" max="2" width="10.7109375" customWidth="1"/>
    <col min="3" max="3" width="11.85546875" bestFit="1" customWidth="1"/>
    <col min="4" max="5" width="10.7109375" customWidth="1"/>
    <col min="6" max="6" width="12.7109375" bestFit="1" customWidth="1"/>
    <col min="7" max="7" width="10.7109375" customWidth="1"/>
  </cols>
  <sheetData>
    <row r="1" spans="1:10" ht="17.25" thickBot="1" x14ac:dyDescent="0.35">
      <c r="A1" s="1" t="s">
        <v>195</v>
      </c>
    </row>
    <row r="2" spans="1:10" ht="35.25" customHeight="1" thickTop="1" thickBot="1" x14ac:dyDescent="0.3">
      <c r="A2" s="235" t="s">
        <v>54</v>
      </c>
      <c r="B2" s="240" t="s">
        <v>2</v>
      </c>
      <c r="C2" s="241"/>
      <c r="D2" s="242"/>
      <c r="E2" s="240" t="s">
        <v>3</v>
      </c>
      <c r="F2" s="241"/>
      <c r="G2" s="242"/>
    </row>
    <row r="3" spans="1:10" s="73" customFormat="1" ht="16.5" thickTop="1" thickBot="1" x14ac:dyDescent="0.3">
      <c r="A3" s="250"/>
      <c r="B3" s="17" t="s">
        <v>122</v>
      </c>
      <c r="C3" s="17" t="s">
        <v>123</v>
      </c>
      <c r="D3" s="17" t="s">
        <v>124</v>
      </c>
      <c r="E3" s="17" t="s">
        <v>122</v>
      </c>
      <c r="F3" s="17" t="s">
        <v>123</v>
      </c>
      <c r="G3" s="17" t="s">
        <v>124</v>
      </c>
    </row>
    <row r="4" spans="1:10" ht="24" thickTop="1" thickBot="1" x14ac:dyDescent="0.3">
      <c r="A4" s="10" t="s">
        <v>125</v>
      </c>
      <c r="B4" s="192">
        <f>SUMIF(VZaS!C:C,"056",VZaS!D:D)</f>
        <v>48952.86</v>
      </c>
      <c r="C4" s="201" t="s">
        <v>10</v>
      </c>
      <c r="D4" s="202" t="s">
        <v>10</v>
      </c>
      <c r="E4" s="192">
        <f>SUMIF(VZaS!C:C,"056",VZaS!E:E)</f>
        <v>661.16</v>
      </c>
      <c r="F4" s="201" t="s">
        <v>10</v>
      </c>
      <c r="G4" s="202" t="s">
        <v>10</v>
      </c>
      <c r="H4" s="164"/>
      <c r="I4" s="164"/>
      <c r="J4" s="191"/>
    </row>
    <row r="5" spans="1:10" ht="20.25" customHeight="1" thickBot="1" x14ac:dyDescent="0.3">
      <c r="A5" s="10" t="s">
        <v>126</v>
      </c>
      <c r="B5" s="201" t="s">
        <v>10</v>
      </c>
      <c r="C5" s="171"/>
      <c r="D5" s="203"/>
      <c r="E5" s="201" t="s">
        <v>10</v>
      </c>
      <c r="F5" s="171"/>
      <c r="G5" s="203"/>
      <c r="H5" s="164"/>
      <c r="I5" s="164"/>
      <c r="J5" s="164"/>
    </row>
    <row r="6" spans="1:10" ht="20.25" customHeight="1" thickBot="1" x14ac:dyDescent="0.3">
      <c r="A6" s="10" t="s">
        <v>127</v>
      </c>
      <c r="B6" s="171"/>
      <c r="C6" s="171"/>
      <c r="D6" s="203"/>
      <c r="E6" s="171"/>
      <c r="F6" s="171"/>
      <c r="G6" s="203"/>
      <c r="H6" s="164"/>
      <c r="I6" s="164"/>
      <c r="J6" s="164"/>
    </row>
    <row r="7" spans="1:10" ht="20.25" customHeight="1" thickBot="1" x14ac:dyDescent="0.3">
      <c r="A7" s="10" t="s">
        <v>128</v>
      </c>
      <c r="B7" s="171"/>
      <c r="C7" s="171"/>
      <c r="D7" s="203"/>
      <c r="E7" s="171"/>
      <c r="F7" s="171"/>
      <c r="G7" s="203"/>
      <c r="H7" s="164"/>
      <c r="I7" s="164"/>
      <c r="J7" s="164"/>
    </row>
    <row r="8" spans="1:10" ht="20.25" customHeight="1" thickBot="1" x14ac:dyDescent="0.3">
      <c r="A8" s="10" t="s">
        <v>129</v>
      </c>
      <c r="B8" s="171"/>
      <c r="C8" s="171"/>
      <c r="D8" s="203"/>
      <c r="E8" s="171"/>
      <c r="F8" s="171"/>
      <c r="G8" s="203"/>
      <c r="H8" s="164"/>
      <c r="I8" s="164"/>
      <c r="J8" s="164"/>
    </row>
    <row r="9" spans="1:10" ht="20.25" customHeight="1" thickBot="1" x14ac:dyDescent="0.3">
      <c r="A9" s="10" t="s">
        <v>113</v>
      </c>
      <c r="B9" s="171"/>
      <c r="C9" s="171"/>
      <c r="D9" s="203"/>
      <c r="E9" s="171"/>
      <c r="F9" s="171"/>
      <c r="G9" s="203"/>
      <c r="H9" s="164"/>
      <c r="I9" s="164"/>
      <c r="J9" s="164"/>
    </row>
    <row r="10" spans="1:10" ht="20.25" customHeight="1" thickBot="1" x14ac:dyDescent="0.3">
      <c r="A10" s="10" t="s">
        <v>8</v>
      </c>
      <c r="B10" s="171"/>
      <c r="C10" s="171"/>
      <c r="D10" s="203"/>
      <c r="E10" s="171"/>
      <c r="F10" s="171"/>
      <c r="G10" s="203"/>
      <c r="H10" s="164"/>
      <c r="I10" s="164"/>
      <c r="J10" s="164"/>
    </row>
    <row r="11" spans="1:10" ht="20.25" customHeight="1" thickBot="1" x14ac:dyDescent="0.3">
      <c r="A11" s="10" t="s">
        <v>130</v>
      </c>
      <c r="B11" s="201" t="s">
        <v>10</v>
      </c>
      <c r="C11" s="192">
        <f>SUMIF(VZaS!C:C,"058",VZaS!D:D)</f>
        <v>10078.879999999999</v>
      </c>
      <c r="D11" s="203"/>
      <c r="E11" s="201" t="s">
        <v>10</v>
      </c>
      <c r="F11" s="192">
        <f>SUMIF(VZaS!C:C,"058",VZaS!E:E)</f>
        <v>2932.9</v>
      </c>
      <c r="G11" s="203"/>
      <c r="H11" s="164"/>
      <c r="I11" s="164"/>
      <c r="J11" s="164"/>
    </row>
    <row r="12" spans="1:10" ht="20.25" customHeight="1" thickBot="1" x14ac:dyDescent="0.3">
      <c r="A12" s="10" t="s">
        <v>131</v>
      </c>
      <c r="B12" s="201" t="s">
        <v>10</v>
      </c>
      <c r="C12" s="192">
        <f>SUMIF(VZaS!C:C,"059",VZaS!D:D)</f>
        <v>0</v>
      </c>
      <c r="D12" s="203"/>
      <c r="E12" s="201" t="s">
        <v>10</v>
      </c>
      <c r="F12" s="192">
        <f>SUMIF(VZaS!C:C,"059",VZaS!E:E)</f>
        <v>0</v>
      </c>
      <c r="G12" s="203"/>
      <c r="H12" s="164"/>
      <c r="I12" s="164"/>
      <c r="J12" s="164"/>
    </row>
    <row r="13" spans="1:10" ht="20.25" customHeight="1" thickBot="1" x14ac:dyDescent="0.3">
      <c r="A13" s="12" t="s">
        <v>132</v>
      </c>
      <c r="B13" s="61" t="s">
        <v>10</v>
      </c>
      <c r="C13" s="52"/>
      <c r="D13" s="83"/>
      <c r="E13" s="61" t="s">
        <v>10</v>
      </c>
      <c r="F13" s="52"/>
      <c r="G13" s="83"/>
    </row>
    <row r="14" spans="1:10" ht="15.75" thickTop="1" x14ac:dyDescent="0.25"/>
  </sheetData>
  <mergeCells count="3">
    <mergeCell ref="A2:A3"/>
    <mergeCell ref="B2:D2"/>
    <mergeCell ref="E2:G2"/>
  </mergeCell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86"/>
  <sheetViews>
    <sheetView topLeftCell="K1" workbookViewId="0">
      <selection activeCell="B2" sqref="B2"/>
    </sheetView>
  </sheetViews>
  <sheetFormatPr defaultColWidth="9.140625" defaultRowHeight="15" x14ac:dyDescent="0.25"/>
  <cols>
    <col min="1" max="1" width="16.140625" style="112" customWidth="1"/>
    <col min="2" max="2" width="46.7109375" style="113" customWidth="1"/>
    <col min="3" max="3" width="15.28515625" style="114" customWidth="1"/>
    <col min="4" max="4" width="15.28515625" style="114" bestFit="1" customWidth="1"/>
    <col min="5" max="5" width="15.140625" style="114" customWidth="1"/>
    <col min="6" max="7" width="15.28515625" style="114" bestFit="1" customWidth="1"/>
    <col min="8" max="8" width="15.28515625" style="114" customWidth="1"/>
    <col min="9" max="11" width="15.28515625" style="114" bestFit="1" customWidth="1"/>
    <col min="12" max="12" width="14.85546875" style="114" customWidth="1"/>
    <col min="13" max="16384" width="9.140625" style="108"/>
  </cols>
  <sheetData>
    <row r="1" spans="1:12" ht="22.5" x14ac:dyDescent="0.25">
      <c r="A1" s="118" t="s">
        <v>159</v>
      </c>
      <c r="B1" s="119" t="s">
        <v>160</v>
      </c>
      <c r="C1" s="120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</row>
    <row r="2" spans="1:12" x14ac:dyDescent="0.25">
      <c r="A2" s="109" t="s">
        <v>197</v>
      </c>
      <c r="B2" s="110" t="s">
        <v>198</v>
      </c>
      <c r="C2" s="111">
        <v>25980.799999999999</v>
      </c>
      <c r="D2" s="111">
        <v>0</v>
      </c>
      <c r="E2" s="111">
        <v>25980.799999999999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25980.799999999999</v>
      </c>
      <c r="L2" s="111">
        <v>0</v>
      </c>
    </row>
    <row r="3" spans="1:12" x14ac:dyDescent="0.25">
      <c r="A3" s="109" t="s">
        <v>199</v>
      </c>
      <c r="B3" s="110" t="s">
        <v>200</v>
      </c>
      <c r="C3" s="111">
        <v>12126.66</v>
      </c>
      <c r="D3" s="111">
        <v>0</v>
      </c>
      <c r="E3" s="111">
        <v>12126.66</v>
      </c>
      <c r="F3" s="111">
        <v>0</v>
      </c>
      <c r="G3" s="111">
        <v>0</v>
      </c>
      <c r="H3" s="111">
        <v>0</v>
      </c>
      <c r="I3" s="111">
        <v>0</v>
      </c>
      <c r="J3" s="111">
        <v>0</v>
      </c>
      <c r="K3" s="111">
        <v>12126.66</v>
      </c>
      <c r="L3" s="111">
        <v>0</v>
      </c>
    </row>
    <row r="4" spans="1:12" x14ac:dyDescent="0.25">
      <c r="A4" s="109" t="s">
        <v>201</v>
      </c>
      <c r="B4" s="110" t="s">
        <v>28</v>
      </c>
      <c r="C4" s="111">
        <v>0</v>
      </c>
      <c r="D4" s="111">
        <v>0</v>
      </c>
      <c r="E4" s="111">
        <v>0</v>
      </c>
      <c r="F4" s="111">
        <v>0</v>
      </c>
      <c r="G4" s="111">
        <v>0</v>
      </c>
      <c r="H4" s="111">
        <v>0</v>
      </c>
      <c r="I4" s="111">
        <v>50914.79</v>
      </c>
      <c r="J4" s="111">
        <v>50914.79</v>
      </c>
      <c r="K4" s="111">
        <v>0</v>
      </c>
      <c r="L4" s="111">
        <v>0</v>
      </c>
    </row>
    <row r="5" spans="1:12" x14ac:dyDescent="0.25">
      <c r="A5" s="109" t="s">
        <v>202</v>
      </c>
      <c r="B5" s="110" t="s">
        <v>203</v>
      </c>
      <c r="C5" s="111">
        <v>50914.79</v>
      </c>
      <c r="D5" s="111">
        <v>0</v>
      </c>
      <c r="E5" s="111">
        <v>0</v>
      </c>
      <c r="F5" s="111">
        <v>0</v>
      </c>
      <c r="G5" s="111">
        <v>0</v>
      </c>
      <c r="H5" s="111">
        <v>0</v>
      </c>
      <c r="I5" s="111">
        <v>0</v>
      </c>
      <c r="J5" s="111">
        <v>50914.79</v>
      </c>
      <c r="K5" s="111">
        <v>0</v>
      </c>
      <c r="L5" s="111">
        <v>0</v>
      </c>
    </row>
    <row r="6" spans="1:12" x14ac:dyDescent="0.25">
      <c r="A6" s="109" t="s">
        <v>204</v>
      </c>
      <c r="B6" s="110" t="s">
        <v>205</v>
      </c>
      <c r="C6" s="111">
        <v>112584.61</v>
      </c>
      <c r="D6" s="111">
        <v>0</v>
      </c>
      <c r="E6" s="111">
        <v>112584.61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112584.61</v>
      </c>
      <c r="L6" s="111">
        <v>0</v>
      </c>
    </row>
    <row r="7" spans="1:12" x14ac:dyDescent="0.25">
      <c r="A7" s="109" t="s">
        <v>206</v>
      </c>
      <c r="B7" s="110" t="s">
        <v>207</v>
      </c>
      <c r="C7" s="111">
        <v>138807.35999999999</v>
      </c>
      <c r="D7" s="111">
        <v>0</v>
      </c>
      <c r="E7" s="111">
        <v>102170.55</v>
      </c>
      <c r="F7" s="111">
        <v>0</v>
      </c>
      <c r="G7" s="111">
        <v>0</v>
      </c>
      <c r="H7" s="111">
        <v>0</v>
      </c>
      <c r="I7" s="111">
        <v>0</v>
      </c>
      <c r="J7" s="111">
        <v>36636.81</v>
      </c>
      <c r="K7" s="111">
        <v>102170.55</v>
      </c>
      <c r="L7" s="111">
        <v>0</v>
      </c>
    </row>
    <row r="8" spans="1:12" x14ac:dyDescent="0.25">
      <c r="A8" s="109" t="s">
        <v>208</v>
      </c>
      <c r="B8" s="110" t="s">
        <v>209</v>
      </c>
      <c r="C8" s="111">
        <v>62312.74</v>
      </c>
      <c r="D8" s="111">
        <v>0</v>
      </c>
      <c r="E8" s="111">
        <v>62312.74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62312.74</v>
      </c>
      <c r="L8" s="111">
        <v>0</v>
      </c>
    </row>
    <row r="9" spans="1:12" x14ac:dyDescent="0.25">
      <c r="A9" s="109" t="s">
        <v>210</v>
      </c>
      <c r="B9" s="110" t="s">
        <v>211</v>
      </c>
      <c r="C9" s="111">
        <v>8076.62</v>
      </c>
      <c r="D9" s="111">
        <v>0</v>
      </c>
      <c r="E9" s="111">
        <v>8076.62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8076.62</v>
      </c>
      <c r="L9" s="111">
        <v>0</v>
      </c>
    </row>
    <row r="10" spans="1:12" x14ac:dyDescent="0.25">
      <c r="A10" s="109" t="s">
        <v>212</v>
      </c>
      <c r="B10" s="110" t="s">
        <v>213</v>
      </c>
      <c r="C10" s="111">
        <v>3500</v>
      </c>
      <c r="D10" s="111">
        <v>0</v>
      </c>
      <c r="E10" s="111">
        <v>6300</v>
      </c>
      <c r="F10" s="111">
        <v>0</v>
      </c>
      <c r="G10" s="111">
        <v>0</v>
      </c>
      <c r="H10" s="111">
        <v>0</v>
      </c>
      <c r="I10" s="111">
        <v>3500</v>
      </c>
      <c r="J10" s="111">
        <v>700</v>
      </c>
      <c r="K10" s="111">
        <v>6300</v>
      </c>
      <c r="L10" s="111">
        <v>0</v>
      </c>
    </row>
    <row r="11" spans="1:12" x14ac:dyDescent="0.25">
      <c r="A11" s="109" t="s">
        <v>214</v>
      </c>
      <c r="B11" s="110" t="s">
        <v>215</v>
      </c>
      <c r="C11" s="111">
        <v>0</v>
      </c>
      <c r="D11" s="111">
        <v>0</v>
      </c>
      <c r="E11" s="111">
        <v>3500</v>
      </c>
      <c r="F11" s="111">
        <v>0</v>
      </c>
      <c r="G11" s="111">
        <v>0</v>
      </c>
      <c r="H11" s="111">
        <v>0</v>
      </c>
      <c r="I11" s="111">
        <v>3500</v>
      </c>
      <c r="J11" s="111">
        <v>0</v>
      </c>
      <c r="K11" s="111">
        <v>3500</v>
      </c>
      <c r="L11" s="111">
        <v>0</v>
      </c>
    </row>
    <row r="12" spans="1:12" x14ac:dyDescent="0.25">
      <c r="A12" s="109" t="s">
        <v>216</v>
      </c>
      <c r="B12" s="110" t="s">
        <v>217</v>
      </c>
      <c r="C12" s="111">
        <v>28718.19</v>
      </c>
      <c r="D12" s="111">
        <v>0</v>
      </c>
      <c r="E12" s="111">
        <v>28718.19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28718.19</v>
      </c>
      <c r="L12" s="111">
        <v>0</v>
      </c>
    </row>
    <row r="13" spans="1:12" x14ac:dyDescent="0.25">
      <c r="A13" s="109" t="s">
        <v>218</v>
      </c>
      <c r="B13" s="110" t="s">
        <v>219</v>
      </c>
      <c r="C13" s="111">
        <v>8000</v>
      </c>
      <c r="D13" s="111">
        <v>0</v>
      </c>
      <c r="E13" s="111">
        <v>8000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8000</v>
      </c>
      <c r="L13" s="111">
        <v>0</v>
      </c>
    </row>
    <row r="14" spans="1:12" x14ac:dyDescent="0.25">
      <c r="A14" s="109" t="s">
        <v>220</v>
      </c>
      <c r="B14" s="110" t="s">
        <v>221</v>
      </c>
      <c r="C14" s="111">
        <v>7000</v>
      </c>
      <c r="D14" s="111">
        <v>0</v>
      </c>
      <c r="E14" s="111">
        <v>7000</v>
      </c>
      <c r="F14" s="111">
        <v>0</v>
      </c>
      <c r="G14" s="111">
        <v>0</v>
      </c>
      <c r="H14" s="111">
        <v>0</v>
      </c>
      <c r="I14" s="111">
        <v>0</v>
      </c>
      <c r="J14" s="111">
        <v>0</v>
      </c>
      <c r="K14" s="111">
        <v>7000</v>
      </c>
      <c r="L14" s="111">
        <v>0</v>
      </c>
    </row>
    <row r="15" spans="1:12" x14ac:dyDescent="0.25">
      <c r="A15" s="109" t="s">
        <v>222</v>
      </c>
      <c r="B15" s="110" t="s">
        <v>223</v>
      </c>
      <c r="C15" s="111">
        <v>28500</v>
      </c>
      <c r="D15" s="111">
        <v>0</v>
      </c>
      <c r="E15" s="111">
        <v>28500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28500</v>
      </c>
      <c r="L15" s="111">
        <v>0</v>
      </c>
    </row>
    <row r="16" spans="1:12" x14ac:dyDescent="0.25">
      <c r="A16" s="109" t="s">
        <v>224</v>
      </c>
      <c r="B16" s="110" t="s">
        <v>225</v>
      </c>
      <c r="C16" s="111">
        <v>1700</v>
      </c>
      <c r="D16" s="111">
        <v>0</v>
      </c>
      <c r="E16" s="111">
        <v>1700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1700</v>
      </c>
      <c r="L16" s="111">
        <v>0</v>
      </c>
    </row>
    <row r="17" spans="1:12" x14ac:dyDescent="0.25">
      <c r="A17" s="109" t="s">
        <v>226</v>
      </c>
      <c r="B17" s="110" t="s">
        <v>227</v>
      </c>
      <c r="C17" s="111">
        <v>5700</v>
      </c>
      <c r="D17" s="111">
        <v>0</v>
      </c>
      <c r="E17" s="111">
        <v>5700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5700</v>
      </c>
      <c r="L17" s="111">
        <v>0</v>
      </c>
    </row>
    <row r="18" spans="1:12" x14ac:dyDescent="0.25">
      <c r="A18" s="109" t="s">
        <v>228</v>
      </c>
      <c r="B18" s="110" t="s">
        <v>229</v>
      </c>
      <c r="C18" s="111">
        <v>10385.5</v>
      </c>
      <c r="D18" s="111">
        <v>0</v>
      </c>
      <c r="E18" s="111">
        <v>10385.5</v>
      </c>
      <c r="F18" s="111">
        <v>0</v>
      </c>
      <c r="G18" s="111">
        <v>0</v>
      </c>
      <c r="H18" s="111">
        <v>0</v>
      </c>
      <c r="I18" s="111">
        <v>0</v>
      </c>
      <c r="J18" s="111">
        <v>0</v>
      </c>
      <c r="K18" s="111">
        <v>10385.5</v>
      </c>
      <c r="L18" s="111">
        <v>0</v>
      </c>
    </row>
    <row r="19" spans="1:12" x14ac:dyDescent="0.25">
      <c r="A19" s="109" t="s">
        <v>230</v>
      </c>
      <c r="B19" s="110" t="s">
        <v>231</v>
      </c>
      <c r="C19" s="111">
        <v>25350</v>
      </c>
      <c r="D19" s="111">
        <v>0</v>
      </c>
      <c r="E19" s="111">
        <v>0</v>
      </c>
      <c r="F19" s="111">
        <v>0</v>
      </c>
      <c r="G19" s="111">
        <v>0</v>
      </c>
      <c r="H19" s="111">
        <v>0</v>
      </c>
      <c r="I19" s="111">
        <v>0</v>
      </c>
      <c r="J19" s="111">
        <v>25350</v>
      </c>
      <c r="K19" s="111">
        <v>0</v>
      </c>
      <c r="L19" s="111">
        <v>0</v>
      </c>
    </row>
    <row r="20" spans="1:12" x14ac:dyDescent="0.25">
      <c r="A20" s="109" t="s">
        <v>232</v>
      </c>
      <c r="B20" s="110" t="s">
        <v>233</v>
      </c>
      <c r="C20" s="111">
        <v>9068</v>
      </c>
      <c r="D20" s="111">
        <v>0</v>
      </c>
      <c r="E20" s="111">
        <v>9068</v>
      </c>
      <c r="F20" s="111">
        <v>0</v>
      </c>
      <c r="G20" s="111">
        <v>0</v>
      </c>
      <c r="H20" s="111">
        <v>0</v>
      </c>
      <c r="I20" s="111">
        <v>0</v>
      </c>
      <c r="J20" s="111">
        <v>0</v>
      </c>
      <c r="K20" s="111">
        <v>9068</v>
      </c>
      <c r="L20" s="111">
        <v>0</v>
      </c>
    </row>
    <row r="21" spans="1:12" x14ac:dyDescent="0.25">
      <c r="A21" s="109" t="s">
        <v>234</v>
      </c>
      <c r="B21" s="110" t="s">
        <v>235</v>
      </c>
      <c r="C21" s="111">
        <v>0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3500</v>
      </c>
      <c r="J21" s="111">
        <v>3500</v>
      </c>
      <c r="K21" s="111">
        <v>0</v>
      </c>
      <c r="L21" s="111">
        <v>0</v>
      </c>
    </row>
    <row r="22" spans="1:12" x14ac:dyDescent="0.25">
      <c r="A22" s="109" t="s">
        <v>236</v>
      </c>
      <c r="B22" s="110" t="s">
        <v>237</v>
      </c>
      <c r="C22" s="111">
        <v>366030.03</v>
      </c>
      <c r="D22" s="111">
        <v>0</v>
      </c>
      <c r="E22" s="111">
        <v>366030.03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  <c r="K22" s="111">
        <v>366030.03</v>
      </c>
      <c r="L22" s="111">
        <v>0</v>
      </c>
    </row>
    <row r="23" spans="1:12" x14ac:dyDescent="0.25">
      <c r="A23" s="109" t="s">
        <v>238</v>
      </c>
      <c r="B23" s="110" t="s">
        <v>239</v>
      </c>
      <c r="C23" s="111">
        <v>0</v>
      </c>
      <c r="D23" s="111">
        <v>25980.799999999999</v>
      </c>
      <c r="E23" s="111">
        <v>0</v>
      </c>
      <c r="F23" s="111">
        <v>25980.799999999999</v>
      </c>
      <c r="G23" s="111">
        <v>0</v>
      </c>
      <c r="H23" s="111">
        <v>0</v>
      </c>
      <c r="I23" s="111">
        <v>0</v>
      </c>
      <c r="J23" s="111">
        <v>0</v>
      </c>
      <c r="K23" s="111">
        <v>0</v>
      </c>
      <c r="L23" s="111">
        <v>25980.799999999999</v>
      </c>
    </row>
    <row r="24" spans="1:12" x14ac:dyDescent="0.25">
      <c r="A24" s="109" t="s">
        <v>240</v>
      </c>
      <c r="B24" s="110" t="s">
        <v>241</v>
      </c>
      <c r="C24" s="111">
        <v>0</v>
      </c>
      <c r="D24" s="111">
        <v>1515.84</v>
      </c>
      <c r="E24" s="111">
        <v>0</v>
      </c>
      <c r="F24" s="111">
        <v>2442.15</v>
      </c>
      <c r="G24" s="111">
        <v>0</v>
      </c>
      <c r="H24" s="111">
        <v>84.25</v>
      </c>
      <c r="I24" s="111">
        <v>0</v>
      </c>
      <c r="J24" s="111">
        <v>1010.56</v>
      </c>
      <c r="K24" s="111">
        <v>0</v>
      </c>
      <c r="L24" s="111">
        <v>2526.4</v>
      </c>
    </row>
    <row r="25" spans="1:12" x14ac:dyDescent="0.25">
      <c r="A25" s="109" t="s">
        <v>242</v>
      </c>
      <c r="B25" s="110" t="s">
        <v>243</v>
      </c>
      <c r="C25" s="111">
        <v>0</v>
      </c>
      <c r="D25" s="111">
        <v>62127.01</v>
      </c>
      <c r="E25" s="111">
        <v>0</v>
      </c>
      <c r="F25" s="111">
        <v>45897.09</v>
      </c>
      <c r="G25" s="111">
        <v>0</v>
      </c>
      <c r="H25" s="111">
        <v>469.13</v>
      </c>
      <c r="I25" s="111">
        <v>50914.79</v>
      </c>
      <c r="J25" s="111">
        <v>35154</v>
      </c>
      <c r="K25" s="111">
        <v>0</v>
      </c>
      <c r="L25" s="111">
        <v>46366.22</v>
      </c>
    </row>
    <row r="26" spans="1:12" x14ac:dyDescent="0.25">
      <c r="A26" s="109" t="s">
        <v>244</v>
      </c>
      <c r="B26" s="110" t="s">
        <v>245</v>
      </c>
      <c r="C26" s="111">
        <v>0</v>
      </c>
      <c r="D26" s="111">
        <v>138738.1</v>
      </c>
      <c r="E26" s="111">
        <v>0</v>
      </c>
      <c r="F26" s="111">
        <v>102170.55</v>
      </c>
      <c r="G26" s="111">
        <v>0</v>
      </c>
      <c r="H26" s="111">
        <v>0</v>
      </c>
      <c r="I26" s="111">
        <v>36636.81</v>
      </c>
      <c r="J26" s="111">
        <v>69.260000000000005</v>
      </c>
      <c r="K26" s="111">
        <v>0</v>
      </c>
      <c r="L26" s="111">
        <v>102170.55</v>
      </c>
    </row>
    <row r="27" spans="1:12" x14ac:dyDescent="0.25">
      <c r="A27" s="109" t="s">
        <v>246</v>
      </c>
      <c r="B27" s="110" t="s">
        <v>247</v>
      </c>
      <c r="C27" s="111">
        <v>0</v>
      </c>
      <c r="D27" s="111">
        <v>14280.01</v>
      </c>
      <c r="E27" s="111">
        <v>0</v>
      </c>
      <c r="F27" s="111">
        <v>28559.99</v>
      </c>
      <c r="G27" s="111">
        <v>0</v>
      </c>
      <c r="H27" s="111">
        <v>1298.21</v>
      </c>
      <c r="I27" s="111">
        <v>0</v>
      </c>
      <c r="J27" s="111">
        <v>15578.19</v>
      </c>
      <c r="K27" s="111">
        <v>0</v>
      </c>
      <c r="L27" s="111">
        <v>29858.2</v>
      </c>
    </row>
    <row r="28" spans="1:12" x14ac:dyDescent="0.25">
      <c r="A28" s="109" t="s">
        <v>248</v>
      </c>
      <c r="B28" s="110" t="s">
        <v>249</v>
      </c>
      <c r="C28" s="111">
        <v>0</v>
      </c>
      <c r="D28" s="111">
        <v>8076.62</v>
      </c>
      <c r="E28" s="111">
        <v>0</v>
      </c>
      <c r="F28" s="111">
        <v>8076.62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  <c r="L28" s="111">
        <v>8076.62</v>
      </c>
    </row>
    <row r="29" spans="1:12" x14ac:dyDescent="0.25">
      <c r="A29" s="109" t="s">
        <v>250</v>
      </c>
      <c r="B29" s="110" t="s">
        <v>251</v>
      </c>
      <c r="C29" s="111">
        <v>0</v>
      </c>
      <c r="D29" s="111">
        <v>1625.02</v>
      </c>
      <c r="E29" s="111">
        <v>0</v>
      </c>
      <c r="F29" s="111">
        <v>2337.89</v>
      </c>
      <c r="G29" s="111">
        <v>0</v>
      </c>
      <c r="H29" s="111">
        <v>105</v>
      </c>
      <c r="I29" s="111">
        <v>700</v>
      </c>
      <c r="J29" s="111">
        <v>1517.87</v>
      </c>
      <c r="K29" s="111">
        <v>0</v>
      </c>
      <c r="L29" s="111">
        <v>2442.89</v>
      </c>
    </row>
    <row r="30" spans="1:12" x14ac:dyDescent="0.25">
      <c r="A30" s="109" t="s">
        <v>252</v>
      </c>
      <c r="B30" s="110" t="s">
        <v>253</v>
      </c>
      <c r="C30" s="111">
        <v>0</v>
      </c>
      <c r="D30" s="111">
        <v>0</v>
      </c>
      <c r="E30" s="111">
        <v>0</v>
      </c>
      <c r="F30" s="111">
        <v>145.84</v>
      </c>
      <c r="G30" s="111">
        <v>0</v>
      </c>
      <c r="H30" s="111">
        <v>72.92</v>
      </c>
      <c r="I30" s="111">
        <v>0</v>
      </c>
      <c r="J30" s="111">
        <v>218.76</v>
      </c>
      <c r="K30" s="111">
        <v>0</v>
      </c>
      <c r="L30" s="111">
        <v>218.76</v>
      </c>
    </row>
    <row r="31" spans="1:12" x14ac:dyDescent="0.25">
      <c r="A31" s="109" t="s">
        <v>254</v>
      </c>
      <c r="B31" s="110" t="s">
        <v>255</v>
      </c>
      <c r="C31" s="111">
        <v>0</v>
      </c>
      <c r="D31" s="111">
        <v>20268.47</v>
      </c>
      <c r="E31" s="111">
        <v>0</v>
      </c>
      <c r="F31" s="111">
        <v>24309.98</v>
      </c>
      <c r="G31" s="111">
        <v>0</v>
      </c>
      <c r="H31" s="111">
        <v>367.37</v>
      </c>
      <c r="I31" s="111">
        <v>0</v>
      </c>
      <c r="J31" s="111">
        <v>4408.88</v>
      </c>
      <c r="K31" s="111">
        <v>0</v>
      </c>
      <c r="L31" s="111">
        <v>24677.35</v>
      </c>
    </row>
    <row r="32" spans="1:12" x14ac:dyDescent="0.25">
      <c r="A32" s="109" t="s">
        <v>256</v>
      </c>
      <c r="B32" s="110" t="s">
        <v>257</v>
      </c>
      <c r="C32" s="111">
        <v>0</v>
      </c>
      <c r="D32" s="111">
        <v>5666.67</v>
      </c>
      <c r="E32" s="111">
        <v>0</v>
      </c>
      <c r="F32" s="111">
        <v>7500.04</v>
      </c>
      <c r="G32" s="111">
        <v>0</v>
      </c>
      <c r="H32" s="111">
        <v>166.63</v>
      </c>
      <c r="I32" s="111">
        <v>0</v>
      </c>
      <c r="J32" s="111">
        <v>2000</v>
      </c>
      <c r="K32" s="111">
        <v>0</v>
      </c>
      <c r="L32" s="111">
        <v>7666.67</v>
      </c>
    </row>
    <row r="33" spans="1:12" x14ac:dyDescent="0.25">
      <c r="A33" s="109" t="s">
        <v>258</v>
      </c>
      <c r="B33" s="110" t="s">
        <v>259</v>
      </c>
      <c r="C33" s="111">
        <v>0</v>
      </c>
      <c r="D33" s="111">
        <v>4520.83</v>
      </c>
      <c r="E33" s="111">
        <v>0</v>
      </c>
      <c r="F33" s="111">
        <v>6124.96</v>
      </c>
      <c r="G33" s="111">
        <v>0</v>
      </c>
      <c r="H33" s="111">
        <v>145.87</v>
      </c>
      <c r="I33" s="111">
        <v>0</v>
      </c>
      <c r="J33" s="111">
        <v>1750</v>
      </c>
      <c r="K33" s="111">
        <v>0</v>
      </c>
      <c r="L33" s="111">
        <v>6270.83</v>
      </c>
    </row>
    <row r="34" spans="1:12" x14ac:dyDescent="0.25">
      <c r="A34" s="109" t="s">
        <v>260</v>
      </c>
      <c r="B34" s="110" t="s">
        <v>261</v>
      </c>
      <c r="C34" s="111">
        <v>0</v>
      </c>
      <c r="D34" s="111">
        <v>18406.25</v>
      </c>
      <c r="E34" s="111">
        <v>0</v>
      </c>
      <c r="F34" s="111">
        <v>24937.5</v>
      </c>
      <c r="G34" s="111">
        <v>0</v>
      </c>
      <c r="H34" s="111">
        <v>593.75</v>
      </c>
      <c r="I34" s="111">
        <v>0</v>
      </c>
      <c r="J34" s="111">
        <v>7125</v>
      </c>
      <c r="K34" s="111">
        <v>0</v>
      </c>
      <c r="L34" s="111">
        <v>25531.25</v>
      </c>
    </row>
    <row r="35" spans="1:12" x14ac:dyDescent="0.25">
      <c r="A35" s="109" t="s">
        <v>262</v>
      </c>
      <c r="B35" s="110" t="s">
        <v>263</v>
      </c>
      <c r="C35" s="111">
        <v>0</v>
      </c>
      <c r="D35" s="111">
        <v>1097.92</v>
      </c>
      <c r="E35" s="111">
        <v>0</v>
      </c>
      <c r="F35" s="111">
        <v>1487.54</v>
      </c>
      <c r="G35" s="111">
        <v>0</v>
      </c>
      <c r="H35" s="111">
        <v>35.380000000000003</v>
      </c>
      <c r="I35" s="111">
        <v>0</v>
      </c>
      <c r="J35" s="111">
        <v>425</v>
      </c>
      <c r="K35" s="111">
        <v>0</v>
      </c>
      <c r="L35" s="111">
        <v>1522.92</v>
      </c>
    </row>
    <row r="36" spans="1:12" x14ac:dyDescent="0.25">
      <c r="A36" s="109" t="s">
        <v>264</v>
      </c>
      <c r="B36" s="110" t="s">
        <v>265</v>
      </c>
      <c r="C36" s="111">
        <v>0</v>
      </c>
      <c r="D36" s="111">
        <v>3325</v>
      </c>
      <c r="E36" s="111">
        <v>0</v>
      </c>
      <c r="F36" s="111">
        <v>4631.25</v>
      </c>
      <c r="G36" s="111">
        <v>0</v>
      </c>
      <c r="H36" s="111">
        <v>118.75</v>
      </c>
      <c r="I36" s="111">
        <v>0</v>
      </c>
      <c r="J36" s="111">
        <v>1425</v>
      </c>
      <c r="K36" s="111">
        <v>0</v>
      </c>
      <c r="L36" s="111">
        <v>4750</v>
      </c>
    </row>
    <row r="37" spans="1:12" x14ac:dyDescent="0.25">
      <c r="A37" s="109" t="s">
        <v>266</v>
      </c>
      <c r="B37" s="110" t="s">
        <v>267</v>
      </c>
      <c r="C37" s="111">
        <v>0</v>
      </c>
      <c r="D37" s="111">
        <v>4110.9399999999996</v>
      </c>
      <c r="E37" s="111">
        <v>0</v>
      </c>
      <c r="F37" s="111">
        <v>6491.01</v>
      </c>
      <c r="G37" s="111">
        <v>0</v>
      </c>
      <c r="H37" s="111">
        <v>216.31</v>
      </c>
      <c r="I37" s="111">
        <v>0</v>
      </c>
      <c r="J37" s="111">
        <v>2596.38</v>
      </c>
      <c r="K37" s="111">
        <v>0</v>
      </c>
      <c r="L37" s="111">
        <v>6707.32</v>
      </c>
    </row>
    <row r="38" spans="1:12" x14ac:dyDescent="0.25">
      <c r="A38" s="109" t="s">
        <v>268</v>
      </c>
      <c r="B38" s="110" t="s">
        <v>269</v>
      </c>
      <c r="C38" s="111">
        <v>0</v>
      </c>
      <c r="D38" s="111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600</v>
      </c>
      <c r="J38" s="111">
        <v>600</v>
      </c>
      <c r="K38" s="111">
        <v>0</v>
      </c>
      <c r="L38" s="111">
        <v>0</v>
      </c>
    </row>
    <row r="39" spans="1:12" x14ac:dyDescent="0.25">
      <c r="A39" s="109" t="s">
        <v>270</v>
      </c>
      <c r="B39" s="110" t="s">
        <v>271</v>
      </c>
      <c r="C39" s="111">
        <v>0</v>
      </c>
      <c r="D39" s="111">
        <v>0</v>
      </c>
      <c r="E39" s="111">
        <v>9.11</v>
      </c>
      <c r="F39" s="111">
        <v>0</v>
      </c>
      <c r="G39" s="111">
        <v>0</v>
      </c>
      <c r="H39" s="111">
        <v>0</v>
      </c>
      <c r="I39" s="111">
        <v>600</v>
      </c>
      <c r="J39" s="111">
        <v>590.89</v>
      </c>
      <c r="K39" s="111">
        <v>9.11</v>
      </c>
      <c r="L39" s="111">
        <v>0</v>
      </c>
    </row>
    <row r="40" spans="1:12" x14ac:dyDescent="0.25">
      <c r="A40" s="109" t="s">
        <v>272</v>
      </c>
      <c r="B40" s="110" t="s">
        <v>273</v>
      </c>
      <c r="C40" s="111">
        <v>157.55000000000001</v>
      </c>
      <c r="D40" s="111">
        <v>0</v>
      </c>
      <c r="E40" s="111">
        <v>0</v>
      </c>
      <c r="F40" s="111">
        <v>0</v>
      </c>
      <c r="G40" s="111">
        <v>77.599999999999994</v>
      </c>
      <c r="H40" s="111">
        <v>0</v>
      </c>
      <c r="I40" s="111">
        <v>77.599999999999994</v>
      </c>
      <c r="J40" s="111">
        <v>157.55000000000001</v>
      </c>
      <c r="K40" s="111">
        <v>77.599999999999994</v>
      </c>
      <c r="L40" s="111">
        <v>0</v>
      </c>
    </row>
    <row r="41" spans="1:12" x14ac:dyDescent="0.25">
      <c r="A41" s="109" t="s">
        <v>274</v>
      </c>
      <c r="B41" s="110" t="s">
        <v>275</v>
      </c>
      <c r="C41" s="111">
        <v>144</v>
      </c>
      <c r="D41" s="111">
        <v>0</v>
      </c>
      <c r="E41" s="111">
        <v>2074.73</v>
      </c>
      <c r="F41" s="111">
        <v>0</v>
      </c>
      <c r="G41" s="111">
        <v>0</v>
      </c>
      <c r="H41" s="111">
        <v>1689.6</v>
      </c>
      <c r="I41" s="111">
        <v>2099.69</v>
      </c>
      <c r="J41" s="111">
        <v>1858.56</v>
      </c>
      <c r="K41" s="111">
        <v>385.13</v>
      </c>
      <c r="L41" s="111">
        <v>0</v>
      </c>
    </row>
    <row r="42" spans="1:12" x14ac:dyDescent="0.25">
      <c r="A42" s="109" t="s">
        <v>276</v>
      </c>
      <c r="B42" s="110" t="s">
        <v>277</v>
      </c>
      <c r="C42" s="111">
        <v>800</v>
      </c>
      <c r="D42" s="111">
        <v>0</v>
      </c>
      <c r="E42" s="111">
        <v>800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800</v>
      </c>
      <c r="L42" s="111">
        <v>0</v>
      </c>
    </row>
    <row r="43" spans="1:12" x14ac:dyDescent="0.25">
      <c r="A43" s="109" t="s">
        <v>278</v>
      </c>
      <c r="B43" s="110" t="s">
        <v>279</v>
      </c>
      <c r="C43" s="111">
        <v>3300</v>
      </c>
      <c r="D43" s="111">
        <v>0</v>
      </c>
      <c r="E43" s="111">
        <v>750</v>
      </c>
      <c r="F43" s="111">
        <v>0</v>
      </c>
      <c r="G43" s="111">
        <v>0</v>
      </c>
      <c r="H43" s="111">
        <v>0</v>
      </c>
      <c r="I43" s="111">
        <v>2450</v>
      </c>
      <c r="J43" s="111">
        <v>5000</v>
      </c>
      <c r="K43" s="111">
        <v>750</v>
      </c>
      <c r="L43" s="111">
        <v>0</v>
      </c>
    </row>
    <row r="44" spans="1:12" x14ac:dyDescent="0.25">
      <c r="A44" s="109" t="s">
        <v>280</v>
      </c>
      <c r="B44" s="110" t="s">
        <v>281</v>
      </c>
      <c r="C44" s="111">
        <v>0</v>
      </c>
      <c r="D44" s="111">
        <v>0</v>
      </c>
      <c r="E44" s="111">
        <v>0</v>
      </c>
      <c r="F44" s="111">
        <v>173.14</v>
      </c>
      <c r="G44" s="111">
        <v>31563.11</v>
      </c>
      <c r="H44" s="111">
        <v>31389.97</v>
      </c>
      <c r="I44" s="111">
        <v>456020.82</v>
      </c>
      <c r="J44" s="111">
        <v>456020.82</v>
      </c>
      <c r="K44" s="111">
        <v>0</v>
      </c>
      <c r="L44" s="111">
        <v>0</v>
      </c>
    </row>
    <row r="45" spans="1:12" x14ac:dyDescent="0.25">
      <c r="A45" s="109" t="s">
        <v>282</v>
      </c>
      <c r="B45" s="110" t="s">
        <v>283</v>
      </c>
      <c r="C45" s="111">
        <v>210984.87</v>
      </c>
      <c r="D45" s="111">
        <v>0</v>
      </c>
      <c r="E45" s="111">
        <v>194009.34</v>
      </c>
      <c r="F45" s="111">
        <v>0</v>
      </c>
      <c r="G45" s="111">
        <v>33061.379999999997</v>
      </c>
      <c r="H45" s="111">
        <v>31393.95</v>
      </c>
      <c r="I45" s="111">
        <v>470118.6</v>
      </c>
      <c r="J45" s="111">
        <v>485426.7</v>
      </c>
      <c r="K45" s="111">
        <v>195676.77</v>
      </c>
      <c r="L45" s="111">
        <v>0</v>
      </c>
    </row>
    <row r="46" spans="1:12" x14ac:dyDescent="0.25">
      <c r="A46" s="109" t="s">
        <v>284</v>
      </c>
      <c r="B46" s="110" t="s">
        <v>285</v>
      </c>
      <c r="C46" s="111">
        <v>34818.559999999998</v>
      </c>
      <c r="D46" s="111">
        <v>0</v>
      </c>
      <c r="E46" s="111">
        <v>34199.050000000003</v>
      </c>
      <c r="F46" s="111">
        <v>0</v>
      </c>
      <c r="G46" s="111">
        <v>4703.88</v>
      </c>
      <c r="H46" s="111">
        <v>12755.69</v>
      </c>
      <c r="I46" s="111">
        <v>146064.82</v>
      </c>
      <c r="J46" s="111">
        <v>154736.14000000001</v>
      </c>
      <c r="K46" s="111">
        <v>26147.24</v>
      </c>
      <c r="L46" s="111">
        <v>0</v>
      </c>
    </row>
    <row r="47" spans="1:12" x14ac:dyDescent="0.25">
      <c r="A47" s="109" t="s">
        <v>286</v>
      </c>
      <c r="B47" s="110" t="s">
        <v>287</v>
      </c>
      <c r="C47" s="111">
        <v>17.55</v>
      </c>
      <c r="D47" s="111">
        <v>0</v>
      </c>
      <c r="E47" s="111">
        <v>49.04</v>
      </c>
      <c r="F47" s="111">
        <v>0</v>
      </c>
      <c r="G47" s="111">
        <v>4389.4799999999996</v>
      </c>
      <c r="H47" s="111">
        <v>3270.09</v>
      </c>
      <c r="I47" s="111">
        <v>87491.93</v>
      </c>
      <c r="J47" s="111">
        <v>86341.05</v>
      </c>
      <c r="K47" s="111">
        <v>1168.43</v>
      </c>
      <c r="L47" s="111">
        <v>0</v>
      </c>
    </row>
    <row r="48" spans="1:12" x14ac:dyDescent="0.25">
      <c r="A48" s="109" t="s">
        <v>288</v>
      </c>
      <c r="B48" s="110" t="s">
        <v>289</v>
      </c>
      <c r="C48" s="111">
        <v>0</v>
      </c>
      <c r="D48" s="111">
        <v>0</v>
      </c>
      <c r="E48" s="111">
        <v>923.38</v>
      </c>
      <c r="F48" s="111">
        <v>0</v>
      </c>
      <c r="G48" s="111">
        <v>397.08</v>
      </c>
      <c r="H48" s="111">
        <v>1269.8399999999999</v>
      </c>
      <c r="I48" s="111">
        <v>6787.71</v>
      </c>
      <c r="J48" s="111">
        <v>6737.09</v>
      </c>
      <c r="K48" s="111">
        <v>50.62</v>
      </c>
      <c r="L48" s="111">
        <v>0</v>
      </c>
    </row>
    <row r="49" spans="1:12" x14ac:dyDescent="0.25">
      <c r="A49" s="109" t="s">
        <v>290</v>
      </c>
      <c r="B49" s="110" t="s">
        <v>291</v>
      </c>
      <c r="C49" s="111">
        <v>2767.45</v>
      </c>
      <c r="D49" s="111">
        <v>0</v>
      </c>
      <c r="E49" s="111">
        <v>5128.04</v>
      </c>
      <c r="F49" s="111">
        <v>0</v>
      </c>
      <c r="G49" s="111">
        <v>61097.63</v>
      </c>
      <c r="H49" s="111">
        <v>62954.71</v>
      </c>
      <c r="I49" s="111">
        <v>607254.02</v>
      </c>
      <c r="J49" s="111">
        <v>606750.51</v>
      </c>
      <c r="K49" s="111">
        <v>3270.96</v>
      </c>
      <c r="L49" s="111">
        <v>0</v>
      </c>
    </row>
    <row r="50" spans="1:12" x14ac:dyDescent="0.25">
      <c r="A50" s="109" t="s">
        <v>292</v>
      </c>
      <c r="B50" s="110" t="s">
        <v>293</v>
      </c>
      <c r="C50" s="111">
        <v>248.45</v>
      </c>
      <c r="D50" s="111">
        <v>0</v>
      </c>
      <c r="E50" s="111">
        <v>0</v>
      </c>
      <c r="F50" s="111">
        <v>0</v>
      </c>
      <c r="G50" s="111">
        <v>551.45000000000005</v>
      </c>
      <c r="H50" s="111">
        <v>551.45000000000005</v>
      </c>
      <c r="I50" s="111">
        <v>7440.71</v>
      </c>
      <c r="J50" s="111">
        <v>7689.16</v>
      </c>
      <c r="K50" s="111">
        <v>0</v>
      </c>
      <c r="L50" s="111">
        <v>0</v>
      </c>
    </row>
    <row r="51" spans="1:12" x14ac:dyDescent="0.25">
      <c r="A51" s="109" t="s">
        <v>294</v>
      </c>
      <c r="B51" s="110" t="s">
        <v>295</v>
      </c>
      <c r="C51" s="111">
        <v>-25201.66</v>
      </c>
      <c r="D51" s="111">
        <v>0</v>
      </c>
      <c r="E51" s="111">
        <v>-25106.79</v>
      </c>
      <c r="F51" s="111">
        <v>0</v>
      </c>
      <c r="G51" s="111">
        <v>92098.04</v>
      </c>
      <c r="H51" s="111">
        <v>91605.75</v>
      </c>
      <c r="I51" s="111">
        <v>972273.09</v>
      </c>
      <c r="J51" s="111">
        <v>971685.93</v>
      </c>
      <c r="K51" s="111">
        <v>-24614.5</v>
      </c>
      <c r="L51" s="111">
        <v>0</v>
      </c>
    </row>
    <row r="52" spans="1:12" x14ac:dyDescent="0.25">
      <c r="A52" s="109" t="s">
        <v>296</v>
      </c>
      <c r="B52" s="110" t="s">
        <v>297</v>
      </c>
      <c r="C52" s="111">
        <v>0</v>
      </c>
      <c r="D52" s="111">
        <v>0</v>
      </c>
      <c r="E52" s="111">
        <v>0</v>
      </c>
      <c r="F52" s="111">
        <v>0</v>
      </c>
      <c r="G52" s="111">
        <v>49700</v>
      </c>
      <c r="H52" s="111">
        <v>49700</v>
      </c>
      <c r="I52" s="111">
        <v>516260</v>
      </c>
      <c r="J52" s="111">
        <v>516260</v>
      </c>
      <c r="K52" s="111">
        <v>0</v>
      </c>
      <c r="L52" s="111">
        <v>0</v>
      </c>
    </row>
    <row r="53" spans="1:12" x14ac:dyDescent="0.25">
      <c r="A53" s="109" t="s">
        <v>298</v>
      </c>
      <c r="B53" s="110" t="s">
        <v>299</v>
      </c>
      <c r="C53" s="111">
        <v>25194.880000000001</v>
      </c>
      <c r="D53" s="111">
        <v>0</v>
      </c>
      <c r="E53" s="111">
        <v>26700.74</v>
      </c>
      <c r="F53" s="111">
        <v>0</v>
      </c>
      <c r="G53" s="111">
        <v>6914.4</v>
      </c>
      <c r="H53" s="111">
        <v>26546.46</v>
      </c>
      <c r="I53" s="111">
        <v>255078.68</v>
      </c>
      <c r="J53" s="111">
        <v>273204.88</v>
      </c>
      <c r="K53" s="111">
        <v>7068.68</v>
      </c>
      <c r="L53" s="111">
        <v>0</v>
      </c>
    </row>
    <row r="54" spans="1:12" x14ac:dyDescent="0.25">
      <c r="A54" s="109" t="s">
        <v>300</v>
      </c>
      <c r="B54" s="110" t="s">
        <v>301</v>
      </c>
      <c r="C54" s="111">
        <v>0</v>
      </c>
      <c r="D54" s="111">
        <v>0</v>
      </c>
      <c r="E54" s="111">
        <v>0</v>
      </c>
      <c r="F54" s="111">
        <v>0</v>
      </c>
      <c r="G54" s="111">
        <v>201.92</v>
      </c>
      <c r="H54" s="111">
        <v>201.92</v>
      </c>
      <c r="I54" s="111">
        <v>8849.41</v>
      </c>
      <c r="J54" s="111">
        <v>8849.41</v>
      </c>
      <c r="K54" s="111">
        <v>0</v>
      </c>
      <c r="L54" s="111">
        <v>0</v>
      </c>
    </row>
    <row r="55" spans="1:12" x14ac:dyDescent="0.25">
      <c r="A55" s="109" t="s">
        <v>302</v>
      </c>
      <c r="B55" s="110" t="s">
        <v>303</v>
      </c>
      <c r="C55" s="111">
        <v>0</v>
      </c>
      <c r="D55" s="111">
        <v>0</v>
      </c>
      <c r="E55" s="111">
        <v>0</v>
      </c>
      <c r="F55" s="111">
        <v>0</v>
      </c>
      <c r="G55" s="111">
        <v>381.56</v>
      </c>
      <c r="H55" s="111">
        <v>202.76</v>
      </c>
      <c r="I55" s="111">
        <v>2769.16</v>
      </c>
      <c r="J55" s="111">
        <v>2590.36</v>
      </c>
      <c r="K55" s="111">
        <v>178.8</v>
      </c>
      <c r="L55" s="111">
        <v>0</v>
      </c>
    </row>
    <row r="56" spans="1:12" x14ac:dyDescent="0.25">
      <c r="A56" s="109" t="s">
        <v>304</v>
      </c>
      <c r="B56" s="110" t="s">
        <v>305</v>
      </c>
      <c r="C56" s="111">
        <v>0</v>
      </c>
      <c r="D56" s="111">
        <v>0</v>
      </c>
      <c r="E56" s="111">
        <v>0</v>
      </c>
      <c r="F56" s="111">
        <v>0</v>
      </c>
      <c r="G56" s="111">
        <v>602.29999999999995</v>
      </c>
      <c r="H56" s="111">
        <v>602.29999999999995</v>
      </c>
      <c r="I56" s="111">
        <v>6618.77</v>
      </c>
      <c r="J56" s="111">
        <v>6618.77</v>
      </c>
      <c r="K56" s="111">
        <v>0</v>
      </c>
      <c r="L56" s="111">
        <v>0</v>
      </c>
    </row>
    <row r="57" spans="1:12" x14ac:dyDescent="0.25">
      <c r="A57" s="109" t="s">
        <v>306</v>
      </c>
      <c r="B57" s="110" t="s">
        <v>307</v>
      </c>
      <c r="C57" s="111">
        <v>0</v>
      </c>
      <c r="D57" s="111">
        <v>0</v>
      </c>
      <c r="E57" s="111">
        <v>0</v>
      </c>
      <c r="F57" s="111">
        <v>0</v>
      </c>
      <c r="G57" s="111">
        <v>149</v>
      </c>
      <c r="H57" s="111">
        <v>0</v>
      </c>
      <c r="I57" s="111">
        <v>149</v>
      </c>
      <c r="J57" s="111">
        <v>0</v>
      </c>
      <c r="K57" s="111">
        <v>149</v>
      </c>
      <c r="L57" s="111">
        <v>0</v>
      </c>
    </row>
    <row r="58" spans="1:12" x14ac:dyDescent="0.25">
      <c r="A58" s="109" t="s">
        <v>308</v>
      </c>
      <c r="B58" s="110" t="s">
        <v>309</v>
      </c>
      <c r="C58" s="111">
        <v>0</v>
      </c>
      <c r="D58" s="111">
        <v>0</v>
      </c>
      <c r="E58" s="111">
        <v>0</v>
      </c>
      <c r="F58" s="111">
        <v>0</v>
      </c>
      <c r="G58" s="111">
        <v>0</v>
      </c>
      <c r="H58" s="111">
        <v>178.8</v>
      </c>
      <c r="I58" s="111">
        <v>0</v>
      </c>
      <c r="J58" s="111">
        <v>178.8</v>
      </c>
      <c r="K58" s="111">
        <v>0</v>
      </c>
      <c r="L58" s="111">
        <v>178.8</v>
      </c>
    </row>
    <row r="59" spans="1:12" x14ac:dyDescent="0.25">
      <c r="A59" s="109" t="s">
        <v>310</v>
      </c>
      <c r="B59" s="110" t="s">
        <v>311</v>
      </c>
      <c r="C59" s="111">
        <v>72.150000000000006</v>
      </c>
      <c r="D59" s="111">
        <v>0</v>
      </c>
      <c r="E59" s="111">
        <v>1209.3699999999999</v>
      </c>
      <c r="F59" s="111">
        <v>0</v>
      </c>
      <c r="G59" s="111">
        <v>0</v>
      </c>
      <c r="H59" s="111">
        <v>1209.3699999999999</v>
      </c>
      <c r="I59" s="111">
        <v>0</v>
      </c>
      <c r="J59" s="111">
        <v>72.150000000000006</v>
      </c>
      <c r="K59" s="111">
        <v>0</v>
      </c>
      <c r="L59" s="111">
        <v>0</v>
      </c>
    </row>
    <row r="60" spans="1:12" x14ac:dyDescent="0.25">
      <c r="A60" s="109" t="s">
        <v>312</v>
      </c>
      <c r="B60" s="110" t="s">
        <v>313</v>
      </c>
      <c r="C60" s="111">
        <v>0</v>
      </c>
      <c r="D60" s="111">
        <v>43098.07</v>
      </c>
      <c r="E60" s="111">
        <v>0</v>
      </c>
      <c r="F60" s="111">
        <v>32553.279999999999</v>
      </c>
      <c r="G60" s="111">
        <v>27512.95</v>
      </c>
      <c r="H60" s="111">
        <v>18700.740000000002</v>
      </c>
      <c r="I60" s="111">
        <v>238323.78</v>
      </c>
      <c r="J60" s="111">
        <v>218966.78</v>
      </c>
      <c r="K60" s="111">
        <v>0</v>
      </c>
      <c r="L60" s="111">
        <v>23741.07</v>
      </c>
    </row>
    <row r="61" spans="1:12" x14ac:dyDescent="0.25">
      <c r="A61" s="109" t="s">
        <v>314</v>
      </c>
      <c r="B61" s="110" t="s">
        <v>315</v>
      </c>
      <c r="C61" s="111">
        <v>0</v>
      </c>
      <c r="D61" s="111">
        <v>116048.74</v>
      </c>
      <c r="E61" s="111">
        <v>0</v>
      </c>
      <c r="F61" s="111">
        <v>106450.22</v>
      </c>
      <c r="G61" s="111">
        <v>24176.07</v>
      </c>
      <c r="H61" s="111">
        <v>21670.89</v>
      </c>
      <c r="I61" s="111">
        <v>336806.15</v>
      </c>
      <c r="J61" s="111">
        <v>324702.45</v>
      </c>
      <c r="K61" s="111">
        <v>0</v>
      </c>
      <c r="L61" s="111">
        <v>103945.04</v>
      </c>
    </row>
    <row r="62" spans="1:12" x14ac:dyDescent="0.25">
      <c r="A62" s="109" t="s">
        <v>316</v>
      </c>
      <c r="B62" s="110" t="s">
        <v>317</v>
      </c>
      <c r="C62" s="111">
        <v>0</v>
      </c>
      <c r="D62" s="111">
        <v>2953.61</v>
      </c>
      <c r="E62" s="111">
        <v>0</v>
      </c>
      <c r="F62" s="111">
        <v>2953.61</v>
      </c>
      <c r="G62" s="111">
        <v>2953.61</v>
      </c>
      <c r="H62" s="111">
        <v>1091.28</v>
      </c>
      <c r="I62" s="111">
        <v>2953.61</v>
      </c>
      <c r="J62" s="111">
        <v>1091.28</v>
      </c>
      <c r="K62" s="111">
        <v>0</v>
      </c>
      <c r="L62" s="111">
        <v>1091.28</v>
      </c>
    </row>
    <row r="63" spans="1:12" x14ac:dyDescent="0.25">
      <c r="A63" s="109" t="s">
        <v>318</v>
      </c>
      <c r="B63" s="110" t="s">
        <v>319</v>
      </c>
      <c r="C63" s="111">
        <v>0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45000</v>
      </c>
      <c r="J63" s="111">
        <v>45000</v>
      </c>
      <c r="K63" s="111">
        <v>0</v>
      </c>
      <c r="L63" s="111">
        <v>0</v>
      </c>
    </row>
    <row r="64" spans="1:12" x14ac:dyDescent="0.25">
      <c r="A64" s="109" t="s">
        <v>320</v>
      </c>
      <c r="B64" s="110" t="s">
        <v>321</v>
      </c>
      <c r="C64" s="111">
        <v>0</v>
      </c>
      <c r="D64" s="111">
        <v>0</v>
      </c>
      <c r="E64" s="111">
        <v>0</v>
      </c>
      <c r="F64" s="111">
        <v>0</v>
      </c>
      <c r="G64" s="111">
        <v>71.3</v>
      </c>
      <c r="H64" s="111">
        <v>71.3</v>
      </c>
      <c r="I64" s="111">
        <v>674.74</v>
      </c>
      <c r="J64" s="111">
        <v>674.74</v>
      </c>
      <c r="K64" s="111">
        <v>0</v>
      </c>
      <c r="L64" s="111">
        <v>0</v>
      </c>
    </row>
    <row r="65" spans="1:12" x14ac:dyDescent="0.25">
      <c r="A65" s="109" t="s">
        <v>322</v>
      </c>
      <c r="B65" s="110" t="s">
        <v>323</v>
      </c>
      <c r="C65" s="111">
        <v>0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  <c r="K65" s="111">
        <v>0</v>
      </c>
      <c r="L65" s="111">
        <v>0</v>
      </c>
    </row>
    <row r="66" spans="1:12" x14ac:dyDescent="0.25">
      <c r="A66" s="109" t="s">
        <v>324</v>
      </c>
      <c r="B66" s="110" t="s">
        <v>325</v>
      </c>
      <c r="C66" s="111">
        <v>0</v>
      </c>
      <c r="D66" s="111">
        <v>0</v>
      </c>
      <c r="E66" s="111">
        <v>0</v>
      </c>
      <c r="F66" s="111">
        <v>0</v>
      </c>
      <c r="G66" s="111">
        <v>0</v>
      </c>
      <c r="H66" s="111">
        <v>0</v>
      </c>
      <c r="I66" s="111">
        <v>0</v>
      </c>
      <c r="J66" s="111">
        <v>0</v>
      </c>
      <c r="K66" s="111">
        <v>0</v>
      </c>
      <c r="L66" s="111">
        <v>0</v>
      </c>
    </row>
    <row r="67" spans="1:12" x14ac:dyDescent="0.25">
      <c r="A67" s="109" t="s">
        <v>326</v>
      </c>
      <c r="B67" s="110" t="s">
        <v>327</v>
      </c>
      <c r="C67" s="111">
        <v>0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22.5</v>
      </c>
      <c r="J67" s="111">
        <v>22.5</v>
      </c>
      <c r="K67" s="111">
        <v>0</v>
      </c>
      <c r="L67" s="111">
        <v>0</v>
      </c>
    </row>
    <row r="68" spans="1:12" x14ac:dyDescent="0.25">
      <c r="A68" s="109" t="s">
        <v>328</v>
      </c>
      <c r="B68" s="110" t="s">
        <v>329</v>
      </c>
      <c r="C68" s="111">
        <v>0</v>
      </c>
      <c r="D68" s="111">
        <v>8371.84</v>
      </c>
      <c r="E68" s="111">
        <v>0</v>
      </c>
      <c r="F68" s="111">
        <v>6928.45</v>
      </c>
      <c r="G68" s="111">
        <v>18320.439999999999</v>
      </c>
      <c r="H68" s="111">
        <v>20561.41</v>
      </c>
      <c r="I68" s="111">
        <v>213567.2</v>
      </c>
      <c r="J68" s="111">
        <v>214364.78</v>
      </c>
      <c r="K68" s="111">
        <v>0</v>
      </c>
      <c r="L68" s="111">
        <v>9169.42</v>
      </c>
    </row>
    <row r="69" spans="1:12" x14ac:dyDescent="0.25">
      <c r="A69" s="109" t="s">
        <v>330</v>
      </c>
      <c r="B69" s="110" t="s">
        <v>331</v>
      </c>
      <c r="C69" s="111">
        <v>324.19</v>
      </c>
      <c r="D69" s="111">
        <v>0</v>
      </c>
      <c r="E69" s="111">
        <v>175.54</v>
      </c>
      <c r="F69" s="111">
        <v>0</v>
      </c>
      <c r="G69" s="111">
        <v>195.07</v>
      </c>
      <c r="H69" s="111">
        <v>175.54</v>
      </c>
      <c r="I69" s="111">
        <v>2517.42</v>
      </c>
      <c r="J69" s="111">
        <v>2646.54</v>
      </c>
      <c r="K69" s="111">
        <v>195.07</v>
      </c>
      <c r="L69" s="111">
        <v>0</v>
      </c>
    </row>
    <row r="70" spans="1:12" x14ac:dyDescent="0.25">
      <c r="A70" s="109" t="s">
        <v>332</v>
      </c>
      <c r="B70" s="110" t="s">
        <v>333</v>
      </c>
      <c r="C70" s="111">
        <v>0</v>
      </c>
      <c r="D70" s="111">
        <v>911.4</v>
      </c>
      <c r="E70" s="111">
        <v>0</v>
      </c>
      <c r="F70" s="111">
        <v>891.4</v>
      </c>
      <c r="G70" s="111">
        <v>891.39</v>
      </c>
      <c r="H70" s="111">
        <v>1124.53</v>
      </c>
      <c r="I70" s="111">
        <v>11686</v>
      </c>
      <c r="J70" s="111">
        <v>11899.14</v>
      </c>
      <c r="K70" s="111">
        <v>0</v>
      </c>
      <c r="L70" s="111">
        <v>1124.54</v>
      </c>
    </row>
    <row r="71" spans="1:12" x14ac:dyDescent="0.25">
      <c r="A71" s="109" t="s">
        <v>334</v>
      </c>
      <c r="B71" s="110" t="s">
        <v>335</v>
      </c>
      <c r="C71" s="111">
        <v>0</v>
      </c>
      <c r="D71" s="111">
        <v>428.64</v>
      </c>
      <c r="E71" s="111">
        <v>0</v>
      </c>
      <c r="F71" s="111">
        <v>107.18</v>
      </c>
      <c r="G71" s="111">
        <v>107.18</v>
      </c>
      <c r="H71" s="111">
        <v>157.4</v>
      </c>
      <c r="I71" s="111">
        <v>2730.92</v>
      </c>
      <c r="J71" s="111">
        <v>2459.6799999999998</v>
      </c>
      <c r="K71" s="111">
        <v>0</v>
      </c>
      <c r="L71" s="111">
        <v>157.4</v>
      </c>
    </row>
    <row r="72" spans="1:12" x14ac:dyDescent="0.25">
      <c r="A72" s="109" t="s">
        <v>336</v>
      </c>
      <c r="B72" s="110" t="s">
        <v>337</v>
      </c>
      <c r="C72" s="111">
        <v>0</v>
      </c>
      <c r="D72" s="111">
        <v>3526.17</v>
      </c>
      <c r="E72" s="111">
        <v>0</v>
      </c>
      <c r="F72" s="111">
        <v>2755.57</v>
      </c>
      <c r="G72" s="111">
        <v>2755.57</v>
      </c>
      <c r="H72" s="111">
        <v>3451.83</v>
      </c>
      <c r="I72" s="111">
        <v>38423.949999999997</v>
      </c>
      <c r="J72" s="111">
        <v>38349.61</v>
      </c>
      <c r="K72" s="111">
        <v>0</v>
      </c>
      <c r="L72" s="111">
        <v>3451.83</v>
      </c>
    </row>
    <row r="73" spans="1:12" x14ac:dyDescent="0.25">
      <c r="A73" s="109" t="s">
        <v>338</v>
      </c>
      <c r="B73" s="110" t="s">
        <v>339</v>
      </c>
      <c r="C73" s="111">
        <v>0</v>
      </c>
      <c r="D73" s="111">
        <v>-5899.04</v>
      </c>
      <c r="E73" s="111">
        <v>0</v>
      </c>
      <c r="F73" s="111">
        <v>0</v>
      </c>
      <c r="G73" s="111">
        <v>0</v>
      </c>
      <c r="H73" s="111">
        <v>10078.879999999999</v>
      </c>
      <c r="I73" s="111">
        <v>0</v>
      </c>
      <c r="J73" s="111">
        <v>15977.92</v>
      </c>
      <c r="K73" s="111">
        <v>0</v>
      </c>
      <c r="L73" s="111">
        <v>10078.879999999999</v>
      </c>
    </row>
    <row r="74" spans="1:12" x14ac:dyDescent="0.25">
      <c r="A74" s="109" t="s">
        <v>340</v>
      </c>
      <c r="B74" s="110" t="s">
        <v>341</v>
      </c>
      <c r="C74" s="111">
        <v>0</v>
      </c>
      <c r="D74" s="111">
        <v>653.51</v>
      </c>
      <c r="E74" s="111">
        <v>0</v>
      </c>
      <c r="F74" s="111">
        <v>368.03</v>
      </c>
      <c r="G74" s="111">
        <v>698.03</v>
      </c>
      <c r="H74" s="111">
        <v>941</v>
      </c>
      <c r="I74" s="111">
        <v>10114.09</v>
      </c>
      <c r="J74" s="111">
        <v>10071.58</v>
      </c>
      <c r="K74" s="111">
        <v>0</v>
      </c>
      <c r="L74" s="111">
        <v>611</v>
      </c>
    </row>
    <row r="75" spans="1:12" x14ac:dyDescent="0.25">
      <c r="A75" s="109" t="s">
        <v>342</v>
      </c>
      <c r="B75" s="110" t="s">
        <v>343</v>
      </c>
      <c r="C75" s="111">
        <v>0</v>
      </c>
      <c r="D75" s="111">
        <v>0</v>
      </c>
      <c r="E75" s="111">
        <v>0</v>
      </c>
      <c r="F75" s="111">
        <v>0</v>
      </c>
      <c r="G75" s="111">
        <v>17.73</v>
      </c>
      <c r="H75" s="111">
        <v>17.73</v>
      </c>
      <c r="I75" s="111">
        <v>228.86</v>
      </c>
      <c r="J75" s="111">
        <v>228.86</v>
      </c>
      <c r="K75" s="111">
        <v>0</v>
      </c>
      <c r="L75" s="111">
        <v>0</v>
      </c>
    </row>
    <row r="76" spans="1:12" x14ac:dyDescent="0.25">
      <c r="A76" s="109" t="s">
        <v>344</v>
      </c>
      <c r="B76" s="110" t="s">
        <v>345</v>
      </c>
      <c r="C76" s="111">
        <v>0</v>
      </c>
      <c r="D76" s="111">
        <v>0</v>
      </c>
      <c r="E76" s="111">
        <v>0</v>
      </c>
      <c r="F76" s="111">
        <v>0</v>
      </c>
      <c r="G76" s="111">
        <v>55.15</v>
      </c>
      <c r="H76" s="111">
        <v>55.15</v>
      </c>
      <c r="I76" s="111">
        <v>747.27</v>
      </c>
      <c r="J76" s="111">
        <v>747.27</v>
      </c>
      <c r="K76" s="111">
        <v>0</v>
      </c>
      <c r="L76" s="111">
        <v>0</v>
      </c>
    </row>
    <row r="77" spans="1:12" x14ac:dyDescent="0.25">
      <c r="A77" s="109" t="s">
        <v>346</v>
      </c>
      <c r="B77" s="110" t="s">
        <v>347</v>
      </c>
      <c r="C77" s="111">
        <v>0</v>
      </c>
      <c r="D77" s="111">
        <v>0</v>
      </c>
      <c r="E77" s="111">
        <v>0</v>
      </c>
      <c r="F77" s="111">
        <v>0</v>
      </c>
      <c r="G77" s="111">
        <v>13130.72</v>
      </c>
      <c r="H77" s="111">
        <v>13130.72</v>
      </c>
      <c r="I77" s="111">
        <v>168795.53</v>
      </c>
      <c r="J77" s="111">
        <v>168795.53</v>
      </c>
      <c r="K77" s="111">
        <v>0</v>
      </c>
      <c r="L77" s="111">
        <v>0</v>
      </c>
    </row>
    <row r="78" spans="1:12" x14ac:dyDescent="0.25">
      <c r="A78" s="109" t="s">
        <v>348</v>
      </c>
      <c r="B78" s="110" t="s">
        <v>349</v>
      </c>
      <c r="C78" s="111">
        <v>0</v>
      </c>
      <c r="D78" s="111">
        <v>0</v>
      </c>
      <c r="E78" s="111">
        <v>0</v>
      </c>
      <c r="F78" s="111">
        <v>-83.83</v>
      </c>
      <c r="G78" s="111">
        <v>3318.83</v>
      </c>
      <c r="H78" s="111">
        <v>3318.83</v>
      </c>
      <c r="I78" s="111">
        <v>38851.120000000003</v>
      </c>
      <c r="J78" s="111">
        <v>38767.29</v>
      </c>
      <c r="K78" s="111">
        <v>0</v>
      </c>
      <c r="L78" s="111">
        <v>-83.83</v>
      </c>
    </row>
    <row r="79" spans="1:12" x14ac:dyDescent="0.25">
      <c r="A79" s="109" t="s">
        <v>350</v>
      </c>
      <c r="B79" s="110" t="s">
        <v>351</v>
      </c>
      <c r="C79" s="111">
        <v>0</v>
      </c>
      <c r="D79" s="111">
        <v>0</v>
      </c>
      <c r="E79" s="111">
        <v>0</v>
      </c>
      <c r="F79" s="111">
        <v>0</v>
      </c>
      <c r="G79" s="111">
        <v>4334.1899999999996</v>
      </c>
      <c r="H79" s="111">
        <v>4334.1899999999996</v>
      </c>
      <c r="I79" s="111">
        <v>64346.63</v>
      </c>
      <c r="J79" s="111">
        <v>64346.63</v>
      </c>
      <c r="K79" s="111">
        <v>0</v>
      </c>
      <c r="L79" s="111">
        <v>0</v>
      </c>
    </row>
    <row r="80" spans="1:12" x14ac:dyDescent="0.25">
      <c r="A80" s="109" t="s">
        <v>352</v>
      </c>
      <c r="B80" s="110" t="s">
        <v>353</v>
      </c>
      <c r="C80" s="111">
        <v>0</v>
      </c>
      <c r="D80" s="111">
        <v>0</v>
      </c>
      <c r="E80" s="111">
        <v>0</v>
      </c>
      <c r="F80" s="111">
        <v>0</v>
      </c>
      <c r="G80" s="111">
        <v>4334.1899999999996</v>
      </c>
      <c r="H80" s="111">
        <v>4334.1899999999996</v>
      </c>
      <c r="I80" s="111">
        <v>64346.63</v>
      </c>
      <c r="J80" s="111">
        <v>64346.63</v>
      </c>
      <c r="K80" s="111">
        <v>0</v>
      </c>
      <c r="L80" s="111">
        <v>0</v>
      </c>
    </row>
    <row r="81" spans="1:12" x14ac:dyDescent="0.25">
      <c r="A81" s="109" t="s">
        <v>354</v>
      </c>
      <c r="B81" s="110" t="s">
        <v>355</v>
      </c>
      <c r="C81" s="111">
        <v>0</v>
      </c>
      <c r="D81" s="111">
        <v>0</v>
      </c>
      <c r="E81" s="111">
        <v>0</v>
      </c>
      <c r="F81" s="111">
        <v>0</v>
      </c>
      <c r="G81" s="111">
        <v>0.71</v>
      </c>
      <c r="H81" s="111">
        <v>0.71</v>
      </c>
      <c r="I81" s="111">
        <v>332.99</v>
      </c>
      <c r="J81" s="111">
        <v>332.99</v>
      </c>
      <c r="K81" s="111">
        <v>0</v>
      </c>
      <c r="L81" s="111">
        <v>0</v>
      </c>
    </row>
    <row r="82" spans="1:12" x14ac:dyDescent="0.25">
      <c r="A82" s="109" t="s">
        <v>356</v>
      </c>
      <c r="B82" s="110" t="s">
        <v>357</v>
      </c>
      <c r="C82" s="111">
        <v>0</v>
      </c>
      <c r="D82" s="111">
        <v>0</v>
      </c>
      <c r="E82" s="111">
        <v>0</v>
      </c>
      <c r="F82" s="111">
        <v>0</v>
      </c>
      <c r="G82" s="111">
        <v>0.71</v>
      </c>
      <c r="H82" s="111">
        <v>0.71</v>
      </c>
      <c r="I82" s="111">
        <v>332.99</v>
      </c>
      <c r="J82" s="111">
        <v>332.99</v>
      </c>
      <c r="K82" s="111">
        <v>0</v>
      </c>
      <c r="L82" s="111">
        <v>0</v>
      </c>
    </row>
    <row r="83" spans="1:12" x14ac:dyDescent="0.25">
      <c r="A83" s="109" t="s">
        <v>358</v>
      </c>
      <c r="B83" s="110" t="s">
        <v>359</v>
      </c>
      <c r="C83" s="111">
        <v>0</v>
      </c>
      <c r="D83" s="111">
        <v>13821.88</v>
      </c>
      <c r="E83" s="111">
        <v>0</v>
      </c>
      <c r="F83" s="111">
        <v>26214.83</v>
      </c>
      <c r="G83" s="111">
        <v>26214.83</v>
      </c>
      <c r="H83" s="111">
        <v>9774.4699999999993</v>
      </c>
      <c r="I83" s="111">
        <v>133557.24</v>
      </c>
      <c r="J83" s="111">
        <v>129509.83</v>
      </c>
      <c r="K83" s="111">
        <v>0</v>
      </c>
      <c r="L83" s="111">
        <v>9774.4699999999993</v>
      </c>
    </row>
    <row r="84" spans="1:12" x14ac:dyDescent="0.25">
      <c r="A84" s="109" t="s">
        <v>360</v>
      </c>
      <c r="B84" s="110" t="s">
        <v>361</v>
      </c>
      <c r="C84" s="111">
        <v>0</v>
      </c>
      <c r="D84" s="111">
        <v>0</v>
      </c>
      <c r="E84" s="111">
        <v>0</v>
      </c>
      <c r="F84" s="111">
        <v>0</v>
      </c>
      <c r="G84" s="111">
        <v>447.88</v>
      </c>
      <c r="H84" s="111">
        <v>447.88</v>
      </c>
      <c r="I84" s="111">
        <v>2490.6999999999998</v>
      </c>
      <c r="J84" s="111">
        <v>2490.6999999999998</v>
      </c>
      <c r="K84" s="111">
        <v>0</v>
      </c>
      <c r="L84" s="111">
        <v>0</v>
      </c>
    </row>
    <row r="85" spans="1:12" x14ac:dyDescent="0.25">
      <c r="A85" s="109" t="s">
        <v>362</v>
      </c>
      <c r="B85" s="110" t="s">
        <v>363</v>
      </c>
      <c r="C85" s="111">
        <v>3105.21</v>
      </c>
      <c r="D85" s="111">
        <v>0</v>
      </c>
      <c r="E85" s="111">
        <v>0</v>
      </c>
      <c r="F85" s="111">
        <v>0</v>
      </c>
      <c r="G85" s="111">
        <v>4214.5</v>
      </c>
      <c r="H85" s="111">
        <v>3425.32</v>
      </c>
      <c r="I85" s="111">
        <v>12878.79</v>
      </c>
      <c r="J85" s="111">
        <v>15194.82</v>
      </c>
      <c r="K85" s="111">
        <v>789.18</v>
      </c>
      <c r="L85" s="111">
        <v>0</v>
      </c>
    </row>
    <row r="86" spans="1:12" x14ac:dyDescent="0.25">
      <c r="A86" s="109" t="s">
        <v>364</v>
      </c>
      <c r="B86" s="110" t="s">
        <v>365</v>
      </c>
      <c r="C86" s="111">
        <v>0</v>
      </c>
      <c r="D86" s="111">
        <v>64874.27</v>
      </c>
      <c r="E86" s="111">
        <v>0</v>
      </c>
      <c r="F86" s="111">
        <v>64874.27</v>
      </c>
      <c r="G86" s="111">
        <v>326</v>
      </c>
      <c r="H86" s="111">
        <v>0</v>
      </c>
      <c r="I86" s="111">
        <v>326</v>
      </c>
      <c r="J86" s="111">
        <v>0</v>
      </c>
      <c r="K86" s="111">
        <v>0</v>
      </c>
      <c r="L86" s="111">
        <v>64548.27</v>
      </c>
    </row>
    <row r="87" spans="1:12" x14ac:dyDescent="0.25">
      <c r="A87" s="109" t="s">
        <v>366</v>
      </c>
      <c r="B87" s="110" t="s">
        <v>367</v>
      </c>
      <c r="C87" s="111">
        <v>0</v>
      </c>
      <c r="D87" s="111">
        <v>37226</v>
      </c>
      <c r="E87" s="111">
        <v>0</v>
      </c>
      <c r="F87" s="111">
        <v>25226</v>
      </c>
      <c r="G87" s="111">
        <v>6613</v>
      </c>
      <c r="H87" s="111">
        <v>0</v>
      </c>
      <c r="I87" s="111">
        <v>18613</v>
      </c>
      <c r="J87" s="111">
        <v>0</v>
      </c>
      <c r="K87" s="111">
        <v>0</v>
      </c>
      <c r="L87" s="111">
        <v>18613</v>
      </c>
    </row>
    <row r="88" spans="1:12" x14ac:dyDescent="0.25">
      <c r="A88" s="109" t="s">
        <v>368</v>
      </c>
      <c r="B88" s="110" t="s">
        <v>52</v>
      </c>
      <c r="C88" s="111">
        <v>0</v>
      </c>
      <c r="D88" s="111">
        <v>0</v>
      </c>
      <c r="E88" s="111">
        <v>0</v>
      </c>
      <c r="F88" s="111">
        <v>0</v>
      </c>
      <c r="G88" s="111">
        <v>150.6</v>
      </c>
      <c r="H88" s="111">
        <v>150.6</v>
      </c>
      <c r="I88" s="111">
        <v>591.77</v>
      </c>
      <c r="J88" s="111">
        <v>591.77</v>
      </c>
      <c r="K88" s="111">
        <v>0</v>
      </c>
      <c r="L88" s="111">
        <v>0</v>
      </c>
    </row>
    <row r="89" spans="1:12" x14ac:dyDescent="0.25">
      <c r="A89" s="109" t="s">
        <v>369</v>
      </c>
      <c r="B89" s="110" t="s">
        <v>370</v>
      </c>
      <c r="C89" s="111">
        <v>0</v>
      </c>
      <c r="D89" s="111">
        <v>553</v>
      </c>
      <c r="E89" s="111">
        <v>0</v>
      </c>
      <c r="F89" s="111">
        <v>1441.34</v>
      </c>
      <c r="G89" s="111">
        <v>1441.34</v>
      </c>
      <c r="H89" s="111">
        <v>732.52</v>
      </c>
      <c r="I89" s="111">
        <v>6449.15</v>
      </c>
      <c r="J89" s="111">
        <v>6628.67</v>
      </c>
      <c r="K89" s="111">
        <v>0</v>
      </c>
      <c r="L89" s="111">
        <v>732.52</v>
      </c>
    </row>
    <row r="90" spans="1:12" x14ac:dyDescent="0.25">
      <c r="A90" s="109" t="s">
        <v>371</v>
      </c>
      <c r="B90" s="110" t="s">
        <v>372</v>
      </c>
      <c r="C90" s="111">
        <v>0</v>
      </c>
      <c r="D90" s="111">
        <v>0</v>
      </c>
      <c r="E90" s="111">
        <v>7.04</v>
      </c>
      <c r="F90" s="111">
        <v>0</v>
      </c>
      <c r="G90" s="111">
        <v>10996.09</v>
      </c>
      <c r="H90" s="111">
        <v>11003.13</v>
      </c>
      <c r="I90" s="111">
        <v>254357.05</v>
      </c>
      <c r="J90" s="111">
        <v>254357.05</v>
      </c>
      <c r="K90" s="111">
        <v>0</v>
      </c>
      <c r="L90" s="111">
        <v>0</v>
      </c>
    </row>
    <row r="91" spans="1:12" x14ac:dyDescent="0.25">
      <c r="A91" s="109" t="s">
        <v>373</v>
      </c>
      <c r="B91" s="110" t="s">
        <v>374</v>
      </c>
      <c r="C91" s="111">
        <v>0</v>
      </c>
      <c r="D91" s="111">
        <v>109068</v>
      </c>
      <c r="E91" s="111">
        <v>0</v>
      </c>
      <c r="F91" s="111">
        <v>109068</v>
      </c>
      <c r="G91" s="111">
        <v>0</v>
      </c>
      <c r="H91" s="111">
        <v>0</v>
      </c>
      <c r="I91" s="111">
        <v>0</v>
      </c>
      <c r="J91" s="111">
        <v>0</v>
      </c>
      <c r="K91" s="111">
        <v>0</v>
      </c>
      <c r="L91" s="111">
        <v>109068</v>
      </c>
    </row>
    <row r="92" spans="1:12" x14ac:dyDescent="0.25">
      <c r="A92" s="109" t="s">
        <v>375</v>
      </c>
      <c r="B92" s="110" t="s">
        <v>376</v>
      </c>
      <c r="C92" s="111">
        <v>0</v>
      </c>
      <c r="D92" s="111">
        <v>10906.8</v>
      </c>
      <c r="E92" s="111">
        <v>0</v>
      </c>
      <c r="F92" s="111">
        <v>10906.8</v>
      </c>
      <c r="G92" s="111">
        <v>0</v>
      </c>
      <c r="H92" s="111">
        <v>0</v>
      </c>
      <c r="I92" s="111">
        <v>0</v>
      </c>
      <c r="J92" s="111">
        <v>0</v>
      </c>
      <c r="K92" s="111">
        <v>0</v>
      </c>
      <c r="L92" s="111">
        <v>10906.8</v>
      </c>
    </row>
    <row r="93" spans="1:12" x14ac:dyDescent="0.25">
      <c r="A93" s="109" t="s">
        <v>377</v>
      </c>
      <c r="B93" s="110" t="s">
        <v>378</v>
      </c>
      <c r="C93" s="111">
        <v>0</v>
      </c>
      <c r="D93" s="111">
        <v>6640.19</v>
      </c>
      <c r="E93" s="111">
        <v>0</v>
      </c>
      <c r="F93" s="111">
        <v>4368.45</v>
      </c>
      <c r="G93" s="111">
        <v>0</v>
      </c>
      <c r="H93" s="111">
        <v>0</v>
      </c>
      <c r="I93" s="111">
        <v>0</v>
      </c>
      <c r="J93" s="111">
        <v>-2271.7399999999998</v>
      </c>
      <c r="K93" s="111">
        <v>0</v>
      </c>
      <c r="L93" s="111">
        <v>4368.45</v>
      </c>
    </row>
    <row r="94" spans="1:12" x14ac:dyDescent="0.25">
      <c r="A94" s="109" t="s">
        <v>379</v>
      </c>
      <c r="B94" s="110" t="s">
        <v>380</v>
      </c>
      <c r="C94" s="111">
        <v>0</v>
      </c>
      <c r="D94" s="111">
        <v>55917.17</v>
      </c>
      <c r="E94" s="111">
        <v>0</v>
      </c>
      <c r="F94" s="111">
        <v>55917.17</v>
      </c>
      <c r="G94" s="111">
        <v>0</v>
      </c>
      <c r="H94" s="111">
        <v>0</v>
      </c>
      <c r="I94" s="111">
        <v>0</v>
      </c>
      <c r="J94" s="111">
        <v>0</v>
      </c>
      <c r="K94" s="111">
        <v>0</v>
      </c>
      <c r="L94" s="111">
        <v>55917.17</v>
      </c>
    </row>
    <row r="95" spans="1:12" x14ac:dyDescent="0.25">
      <c r="A95" s="109" t="s">
        <v>381</v>
      </c>
      <c r="B95" s="110" t="s">
        <v>382</v>
      </c>
      <c r="C95" s="111">
        <v>0</v>
      </c>
      <c r="D95" s="111">
        <v>30806.2</v>
      </c>
      <c r="E95" s="111">
        <v>0</v>
      </c>
      <c r="F95" s="111">
        <v>30806.2</v>
      </c>
      <c r="G95" s="111">
        <v>0</v>
      </c>
      <c r="H95" s="111">
        <v>0</v>
      </c>
      <c r="I95" s="111">
        <v>0</v>
      </c>
      <c r="J95" s="111">
        <v>0</v>
      </c>
      <c r="K95" s="111">
        <v>0</v>
      </c>
      <c r="L95" s="111">
        <v>30806.2</v>
      </c>
    </row>
    <row r="96" spans="1:12" x14ac:dyDescent="0.25">
      <c r="A96" s="109" t="s">
        <v>383</v>
      </c>
      <c r="B96" s="110" t="s">
        <v>384</v>
      </c>
      <c r="C96" s="111">
        <v>0</v>
      </c>
      <c r="D96" s="111">
        <v>37101.040000000001</v>
      </c>
      <c r="E96" s="111">
        <v>0</v>
      </c>
      <c r="F96" s="111">
        <v>37101.040000000001</v>
      </c>
      <c r="G96" s="111">
        <v>0</v>
      </c>
      <c r="H96" s="111">
        <v>0</v>
      </c>
      <c r="I96" s="111">
        <v>0</v>
      </c>
      <c r="J96" s="111">
        <v>0</v>
      </c>
      <c r="K96" s="111">
        <v>0</v>
      </c>
      <c r="L96" s="111">
        <v>37101.040000000001</v>
      </c>
    </row>
    <row r="97" spans="1:12" x14ac:dyDescent="0.25">
      <c r="A97" s="109" t="s">
        <v>385</v>
      </c>
      <c r="B97" s="110" t="s">
        <v>386</v>
      </c>
      <c r="C97" s="111">
        <v>0</v>
      </c>
      <c r="D97" s="111">
        <v>26492.7</v>
      </c>
      <c r="E97" s="111">
        <v>0</v>
      </c>
      <c r="F97" s="111">
        <v>26492.7</v>
      </c>
      <c r="G97" s="111">
        <v>0</v>
      </c>
      <c r="H97" s="111">
        <v>0</v>
      </c>
      <c r="I97" s="111">
        <v>0</v>
      </c>
      <c r="J97" s="111">
        <v>0</v>
      </c>
      <c r="K97" s="111">
        <v>0</v>
      </c>
      <c r="L97" s="111">
        <v>26492.7</v>
      </c>
    </row>
    <row r="98" spans="1:12" x14ac:dyDescent="0.25">
      <c r="A98" s="109" t="s">
        <v>387</v>
      </c>
      <c r="B98" s="110" t="s">
        <v>388</v>
      </c>
      <c r="C98" s="111">
        <v>0</v>
      </c>
      <c r="D98" s="111">
        <v>24599.03</v>
      </c>
      <c r="E98" s="111">
        <v>0</v>
      </c>
      <c r="F98" s="111">
        <v>24599.03</v>
      </c>
      <c r="G98" s="111">
        <v>0</v>
      </c>
      <c r="H98" s="111">
        <v>0</v>
      </c>
      <c r="I98" s="111">
        <v>0</v>
      </c>
      <c r="J98" s="111">
        <v>0</v>
      </c>
      <c r="K98" s="111">
        <v>0</v>
      </c>
      <c r="L98" s="111">
        <v>24599.03</v>
      </c>
    </row>
    <row r="99" spans="1:12" x14ac:dyDescent="0.25">
      <c r="A99" s="109" t="s">
        <v>389</v>
      </c>
      <c r="B99" s="110" t="s">
        <v>390</v>
      </c>
      <c r="C99" s="111">
        <v>0</v>
      </c>
      <c r="D99" s="111">
        <v>31305.439999999999</v>
      </c>
      <c r="E99" s="111">
        <v>0</v>
      </c>
      <c r="F99" s="111">
        <v>31305.439999999999</v>
      </c>
      <c r="G99" s="111">
        <v>0</v>
      </c>
      <c r="H99" s="111">
        <v>0</v>
      </c>
      <c r="I99" s="111">
        <v>0</v>
      </c>
      <c r="J99" s="111">
        <v>0</v>
      </c>
      <c r="K99" s="111">
        <v>0</v>
      </c>
      <c r="L99" s="111">
        <v>31305.439999999999</v>
      </c>
    </row>
    <row r="100" spans="1:12" x14ac:dyDescent="0.25">
      <c r="A100" s="109" t="s">
        <v>391</v>
      </c>
      <c r="B100" s="110" t="s">
        <v>392</v>
      </c>
      <c r="C100" s="111">
        <v>2271.7399999999998</v>
      </c>
      <c r="D100" s="111">
        <v>0</v>
      </c>
      <c r="E100" s="111">
        <v>0</v>
      </c>
      <c r="F100" s="111">
        <v>0</v>
      </c>
      <c r="G100" s="111">
        <v>0</v>
      </c>
      <c r="H100" s="111">
        <v>0</v>
      </c>
      <c r="I100" s="111">
        <v>-2271.7399999999998</v>
      </c>
      <c r="J100" s="111">
        <v>0</v>
      </c>
      <c r="K100" s="111">
        <v>0</v>
      </c>
      <c r="L100" s="111">
        <v>0</v>
      </c>
    </row>
    <row r="101" spans="1:12" x14ac:dyDescent="0.25">
      <c r="A101" s="109" t="s">
        <v>393</v>
      </c>
      <c r="B101" s="110" t="s">
        <v>394</v>
      </c>
      <c r="C101" s="111">
        <v>-221775</v>
      </c>
      <c r="D101" s="111">
        <v>0</v>
      </c>
      <c r="E101" s="111">
        <v>-96410</v>
      </c>
      <c r="F101" s="111">
        <v>0</v>
      </c>
      <c r="G101" s="111">
        <v>3215</v>
      </c>
      <c r="H101" s="111">
        <v>0</v>
      </c>
      <c r="I101" s="111">
        <v>128580</v>
      </c>
      <c r="J101" s="111">
        <v>0</v>
      </c>
      <c r="K101" s="111">
        <v>-93195</v>
      </c>
      <c r="L101" s="111">
        <v>0</v>
      </c>
    </row>
    <row r="102" spans="1:12" x14ac:dyDescent="0.25">
      <c r="A102" s="109" t="s">
        <v>395</v>
      </c>
      <c r="B102" s="110" t="s">
        <v>396</v>
      </c>
      <c r="C102" s="111">
        <v>0</v>
      </c>
      <c r="D102" s="111">
        <v>1641.36</v>
      </c>
      <c r="E102" s="111">
        <v>0</v>
      </c>
      <c r="F102" s="111">
        <v>1007.46</v>
      </c>
      <c r="G102" s="111">
        <v>81.599999999999994</v>
      </c>
      <c r="H102" s="111">
        <v>41.17</v>
      </c>
      <c r="I102" s="111">
        <v>1246.6099999999999</v>
      </c>
      <c r="J102" s="111">
        <v>572.28</v>
      </c>
      <c r="K102" s="111">
        <v>0</v>
      </c>
      <c r="L102" s="111">
        <v>967.03</v>
      </c>
    </row>
    <row r="103" spans="1:12" x14ac:dyDescent="0.25">
      <c r="A103" s="109" t="s">
        <v>397</v>
      </c>
      <c r="B103" s="110" t="s">
        <v>398</v>
      </c>
      <c r="C103" s="111">
        <v>0</v>
      </c>
      <c r="D103" s="111">
        <v>0</v>
      </c>
      <c r="E103" s="111">
        <v>0</v>
      </c>
      <c r="F103" s="111">
        <v>0</v>
      </c>
      <c r="G103" s="111">
        <v>818.22</v>
      </c>
      <c r="H103" s="111">
        <v>818.22</v>
      </c>
      <c r="I103" s="111">
        <v>818.22</v>
      </c>
      <c r="J103" s="111">
        <v>818.22</v>
      </c>
      <c r="K103" s="111">
        <v>0</v>
      </c>
      <c r="L103" s="111">
        <v>0</v>
      </c>
    </row>
    <row r="104" spans="1:12" x14ac:dyDescent="0.25">
      <c r="A104" s="109" t="s">
        <v>399</v>
      </c>
      <c r="B104" s="110" t="s">
        <v>400</v>
      </c>
      <c r="C104" s="111">
        <v>0</v>
      </c>
      <c r="D104" s="111">
        <v>0</v>
      </c>
      <c r="E104" s="111">
        <v>0</v>
      </c>
      <c r="F104" s="111">
        <v>0</v>
      </c>
      <c r="G104" s="111">
        <v>239</v>
      </c>
      <c r="H104" s="111">
        <v>743</v>
      </c>
      <c r="I104" s="111">
        <v>239</v>
      </c>
      <c r="J104" s="111">
        <v>743</v>
      </c>
      <c r="K104" s="111">
        <v>0</v>
      </c>
      <c r="L104" s="111">
        <v>504</v>
      </c>
    </row>
    <row r="105" spans="1:12" x14ac:dyDescent="0.25">
      <c r="A105" s="109" t="s">
        <v>401</v>
      </c>
      <c r="B105" s="110" t="s">
        <v>402</v>
      </c>
      <c r="C105" s="111">
        <v>0</v>
      </c>
      <c r="D105" s="111">
        <v>0</v>
      </c>
      <c r="E105" s="111">
        <v>0</v>
      </c>
      <c r="F105" s="111">
        <v>501.84</v>
      </c>
      <c r="G105" s="111">
        <v>20.91</v>
      </c>
      <c r="H105" s="111">
        <v>0</v>
      </c>
      <c r="I105" s="111">
        <v>22.07</v>
      </c>
      <c r="J105" s="111">
        <v>503</v>
      </c>
      <c r="K105" s="111">
        <v>0</v>
      </c>
      <c r="L105" s="111">
        <v>480.93</v>
      </c>
    </row>
    <row r="106" spans="1:12" x14ac:dyDescent="0.25">
      <c r="A106" s="109" t="s">
        <v>403</v>
      </c>
      <c r="B106" s="110" t="s">
        <v>404</v>
      </c>
      <c r="C106" s="111">
        <v>0</v>
      </c>
      <c r="D106" s="111">
        <v>11199.74</v>
      </c>
      <c r="E106" s="111">
        <v>0</v>
      </c>
      <c r="F106" s="111">
        <v>4394.26</v>
      </c>
      <c r="G106" s="111">
        <v>631.82000000000005</v>
      </c>
      <c r="H106" s="111">
        <v>7.11</v>
      </c>
      <c r="I106" s="111">
        <v>7581.84</v>
      </c>
      <c r="J106" s="111">
        <v>151.65</v>
      </c>
      <c r="K106" s="111">
        <v>0</v>
      </c>
      <c r="L106" s="111">
        <v>3769.55</v>
      </c>
    </row>
    <row r="107" spans="1:12" x14ac:dyDescent="0.25">
      <c r="A107" s="109" t="s">
        <v>405</v>
      </c>
      <c r="B107" s="110" t="s">
        <v>406</v>
      </c>
      <c r="C107" s="111">
        <v>0</v>
      </c>
      <c r="D107" s="111">
        <v>0</v>
      </c>
      <c r="E107" s="111">
        <v>522.24</v>
      </c>
      <c r="F107" s="111">
        <v>0</v>
      </c>
      <c r="G107" s="111">
        <v>220.42</v>
      </c>
      <c r="H107" s="111">
        <v>0</v>
      </c>
      <c r="I107" s="111">
        <v>742.66</v>
      </c>
      <c r="J107" s="111">
        <v>0</v>
      </c>
      <c r="K107" s="111">
        <v>742.66</v>
      </c>
      <c r="L107" s="111">
        <v>0</v>
      </c>
    </row>
    <row r="108" spans="1:12" x14ac:dyDescent="0.25">
      <c r="A108" s="109" t="s">
        <v>407</v>
      </c>
      <c r="B108" s="110" t="s">
        <v>408</v>
      </c>
      <c r="C108" s="111">
        <v>0</v>
      </c>
      <c r="D108" s="111">
        <v>0</v>
      </c>
      <c r="E108" s="111">
        <v>150.80000000000001</v>
      </c>
      <c r="F108" s="111">
        <v>0</v>
      </c>
      <c r="G108" s="111">
        <v>1129.48</v>
      </c>
      <c r="H108" s="111">
        <v>0</v>
      </c>
      <c r="I108" s="111">
        <v>1280.28</v>
      </c>
      <c r="J108" s="111">
        <v>0</v>
      </c>
      <c r="K108" s="111">
        <v>1280.28</v>
      </c>
      <c r="L108" s="111">
        <v>0</v>
      </c>
    </row>
    <row r="109" spans="1:12" x14ac:dyDescent="0.25">
      <c r="A109" s="109" t="s">
        <v>409</v>
      </c>
      <c r="B109" s="110" t="s">
        <v>410</v>
      </c>
      <c r="C109" s="111">
        <v>0</v>
      </c>
      <c r="D109" s="111">
        <v>0</v>
      </c>
      <c r="E109" s="111">
        <v>454.9</v>
      </c>
      <c r="F109" s="111">
        <v>0</v>
      </c>
      <c r="G109" s="111">
        <v>1355.56</v>
      </c>
      <c r="H109" s="111">
        <v>0</v>
      </c>
      <c r="I109" s="111">
        <v>1810.46</v>
      </c>
      <c r="J109" s="111">
        <v>0</v>
      </c>
      <c r="K109" s="111">
        <v>1810.46</v>
      </c>
      <c r="L109" s="111">
        <v>0</v>
      </c>
    </row>
    <row r="110" spans="1:12" x14ac:dyDescent="0.25">
      <c r="A110" s="109" t="s">
        <v>411</v>
      </c>
      <c r="B110" s="110" t="s">
        <v>412</v>
      </c>
      <c r="C110" s="111">
        <v>0</v>
      </c>
      <c r="D110" s="111">
        <v>0</v>
      </c>
      <c r="E110" s="111">
        <v>340.62</v>
      </c>
      <c r="F110" s="111">
        <v>0</v>
      </c>
      <c r="G110" s="111">
        <v>35.020000000000003</v>
      </c>
      <c r="H110" s="111">
        <v>12.6</v>
      </c>
      <c r="I110" s="111">
        <v>375.64</v>
      </c>
      <c r="J110" s="111">
        <v>12.6</v>
      </c>
      <c r="K110" s="111">
        <v>363.04</v>
      </c>
      <c r="L110" s="111">
        <v>0</v>
      </c>
    </row>
    <row r="111" spans="1:12" x14ac:dyDescent="0.25">
      <c r="A111" s="109" t="s">
        <v>413</v>
      </c>
      <c r="B111" s="110" t="s">
        <v>414</v>
      </c>
      <c r="C111" s="111">
        <v>0</v>
      </c>
      <c r="D111" s="111">
        <v>0</v>
      </c>
      <c r="E111" s="111">
        <v>1929.32</v>
      </c>
      <c r="F111" s="111">
        <v>0</v>
      </c>
      <c r="G111" s="111">
        <v>200.98</v>
      </c>
      <c r="H111" s="111">
        <v>34.4</v>
      </c>
      <c r="I111" s="111">
        <v>2130.3000000000002</v>
      </c>
      <c r="J111" s="111">
        <v>34.4</v>
      </c>
      <c r="K111" s="111">
        <v>2095.9</v>
      </c>
      <c r="L111" s="111">
        <v>0</v>
      </c>
    </row>
    <row r="112" spans="1:12" x14ac:dyDescent="0.25">
      <c r="A112" s="109" t="s">
        <v>415</v>
      </c>
      <c r="B112" s="110" t="s">
        <v>416</v>
      </c>
      <c r="C112" s="111">
        <v>0</v>
      </c>
      <c r="D112" s="111">
        <v>0</v>
      </c>
      <c r="E112" s="111">
        <v>1545.17</v>
      </c>
      <c r="F112" s="111">
        <v>0</v>
      </c>
      <c r="G112" s="111">
        <v>108.77</v>
      </c>
      <c r="H112" s="111">
        <v>30.6</v>
      </c>
      <c r="I112" s="111">
        <v>1653.94</v>
      </c>
      <c r="J112" s="111">
        <v>30.6</v>
      </c>
      <c r="K112" s="111">
        <v>1623.34</v>
      </c>
      <c r="L112" s="111">
        <v>0</v>
      </c>
    </row>
    <row r="113" spans="1:12" x14ac:dyDescent="0.25">
      <c r="A113" s="109" t="s">
        <v>417</v>
      </c>
      <c r="B113" s="110" t="s">
        <v>418</v>
      </c>
      <c r="C113" s="111">
        <v>0</v>
      </c>
      <c r="D113" s="111">
        <v>0</v>
      </c>
      <c r="E113" s="111">
        <v>71.3</v>
      </c>
      <c r="F113" s="111">
        <v>0</v>
      </c>
      <c r="G113" s="111">
        <v>59</v>
      </c>
      <c r="H113" s="111">
        <v>0</v>
      </c>
      <c r="I113" s="111">
        <v>130.30000000000001</v>
      </c>
      <c r="J113" s="111">
        <v>0</v>
      </c>
      <c r="K113" s="111">
        <v>130.30000000000001</v>
      </c>
      <c r="L113" s="111">
        <v>0</v>
      </c>
    </row>
    <row r="114" spans="1:12" x14ac:dyDescent="0.25">
      <c r="A114" s="109" t="s">
        <v>419</v>
      </c>
      <c r="B114" s="110" t="s">
        <v>420</v>
      </c>
      <c r="C114" s="111">
        <v>0</v>
      </c>
      <c r="D114" s="111">
        <v>0</v>
      </c>
      <c r="E114" s="111">
        <v>112.85</v>
      </c>
      <c r="F114" s="111">
        <v>0</v>
      </c>
      <c r="G114" s="111">
        <v>0</v>
      </c>
      <c r="H114" s="111">
        <v>0</v>
      </c>
      <c r="I114" s="111">
        <v>112.85</v>
      </c>
      <c r="J114" s="111">
        <v>0</v>
      </c>
      <c r="K114" s="111">
        <v>112.85</v>
      </c>
      <c r="L114" s="111">
        <v>0</v>
      </c>
    </row>
    <row r="115" spans="1:12" x14ac:dyDescent="0.25">
      <c r="A115" s="109" t="s">
        <v>421</v>
      </c>
      <c r="B115" s="110" t="s">
        <v>422</v>
      </c>
      <c r="C115" s="111">
        <v>0</v>
      </c>
      <c r="D115" s="111">
        <v>0</v>
      </c>
      <c r="E115" s="111">
        <v>493.93</v>
      </c>
      <c r="F115" s="111">
        <v>0</v>
      </c>
      <c r="G115" s="111">
        <v>0</v>
      </c>
      <c r="H115" s="111">
        <v>0</v>
      </c>
      <c r="I115" s="111">
        <v>493.93</v>
      </c>
      <c r="J115" s="111">
        <v>0</v>
      </c>
      <c r="K115" s="111">
        <v>493.93</v>
      </c>
      <c r="L115" s="111">
        <v>0</v>
      </c>
    </row>
    <row r="116" spans="1:12" x14ac:dyDescent="0.25">
      <c r="A116" s="109" t="s">
        <v>423</v>
      </c>
      <c r="B116" s="110" t="s">
        <v>424</v>
      </c>
      <c r="C116" s="111">
        <v>0</v>
      </c>
      <c r="D116" s="111">
        <v>0</v>
      </c>
      <c r="E116" s="111">
        <v>1869.04</v>
      </c>
      <c r="F116" s="111">
        <v>0</v>
      </c>
      <c r="G116" s="111">
        <v>0</v>
      </c>
      <c r="H116" s="111">
        <v>0</v>
      </c>
      <c r="I116" s="111">
        <v>1869.04</v>
      </c>
      <c r="J116" s="111">
        <v>0</v>
      </c>
      <c r="K116" s="111">
        <v>1869.04</v>
      </c>
      <c r="L116" s="111">
        <v>0</v>
      </c>
    </row>
    <row r="117" spans="1:12" x14ac:dyDescent="0.25">
      <c r="A117" s="109" t="s">
        <v>425</v>
      </c>
      <c r="B117" s="110" t="s">
        <v>426</v>
      </c>
      <c r="C117" s="111">
        <v>0</v>
      </c>
      <c r="D117" s="111">
        <v>0</v>
      </c>
      <c r="E117" s="111">
        <v>674.02</v>
      </c>
      <c r="F117" s="111">
        <v>0</v>
      </c>
      <c r="G117" s="111">
        <v>250.8</v>
      </c>
      <c r="H117" s="111">
        <v>0</v>
      </c>
      <c r="I117" s="111">
        <v>924.82</v>
      </c>
      <c r="J117" s="111">
        <v>0</v>
      </c>
      <c r="K117" s="111">
        <v>924.82</v>
      </c>
      <c r="L117" s="111">
        <v>0</v>
      </c>
    </row>
    <row r="118" spans="1:12" x14ac:dyDescent="0.25">
      <c r="A118" s="109" t="s">
        <v>427</v>
      </c>
      <c r="B118" s="110" t="s">
        <v>428</v>
      </c>
      <c r="C118" s="111">
        <v>0</v>
      </c>
      <c r="D118" s="111">
        <v>0</v>
      </c>
      <c r="E118" s="111">
        <v>337.86</v>
      </c>
      <c r="F118" s="111">
        <v>0</v>
      </c>
      <c r="G118" s="111">
        <v>26.37</v>
      </c>
      <c r="H118" s="111">
        <v>0</v>
      </c>
      <c r="I118" s="111">
        <v>364.23</v>
      </c>
      <c r="J118" s="111">
        <v>0</v>
      </c>
      <c r="K118" s="111">
        <v>364.23</v>
      </c>
      <c r="L118" s="111">
        <v>0</v>
      </c>
    </row>
    <row r="119" spans="1:12" x14ac:dyDescent="0.25">
      <c r="A119" s="109" t="s">
        <v>429</v>
      </c>
      <c r="B119" s="110" t="s">
        <v>430</v>
      </c>
      <c r="C119" s="111">
        <v>0</v>
      </c>
      <c r="D119" s="111">
        <v>0</v>
      </c>
      <c r="E119" s="111">
        <v>83.33</v>
      </c>
      <c r="F119" s="111">
        <v>0</v>
      </c>
      <c r="G119" s="111">
        <v>0</v>
      </c>
      <c r="H119" s="111">
        <v>0</v>
      </c>
      <c r="I119" s="111">
        <v>83.33</v>
      </c>
      <c r="J119" s="111">
        <v>0</v>
      </c>
      <c r="K119" s="111">
        <v>83.33</v>
      </c>
      <c r="L119" s="111">
        <v>0</v>
      </c>
    </row>
    <row r="120" spans="1:12" x14ac:dyDescent="0.25">
      <c r="A120" s="109" t="s">
        <v>431</v>
      </c>
      <c r="B120" s="110" t="s">
        <v>432</v>
      </c>
      <c r="C120" s="111">
        <v>0</v>
      </c>
      <c r="D120" s="111">
        <v>0</v>
      </c>
      <c r="E120" s="111">
        <v>507.68</v>
      </c>
      <c r="F120" s="111">
        <v>0</v>
      </c>
      <c r="G120" s="111">
        <v>4.45</v>
      </c>
      <c r="H120" s="111">
        <v>0</v>
      </c>
      <c r="I120" s="111">
        <v>512.13</v>
      </c>
      <c r="J120" s="111">
        <v>0</v>
      </c>
      <c r="K120" s="111">
        <v>512.13</v>
      </c>
      <c r="L120" s="111">
        <v>0</v>
      </c>
    </row>
    <row r="121" spans="1:12" x14ac:dyDescent="0.25">
      <c r="A121" s="109" t="s">
        <v>433</v>
      </c>
      <c r="B121" s="110" t="s">
        <v>434</v>
      </c>
      <c r="C121" s="111">
        <v>0</v>
      </c>
      <c r="D121" s="111">
        <v>0</v>
      </c>
      <c r="E121" s="111">
        <v>1721.88</v>
      </c>
      <c r="F121" s="111">
        <v>0</v>
      </c>
      <c r="G121" s="111">
        <v>-15.14</v>
      </c>
      <c r="H121" s="111">
        <v>0</v>
      </c>
      <c r="I121" s="111">
        <v>1706.74</v>
      </c>
      <c r="J121" s="111">
        <v>0</v>
      </c>
      <c r="K121" s="111">
        <v>1706.74</v>
      </c>
      <c r="L121" s="111">
        <v>0</v>
      </c>
    </row>
    <row r="122" spans="1:12" x14ac:dyDescent="0.25">
      <c r="A122" s="109" t="s">
        <v>435</v>
      </c>
      <c r="B122" s="110" t="s">
        <v>436</v>
      </c>
      <c r="C122" s="111">
        <v>0</v>
      </c>
      <c r="D122" s="111">
        <v>0</v>
      </c>
      <c r="E122" s="111">
        <v>315.57</v>
      </c>
      <c r="F122" s="111">
        <v>0</v>
      </c>
      <c r="G122" s="111">
        <v>0</v>
      </c>
      <c r="H122" s="111">
        <v>0</v>
      </c>
      <c r="I122" s="111">
        <v>315.57</v>
      </c>
      <c r="J122" s="111">
        <v>0</v>
      </c>
      <c r="K122" s="111">
        <v>315.57</v>
      </c>
      <c r="L122" s="111">
        <v>0</v>
      </c>
    </row>
    <row r="123" spans="1:12" x14ac:dyDescent="0.25">
      <c r="A123" s="109" t="s">
        <v>437</v>
      </c>
      <c r="B123" s="110" t="s">
        <v>438</v>
      </c>
      <c r="C123" s="111">
        <v>0</v>
      </c>
      <c r="D123" s="111">
        <v>0</v>
      </c>
      <c r="E123" s="111">
        <v>732.16</v>
      </c>
      <c r="F123" s="111">
        <v>0</v>
      </c>
      <c r="G123" s="111">
        <v>1689.6</v>
      </c>
      <c r="H123" s="111">
        <v>0</v>
      </c>
      <c r="I123" s="111">
        <v>2421.7600000000002</v>
      </c>
      <c r="J123" s="111">
        <v>0</v>
      </c>
      <c r="K123" s="111">
        <v>2421.7600000000002</v>
      </c>
      <c r="L123" s="111">
        <v>0</v>
      </c>
    </row>
    <row r="124" spans="1:12" x14ac:dyDescent="0.25">
      <c r="A124" s="109" t="s">
        <v>439</v>
      </c>
      <c r="B124" s="110" t="s">
        <v>440</v>
      </c>
      <c r="C124" s="111">
        <v>0</v>
      </c>
      <c r="D124" s="111">
        <v>0</v>
      </c>
      <c r="E124" s="111">
        <v>240</v>
      </c>
      <c r="F124" s="111">
        <v>0</v>
      </c>
      <c r="G124" s="111">
        <v>0</v>
      </c>
      <c r="H124" s="111">
        <v>0</v>
      </c>
      <c r="I124" s="111">
        <v>240</v>
      </c>
      <c r="J124" s="111">
        <v>0</v>
      </c>
      <c r="K124" s="111">
        <v>240</v>
      </c>
      <c r="L124" s="111">
        <v>0</v>
      </c>
    </row>
    <row r="125" spans="1:12" x14ac:dyDescent="0.25">
      <c r="A125" s="112" t="s">
        <v>441</v>
      </c>
      <c r="B125" s="113" t="s">
        <v>442</v>
      </c>
      <c r="C125" s="114">
        <v>0</v>
      </c>
      <c r="D125" s="114">
        <v>0</v>
      </c>
      <c r="E125" s="114">
        <v>1743.13</v>
      </c>
      <c r="F125" s="114">
        <v>0</v>
      </c>
      <c r="G125" s="114">
        <v>438.86</v>
      </c>
      <c r="H125" s="114">
        <v>0</v>
      </c>
      <c r="I125" s="114">
        <v>2181.9899999999998</v>
      </c>
      <c r="J125" s="114">
        <v>0</v>
      </c>
      <c r="K125" s="114">
        <v>2181.9899999999998</v>
      </c>
      <c r="L125" s="114">
        <v>0</v>
      </c>
    </row>
    <row r="126" spans="1:12" x14ac:dyDescent="0.25">
      <c r="A126" s="112" t="s">
        <v>443</v>
      </c>
      <c r="B126" s="113" t="s">
        <v>444</v>
      </c>
      <c r="C126" s="114">
        <v>0</v>
      </c>
      <c r="D126" s="114">
        <v>0</v>
      </c>
      <c r="E126" s="114">
        <v>441250.45</v>
      </c>
      <c r="F126" s="114">
        <v>0</v>
      </c>
      <c r="G126" s="114">
        <v>37700.879999999997</v>
      </c>
      <c r="H126" s="114">
        <v>0</v>
      </c>
      <c r="I126" s="114">
        <v>478951.33</v>
      </c>
      <c r="J126" s="114">
        <v>0</v>
      </c>
      <c r="K126" s="114">
        <v>478951.33</v>
      </c>
      <c r="L126" s="114">
        <v>0</v>
      </c>
    </row>
    <row r="127" spans="1:12" x14ac:dyDescent="0.25">
      <c r="A127" s="112" t="s">
        <v>445</v>
      </c>
      <c r="B127" s="113" t="s">
        <v>446</v>
      </c>
      <c r="C127" s="114">
        <v>0</v>
      </c>
      <c r="D127" s="114">
        <v>0</v>
      </c>
      <c r="E127" s="114">
        <v>1879.96</v>
      </c>
      <c r="F127" s="114">
        <v>0</v>
      </c>
      <c r="G127" s="114">
        <v>548</v>
      </c>
      <c r="H127" s="114">
        <v>0</v>
      </c>
      <c r="I127" s="114">
        <v>2427.96</v>
      </c>
      <c r="J127" s="114">
        <v>0</v>
      </c>
      <c r="K127" s="114">
        <v>2427.96</v>
      </c>
      <c r="L127" s="114">
        <v>0</v>
      </c>
    </row>
    <row r="128" spans="1:12" x14ac:dyDescent="0.25">
      <c r="A128" s="112" t="s">
        <v>447</v>
      </c>
      <c r="B128" s="113" t="s">
        <v>448</v>
      </c>
      <c r="C128" s="114">
        <v>0</v>
      </c>
      <c r="D128" s="114">
        <v>0</v>
      </c>
      <c r="E128" s="114">
        <v>0</v>
      </c>
      <c r="F128" s="114">
        <v>0</v>
      </c>
      <c r="G128" s="114">
        <v>1000</v>
      </c>
      <c r="H128" s="114">
        <v>0</v>
      </c>
      <c r="I128" s="114">
        <v>1000</v>
      </c>
      <c r="J128" s="114">
        <v>0</v>
      </c>
      <c r="K128" s="114">
        <v>1000</v>
      </c>
      <c r="L128" s="114">
        <v>0</v>
      </c>
    </row>
    <row r="129" spans="1:12" x14ac:dyDescent="0.25">
      <c r="A129" s="112" t="s">
        <v>449</v>
      </c>
      <c r="B129" s="113" t="s">
        <v>450</v>
      </c>
      <c r="C129" s="114">
        <v>0</v>
      </c>
      <c r="D129" s="114">
        <v>0</v>
      </c>
      <c r="E129" s="114">
        <v>3588.49</v>
      </c>
      <c r="F129" s="114">
        <v>0</v>
      </c>
      <c r="G129" s="114">
        <v>314.64</v>
      </c>
      <c r="H129" s="114">
        <v>0</v>
      </c>
      <c r="I129" s="114">
        <v>3903.13</v>
      </c>
      <c r="J129" s="114">
        <v>0</v>
      </c>
      <c r="K129" s="114">
        <v>3903.13</v>
      </c>
      <c r="L129" s="114">
        <v>0</v>
      </c>
    </row>
    <row r="130" spans="1:12" x14ac:dyDescent="0.25">
      <c r="A130" s="112" t="s">
        <v>451</v>
      </c>
      <c r="B130" s="113" t="s">
        <v>452</v>
      </c>
      <c r="C130" s="114">
        <v>0</v>
      </c>
      <c r="D130" s="114">
        <v>0</v>
      </c>
      <c r="E130" s="114">
        <v>12</v>
      </c>
      <c r="F130" s="114">
        <v>0</v>
      </c>
      <c r="G130" s="114">
        <v>0</v>
      </c>
      <c r="H130" s="114">
        <v>0</v>
      </c>
      <c r="I130" s="114">
        <v>12</v>
      </c>
      <c r="J130" s="114">
        <v>0</v>
      </c>
      <c r="K130" s="114">
        <v>12</v>
      </c>
      <c r="L130" s="114">
        <v>0</v>
      </c>
    </row>
    <row r="131" spans="1:12" x14ac:dyDescent="0.25">
      <c r="A131" s="112" t="s">
        <v>453</v>
      </c>
      <c r="B131" s="113" t="s">
        <v>454</v>
      </c>
      <c r="C131" s="114">
        <v>0</v>
      </c>
      <c r="D131" s="114">
        <v>0</v>
      </c>
      <c r="E131" s="114">
        <v>150.13</v>
      </c>
      <c r="F131" s="114">
        <v>0</v>
      </c>
      <c r="G131" s="114">
        <v>38.97</v>
      </c>
      <c r="H131" s="114">
        <v>0</v>
      </c>
      <c r="I131" s="114">
        <v>189.1</v>
      </c>
      <c r="J131" s="114">
        <v>0</v>
      </c>
      <c r="K131" s="114">
        <v>189.1</v>
      </c>
      <c r="L131" s="114">
        <v>0</v>
      </c>
    </row>
    <row r="132" spans="1:12" x14ac:dyDescent="0.25">
      <c r="A132" s="112" t="s">
        <v>455</v>
      </c>
      <c r="B132" s="113" t="s">
        <v>456</v>
      </c>
      <c r="C132" s="114">
        <v>0</v>
      </c>
      <c r="D132" s="114">
        <v>0</v>
      </c>
      <c r="E132" s="114">
        <v>1443.92</v>
      </c>
      <c r="F132" s="114">
        <v>0</v>
      </c>
      <c r="G132" s="114">
        <v>0</v>
      </c>
      <c r="H132" s="114">
        <v>0</v>
      </c>
      <c r="I132" s="114">
        <v>1443.92</v>
      </c>
      <c r="J132" s="114">
        <v>0</v>
      </c>
      <c r="K132" s="114">
        <v>1443.92</v>
      </c>
      <c r="L132" s="114">
        <v>0</v>
      </c>
    </row>
    <row r="133" spans="1:12" x14ac:dyDescent="0.25">
      <c r="A133" s="112" t="s">
        <v>457</v>
      </c>
      <c r="B133" s="113" t="s">
        <v>458</v>
      </c>
      <c r="C133" s="114">
        <v>0</v>
      </c>
      <c r="D133" s="114">
        <v>0</v>
      </c>
      <c r="E133" s="114">
        <v>7470.94</v>
      </c>
      <c r="F133" s="114">
        <v>0</v>
      </c>
      <c r="G133" s="114">
        <v>130</v>
      </c>
      <c r="H133" s="114">
        <v>0</v>
      </c>
      <c r="I133" s="114">
        <v>7600.94</v>
      </c>
      <c r="J133" s="114">
        <v>0</v>
      </c>
      <c r="K133" s="114">
        <v>7600.94</v>
      </c>
      <c r="L133" s="114">
        <v>0</v>
      </c>
    </row>
    <row r="134" spans="1:12" x14ac:dyDescent="0.25">
      <c r="A134" s="112" t="s">
        <v>459</v>
      </c>
      <c r="B134" s="113" t="s">
        <v>460</v>
      </c>
      <c r="C134" s="114">
        <v>0</v>
      </c>
      <c r="D134" s="114">
        <v>0</v>
      </c>
      <c r="E134" s="114">
        <v>541.73</v>
      </c>
      <c r="F134" s="114">
        <v>0</v>
      </c>
      <c r="G134" s="114">
        <v>0</v>
      </c>
      <c r="H134" s="114">
        <v>0</v>
      </c>
      <c r="I134" s="114">
        <v>541.73</v>
      </c>
      <c r="J134" s="114">
        <v>0</v>
      </c>
      <c r="K134" s="114">
        <v>541.73</v>
      </c>
      <c r="L134" s="114">
        <v>0</v>
      </c>
    </row>
    <row r="135" spans="1:12" x14ac:dyDescent="0.25">
      <c r="A135" s="112" t="s">
        <v>461</v>
      </c>
      <c r="B135" s="113" t="s">
        <v>462</v>
      </c>
      <c r="C135" s="114">
        <v>0</v>
      </c>
      <c r="D135" s="114">
        <v>0</v>
      </c>
      <c r="E135" s="114">
        <v>0</v>
      </c>
      <c r="F135" s="114">
        <v>0</v>
      </c>
      <c r="G135" s="114">
        <v>818.22</v>
      </c>
      <c r="H135" s="114">
        <v>0</v>
      </c>
      <c r="I135" s="114">
        <v>818.22</v>
      </c>
      <c r="J135" s="114">
        <v>0</v>
      </c>
      <c r="K135" s="114">
        <v>818.22</v>
      </c>
      <c r="L135" s="114">
        <v>0</v>
      </c>
    </row>
    <row r="136" spans="1:12" x14ac:dyDescent="0.25">
      <c r="A136" s="112" t="s">
        <v>463</v>
      </c>
      <c r="B136" s="113" t="s">
        <v>464</v>
      </c>
      <c r="C136" s="114">
        <v>0</v>
      </c>
      <c r="D136" s="114">
        <v>0</v>
      </c>
      <c r="E136" s="114">
        <v>365.3</v>
      </c>
      <c r="F136" s="114">
        <v>0</v>
      </c>
      <c r="G136" s="114">
        <v>0</v>
      </c>
      <c r="H136" s="114">
        <v>0</v>
      </c>
      <c r="I136" s="114">
        <v>365.3</v>
      </c>
      <c r="J136" s="114">
        <v>0</v>
      </c>
      <c r="K136" s="114">
        <v>365.3</v>
      </c>
      <c r="L136" s="114">
        <v>0</v>
      </c>
    </row>
    <row r="137" spans="1:12" x14ac:dyDescent="0.25">
      <c r="A137" s="112" t="s">
        <v>465</v>
      </c>
      <c r="B137" s="113" t="s">
        <v>466</v>
      </c>
      <c r="C137" s="114">
        <v>0</v>
      </c>
      <c r="D137" s="114">
        <v>0</v>
      </c>
      <c r="E137" s="114">
        <v>15663.28</v>
      </c>
      <c r="F137" s="114">
        <v>0</v>
      </c>
      <c r="G137" s="114">
        <v>1250</v>
      </c>
      <c r="H137" s="114">
        <v>0</v>
      </c>
      <c r="I137" s="114">
        <v>16913.28</v>
      </c>
      <c r="J137" s="114">
        <v>0</v>
      </c>
      <c r="K137" s="114">
        <v>16913.28</v>
      </c>
      <c r="L137" s="114">
        <v>0</v>
      </c>
    </row>
    <row r="138" spans="1:12" x14ac:dyDescent="0.25">
      <c r="A138" s="112" t="s">
        <v>467</v>
      </c>
      <c r="B138" s="113" t="s">
        <v>468</v>
      </c>
      <c r="C138" s="114">
        <v>0</v>
      </c>
      <c r="D138" s="114">
        <v>0</v>
      </c>
      <c r="E138" s="114">
        <v>5231.38</v>
      </c>
      <c r="F138" s="114">
        <v>0</v>
      </c>
      <c r="G138" s="114">
        <v>415.33</v>
      </c>
      <c r="H138" s="114">
        <v>0</v>
      </c>
      <c r="I138" s="114">
        <v>5646.71</v>
      </c>
      <c r="J138" s="114">
        <v>0</v>
      </c>
      <c r="K138" s="114">
        <v>5646.71</v>
      </c>
      <c r="L138" s="114">
        <v>0</v>
      </c>
    </row>
    <row r="139" spans="1:12" x14ac:dyDescent="0.25">
      <c r="A139" s="112" t="s">
        <v>469</v>
      </c>
      <c r="B139" s="113" t="s">
        <v>470</v>
      </c>
      <c r="C139" s="114">
        <v>0</v>
      </c>
      <c r="D139" s="114">
        <v>0</v>
      </c>
      <c r="E139" s="114">
        <v>87.5</v>
      </c>
      <c r="F139" s="114">
        <v>0</v>
      </c>
      <c r="G139" s="114">
        <v>0</v>
      </c>
      <c r="H139" s="114">
        <v>0</v>
      </c>
      <c r="I139" s="114">
        <v>87.5</v>
      </c>
      <c r="J139" s="114">
        <v>0</v>
      </c>
      <c r="K139" s="114">
        <v>87.5</v>
      </c>
      <c r="L139" s="114">
        <v>0</v>
      </c>
    </row>
    <row r="140" spans="1:12" x14ac:dyDescent="0.25">
      <c r="A140" s="112" t="s">
        <v>471</v>
      </c>
      <c r="B140" s="113" t="s">
        <v>472</v>
      </c>
      <c r="C140" s="114">
        <v>0</v>
      </c>
      <c r="D140" s="114">
        <v>0</v>
      </c>
      <c r="E140" s="114">
        <v>1500</v>
      </c>
      <c r="F140" s="114">
        <v>0</v>
      </c>
      <c r="G140" s="114">
        <v>0</v>
      </c>
      <c r="H140" s="114">
        <v>0</v>
      </c>
      <c r="I140" s="114">
        <v>1500</v>
      </c>
      <c r="J140" s="114">
        <v>0</v>
      </c>
      <c r="K140" s="114">
        <v>1500</v>
      </c>
      <c r="L140" s="114">
        <v>0</v>
      </c>
    </row>
    <row r="141" spans="1:12" x14ac:dyDescent="0.25">
      <c r="A141" s="112" t="s">
        <v>473</v>
      </c>
      <c r="B141" s="113" t="s">
        <v>474</v>
      </c>
      <c r="C141" s="114">
        <v>0</v>
      </c>
      <c r="D141" s="114">
        <v>0</v>
      </c>
      <c r="E141" s="114">
        <v>172.87</v>
      </c>
      <c r="F141" s="114">
        <v>0</v>
      </c>
      <c r="G141" s="114">
        <v>56.77</v>
      </c>
      <c r="H141" s="114">
        <v>0</v>
      </c>
      <c r="I141" s="114">
        <v>229.64</v>
      </c>
      <c r="J141" s="114">
        <v>0</v>
      </c>
      <c r="K141" s="114">
        <v>229.64</v>
      </c>
      <c r="L141" s="114">
        <v>0</v>
      </c>
    </row>
    <row r="142" spans="1:12" x14ac:dyDescent="0.25">
      <c r="A142" s="112" t="s">
        <v>475</v>
      </c>
      <c r="B142" s="113" t="s">
        <v>476</v>
      </c>
      <c r="C142" s="114">
        <v>0</v>
      </c>
      <c r="D142" s="114">
        <v>0</v>
      </c>
      <c r="E142" s="114">
        <v>57.66</v>
      </c>
      <c r="F142" s="114">
        <v>0</v>
      </c>
      <c r="G142" s="114">
        <v>0</v>
      </c>
      <c r="H142" s="114">
        <v>0</v>
      </c>
      <c r="I142" s="114">
        <v>57.66</v>
      </c>
      <c r="J142" s="114">
        <v>0</v>
      </c>
      <c r="K142" s="114">
        <v>57.66</v>
      </c>
      <c r="L142" s="114">
        <v>0</v>
      </c>
    </row>
    <row r="143" spans="1:12" x14ac:dyDescent="0.25">
      <c r="A143" s="112" t="s">
        <v>477</v>
      </c>
      <c r="B143" s="113" t="s">
        <v>478</v>
      </c>
      <c r="C143" s="114">
        <v>0</v>
      </c>
      <c r="D143" s="114">
        <v>0</v>
      </c>
      <c r="E143" s="114">
        <v>101081.7</v>
      </c>
      <c r="F143" s="114">
        <v>0</v>
      </c>
      <c r="G143" s="114">
        <v>9998.5400000000009</v>
      </c>
      <c r="H143" s="114">
        <v>0</v>
      </c>
      <c r="I143" s="114">
        <v>111080.24</v>
      </c>
      <c r="J143" s="114">
        <v>0</v>
      </c>
      <c r="K143" s="114">
        <v>111080.24</v>
      </c>
      <c r="L143" s="114">
        <v>0</v>
      </c>
    </row>
    <row r="144" spans="1:12" x14ac:dyDescent="0.25">
      <c r="A144" s="112" t="s">
        <v>479</v>
      </c>
      <c r="B144" s="113" t="s">
        <v>480</v>
      </c>
      <c r="C144" s="114">
        <v>0</v>
      </c>
      <c r="D144" s="114">
        <v>0</v>
      </c>
      <c r="E144" s="114">
        <v>0</v>
      </c>
      <c r="F144" s="114">
        <v>0</v>
      </c>
      <c r="G144" s="114">
        <v>812.85</v>
      </c>
      <c r="H144" s="114">
        <v>2200.38</v>
      </c>
      <c r="I144" s="114">
        <v>812.85</v>
      </c>
      <c r="J144" s="114">
        <v>2200.38</v>
      </c>
      <c r="K144" s="114">
        <v>-1387.53</v>
      </c>
      <c r="L144" s="114">
        <v>0</v>
      </c>
    </row>
    <row r="145" spans="1:12" x14ac:dyDescent="0.25">
      <c r="A145" s="112" t="s">
        <v>481</v>
      </c>
      <c r="B145" s="113" t="s">
        <v>482</v>
      </c>
      <c r="C145" s="114">
        <v>0</v>
      </c>
      <c r="D145" s="114">
        <v>0</v>
      </c>
      <c r="E145" s="114">
        <v>34874.74</v>
      </c>
      <c r="F145" s="114">
        <v>0</v>
      </c>
      <c r="G145" s="114">
        <v>3452.19</v>
      </c>
      <c r="H145" s="114">
        <v>0</v>
      </c>
      <c r="I145" s="114">
        <v>38326.93</v>
      </c>
      <c r="J145" s="114">
        <v>0</v>
      </c>
      <c r="K145" s="114">
        <v>38326.93</v>
      </c>
      <c r="L145" s="114">
        <v>0</v>
      </c>
    </row>
    <row r="146" spans="1:12" x14ac:dyDescent="0.25">
      <c r="A146" s="112" t="s">
        <v>483</v>
      </c>
      <c r="B146" s="113" t="s">
        <v>484</v>
      </c>
      <c r="C146" s="114">
        <v>0</v>
      </c>
      <c r="D146" s="114">
        <v>0</v>
      </c>
      <c r="E146" s="114">
        <v>0</v>
      </c>
      <c r="F146" s="114">
        <v>0</v>
      </c>
      <c r="G146" s="114">
        <v>278.43</v>
      </c>
      <c r="H146" s="114">
        <v>753.23</v>
      </c>
      <c r="I146" s="114">
        <v>278.43</v>
      </c>
      <c r="J146" s="114">
        <v>753.23</v>
      </c>
      <c r="K146" s="114">
        <v>-474.8</v>
      </c>
      <c r="L146" s="114">
        <v>0</v>
      </c>
    </row>
    <row r="147" spans="1:12" x14ac:dyDescent="0.25">
      <c r="A147" s="112" t="s">
        <v>485</v>
      </c>
      <c r="B147" s="113" t="s">
        <v>486</v>
      </c>
      <c r="C147" s="114">
        <v>0</v>
      </c>
      <c r="D147" s="114">
        <v>0</v>
      </c>
      <c r="E147" s="114">
        <v>1505.87</v>
      </c>
      <c r="F147" s="114">
        <v>0</v>
      </c>
      <c r="G147" s="114">
        <v>41.17</v>
      </c>
      <c r="H147" s="114">
        <v>0</v>
      </c>
      <c r="I147" s="114">
        <v>1547.04</v>
      </c>
      <c r="J147" s="114">
        <v>0</v>
      </c>
      <c r="K147" s="114">
        <v>1547.04</v>
      </c>
      <c r="L147" s="114">
        <v>0</v>
      </c>
    </row>
    <row r="148" spans="1:12" x14ac:dyDescent="0.25">
      <c r="A148" s="112" t="s">
        <v>487</v>
      </c>
      <c r="B148" s="113" t="s">
        <v>488</v>
      </c>
      <c r="C148" s="114">
        <v>0</v>
      </c>
      <c r="D148" s="114">
        <v>0</v>
      </c>
      <c r="E148" s="114">
        <v>5447.71</v>
      </c>
      <c r="F148" s="114">
        <v>0</v>
      </c>
      <c r="G148" s="114">
        <v>355.96</v>
      </c>
      <c r="H148" s="114">
        <v>0</v>
      </c>
      <c r="I148" s="114">
        <v>5803.67</v>
      </c>
      <c r="J148" s="114">
        <v>0</v>
      </c>
      <c r="K148" s="114">
        <v>5803.67</v>
      </c>
      <c r="L148" s="114">
        <v>0</v>
      </c>
    </row>
    <row r="149" spans="1:12" x14ac:dyDescent="0.25">
      <c r="A149" s="112" t="s">
        <v>489</v>
      </c>
      <c r="B149" s="113" t="s">
        <v>490</v>
      </c>
      <c r="C149" s="114">
        <v>0</v>
      </c>
      <c r="D149" s="114">
        <v>0</v>
      </c>
      <c r="E149" s="114">
        <v>0</v>
      </c>
      <c r="F149" s="114">
        <v>0</v>
      </c>
      <c r="G149" s="114">
        <v>447.88</v>
      </c>
      <c r="H149" s="114">
        <v>0</v>
      </c>
      <c r="I149" s="114">
        <v>447.88</v>
      </c>
      <c r="J149" s="114">
        <v>0</v>
      </c>
      <c r="K149" s="114">
        <v>447.88</v>
      </c>
      <c r="L149" s="114">
        <v>0</v>
      </c>
    </row>
    <row r="150" spans="1:12" x14ac:dyDescent="0.25">
      <c r="A150" s="112" t="s">
        <v>491</v>
      </c>
      <c r="B150" s="113" t="s">
        <v>492</v>
      </c>
      <c r="C150" s="114">
        <v>0</v>
      </c>
      <c r="D150" s="114">
        <v>0</v>
      </c>
      <c r="E150" s="114">
        <v>2042.82</v>
      </c>
      <c r="F150" s="114">
        <v>0</v>
      </c>
      <c r="G150" s="114">
        <v>0</v>
      </c>
      <c r="H150" s="114">
        <v>0</v>
      </c>
      <c r="I150" s="114">
        <v>2042.82</v>
      </c>
      <c r="J150" s="114">
        <v>0</v>
      </c>
      <c r="K150" s="114">
        <v>2042.82</v>
      </c>
      <c r="L150" s="114">
        <v>0</v>
      </c>
    </row>
    <row r="151" spans="1:12" x14ac:dyDescent="0.25">
      <c r="A151" s="112" t="s">
        <v>493</v>
      </c>
      <c r="B151" s="113" t="s">
        <v>494</v>
      </c>
      <c r="C151" s="114">
        <v>0</v>
      </c>
      <c r="D151" s="114">
        <v>0</v>
      </c>
      <c r="E151" s="114">
        <v>54944.03</v>
      </c>
      <c r="F151" s="114">
        <v>0</v>
      </c>
      <c r="G151" s="114">
        <v>0</v>
      </c>
      <c r="H151" s="114">
        <v>0</v>
      </c>
      <c r="I151" s="114">
        <v>54944.03</v>
      </c>
      <c r="J151" s="114">
        <v>0</v>
      </c>
      <c r="K151" s="114">
        <v>54944.03</v>
      </c>
      <c r="L151" s="114">
        <v>0</v>
      </c>
    </row>
    <row r="152" spans="1:12" x14ac:dyDescent="0.25">
      <c r="A152" s="112" t="s">
        <v>495</v>
      </c>
      <c r="B152" s="113" t="s">
        <v>496</v>
      </c>
      <c r="C152" s="114">
        <v>0</v>
      </c>
      <c r="D152" s="114">
        <v>0</v>
      </c>
      <c r="E152" s="114">
        <v>152.80000000000001</v>
      </c>
      <c r="F152" s="114">
        <v>0</v>
      </c>
      <c r="G152" s="114">
        <v>0</v>
      </c>
      <c r="H152" s="114">
        <v>0</v>
      </c>
      <c r="I152" s="114">
        <v>152.80000000000001</v>
      </c>
      <c r="J152" s="114">
        <v>0</v>
      </c>
      <c r="K152" s="114">
        <v>152.80000000000001</v>
      </c>
      <c r="L152" s="114">
        <v>0</v>
      </c>
    </row>
    <row r="153" spans="1:12" x14ac:dyDescent="0.25">
      <c r="A153" s="112" t="s">
        <v>497</v>
      </c>
      <c r="B153" s="113" t="s">
        <v>498</v>
      </c>
      <c r="C153" s="114">
        <v>0</v>
      </c>
      <c r="D153" s="114">
        <v>0</v>
      </c>
      <c r="E153" s="114">
        <v>1.72</v>
      </c>
      <c r="F153" s="114">
        <v>0</v>
      </c>
      <c r="G153" s="114">
        <v>0.14000000000000001</v>
      </c>
      <c r="H153" s="114">
        <v>0</v>
      </c>
      <c r="I153" s="114">
        <v>1.86</v>
      </c>
      <c r="J153" s="114">
        <v>0</v>
      </c>
      <c r="K153" s="114">
        <v>1.86</v>
      </c>
      <c r="L153" s="114">
        <v>0</v>
      </c>
    </row>
    <row r="154" spans="1:12" x14ac:dyDescent="0.25">
      <c r="A154" s="112" t="s">
        <v>499</v>
      </c>
      <c r="B154" s="113" t="s">
        <v>500</v>
      </c>
      <c r="C154" s="114">
        <v>0</v>
      </c>
      <c r="D154" s="114">
        <v>0</v>
      </c>
      <c r="E154" s="114">
        <v>616.83000000000004</v>
      </c>
      <c r="F154" s="114">
        <v>0</v>
      </c>
      <c r="G154" s="114">
        <v>0</v>
      </c>
      <c r="H154" s="114">
        <v>0</v>
      </c>
      <c r="I154" s="114">
        <v>616.83000000000004</v>
      </c>
      <c r="J154" s="114">
        <v>0</v>
      </c>
      <c r="K154" s="114">
        <v>616.83000000000004</v>
      </c>
      <c r="L154" s="114">
        <v>0</v>
      </c>
    </row>
    <row r="155" spans="1:12" x14ac:dyDescent="0.25">
      <c r="A155" s="112" t="s">
        <v>501</v>
      </c>
      <c r="B155" s="113" t="s">
        <v>502</v>
      </c>
      <c r="C155" s="114">
        <v>0</v>
      </c>
      <c r="D155" s="114">
        <v>0</v>
      </c>
      <c r="E155" s="114">
        <v>2293.8200000000002</v>
      </c>
      <c r="F155" s="114">
        <v>0</v>
      </c>
      <c r="G155" s="114">
        <v>0</v>
      </c>
      <c r="H155" s="114">
        <v>0</v>
      </c>
      <c r="I155" s="114">
        <v>2293.8200000000002</v>
      </c>
      <c r="J155" s="114">
        <v>0</v>
      </c>
      <c r="K155" s="114">
        <v>2293.8200000000002</v>
      </c>
      <c r="L155" s="114">
        <v>0</v>
      </c>
    </row>
    <row r="156" spans="1:12" x14ac:dyDescent="0.25">
      <c r="A156" s="112" t="s">
        <v>503</v>
      </c>
      <c r="B156" s="113" t="s">
        <v>504</v>
      </c>
      <c r="C156" s="114">
        <v>0</v>
      </c>
      <c r="D156" s="114">
        <v>0</v>
      </c>
      <c r="E156" s="114">
        <v>0</v>
      </c>
      <c r="F156" s="114">
        <v>0</v>
      </c>
      <c r="G156" s="114">
        <v>213.84</v>
      </c>
      <c r="H156" s="114">
        <v>0</v>
      </c>
      <c r="I156" s="114">
        <v>213.84</v>
      </c>
      <c r="J156" s="114">
        <v>0</v>
      </c>
      <c r="K156" s="114">
        <v>213.84</v>
      </c>
      <c r="L156" s="114">
        <v>0</v>
      </c>
    </row>
    <row r="157" spans="1:12" x14ac:dyDescent="0.25">
      <c r="A157" s="112" t="s">
        <v>505</v>
      </c>
      <c r="B157" s="113" t="s">
        <v>506</v>
      </c>
      <c r="C157" s="114">
        <v>0</v>
      </c>
      <c r="D157" s="114">
        <v>0</v>
      </c>
      <c r="E157" s="114">
        <v>55.06</v>
      </c>
      <c r="F157" s="114">
        <v>0</v>
      </c>
      <c r="G157" s="114">
        <v>0</v>
      </c>
      <c r="H157" s="114">
        <v>0</v>
      </c>
      <c r="I157" s="114">
        <v>55.06</v>
      </c>
      <c r="J157" s="114">
        <v>0</v>
      </c>
      <c r="K157" s="114">
        <v>55.06</v>
      </c>
      <c r="L157" s="114">
        <v>0</v>
      </c>
    </row>
    <row r="158" spans="1:12" x14ac:dyDescent="0.25">
      <c r="A158" s="112" t="s">
        <v>507</v>
      </c>
      <c r="B158" s="113" t="s">
        <v>508</v>
      </c>
      <c r="C158" s="114">
        <v>0</v>
      </c>
      <c r="D158" s="114">
        <v>0</v>
      </c>
      <c r="E158" s="114">
        <v>0</v>
      </c>
      <c r="F158" s="114">
        <v>0</v>
      </c>
      <c r="G158" s="114">
        <v>70.8</v>
      </c>
      <c r="H158" s="114">
        <v>0</v>
      </c>
      <c r="I158" s="114">
        <v>70.8</v>
      </c>
      <c r="J158" s="114">
        <v>0</v>
      </c>
      <c r="K158" s="114">
        <v>70.8</v>
      </c>
      <c r="L158" s="114">
        <v>0</v>
      </c>
    </row>
    <row r="159" spans="1:12" x14ac:dyDescent="0.25">
      <c r="A159" s="112" t="s">
        <v>509</v>
      </c>
      <c r="B159" s="113" t="s">
        <v>510</v>
      </c>
      <c r="C159" s="114">
        <v>0</v>
      </c>
      <c r="D159" s="114">
        <v>0</v>
      </c>
      <c r="E159" s="114">
        <v>-216.44</v>
      </c>
      <c r="F159" s="114">
        <v>0</v>
      </c>
      <c r="G159" s="114">
        <v>0</v>
      </c>
      <c r="H159" s="114">
        <v>0</v>
      </c>
      <c r="I159" s="114">
        <v>-216.44</v>
      </c>
      <c r="J159" s="114">
        <v>0</v>
      </c>
      <c r="K159" s="114">
        <v>-216.44</v>
      </c>
      <c r="L159" s="114">
        <v>0</v>
      </c>
    </row>
    <row r="160" spans="1:12" x14ac:dyDescent="0.25">
      <c r="A160" s="112" t="s">
        <v>511</v>
      </c>
      <c r="B160" s="113" t="s">
        <v>512</v>
      </c>
      <c r="C160" s="114">
        <v>0</v>
      </c>
      <c r="D160" s="114">
        <v>0</v>
      </c>
      <c r="E160" s="114">
        <v>91.4</v>
      </c>
      <c r="F160" s="114">
        <v>0</v>
      </c>
      <c r="G160" s="114">
        <v>0</v>
      </c>
      <c r="H160" s="114">
        <v>0</v>
      </c>
      <c r="I160" s="114">
        <v>91.4</v>
      </c>
      <c r="J160" s="114">
        <v>0</v>
      </c>
      <c r="K160" s="114">
        <v>91.4</v>
      </c>
      <c r="L160" s="114">
        <v>0</v>
      </c>
    </row>
    <row r="161" spans="1:12" x14ac:dyDescent="0.25">
      <c r="A161" s="112" t="s">
        <v>513</v>
      </c>
      <c r="B161" s="113" t="s">
        <v>514</v>
      </c>
      <c r="C161" s="114">
        <v>0</v>
      </c>
      <c r="D161" s="114">
        <v>0</v>
      </c>
      <c r="E161" s="114">
        <v>2882.68</v>
      </c>
      <c r="F161" s="114">
        <v>0</v>
      </c>
      <c r="G161" s="114">
        <v>0</v>
      </c>
      <c r="H161" s="114">
        <v>0</v>
      </c>
      <c r="I161" s="114">
        <v>2882.68</v>
      </c>
      <c r="J161" s="114">
        <v>0</v>
      </c>
      <c r="K161" s="114">
        <v>2882.68</v>
      </c>
      <c r="L161" s="114">
        <v>0</v>
      </c>
    </row>
    <row r="162" spans="1:12" x14ac:dyDescent="0.25">
      <c r="A162" s="112" t="s">
        <v>515</v>
      </c>
      <c r="B162" s="113" t="s">
        <v>516</v>
      </c>
      <c r="C162" s="114">
        <v>0</v>
      </c>
      <c r="D162" s="114">
        <v>0</v>
      </c>
      <c r="E162" s="114">
        <v>1412.87</v>
      </c>
      <c r="F162" s="114">
        <v>0</v>
      </c>
      <c r="G162" s="114">
        <v>105</v>
      </c>
      <c r="H162" s="114">
        <v>0</v>
      </c>
      <c r="I162" s="114">
        <v>1517.87</v>
      </c>
      <c r="J162" s="114">
        <v>0</v>
      </c>
      <c r="K162" s="114">
        <v>1517.87</v>
      </c>
      <c r="L162" s="114">
        <v>0</v>
      </c>
    </row>
    <row r="163" spans="1:12" x14ac:dyDescent="0.25">
      <c r="A163" s="112" t="s">
        <v>517</v>
      </c>
      <c r="B163" s="113" t="s">
        <v>518</v>
      </c>
      <c r="C163" s="114">
        <v>0</v>
      </c>
      <c r="D163" s="114">
        <v>0</v>
      </c>
      <c r="E163" s="114">
        <v>145.84</v>
      </c>
      <c r="F163" s="114">
        <v>0</v>
      </c>
      <c r="G163" s="114">
        <v>72.92</v>
      </c>
      <c r="H163" s="114">
        <v>0</v>
      </c>
      <c r="I163" s="114">
        <v>218.76</v>
      </c>
      <c r="J163" s="114">
        <v>0</v>
      </c>
      <c r="K163" s="114">
        <v>218.76</v>
      </c>
      <c r="L163" s="114">
        <v>0</v>
      </c>
    </row>
    <row r="164" spans="1:12" x14ac:dyDescent="0.25">
      <c r="A164" s="112" t="s">
        <v>519</v>
      </c>
      <c r="B164" s="113" t="s">
        <v>520</v>
      </c>
      <c r="C164" s="114">
        <v>0</v>
      </c>
      <c r="D164" s="114">
        <v>0</v>
      </c>
      <c r="E164" s="114">
        <v>18321.490000000002</v>
      </c>
      <c r="F164" s="114">
        <v>0</v>
      </c>
      <c r="G164" s="114">
        <v>1665.58</v>
      </c>
      <c r="H164" s="114">
        <v>0</v>
      </c>
      <c r="I164" s="114">
        <v>19987.07</v>
      </c>
      <c r="J164" s="114">
        <v>0</v>
      </c>
      <c r="K164" s="114">
        <v>19987.07</v>
      </c>
      <c r="L164" s="114">
        <v>0</v>
      </c>
    </row>
    <row r="165" spans="1:12" x14ac:dyDescent="0.25">
      <c r="A165" s="112" t="s">
        <v>521</v>
      </c>
      <c r="B165" s="113" t="s">
        <v>522</v>
      </c>
      <c r="C165" s="114">
        <v>0</v>
      </c>
      <c r="D165" s="114">
        <v>0</v>
      </c>
      <c r="E165" s="114">
        <v>14044.69</v>
      </c>
      <c r="F165" s="114">
        <v>0</v>
      </c>
      <c r="G165" s="114">
        <v>1276.69</v>
      </c>
      <c r="H165" s="114">
        <v>0</v>
      </c>
      <c r="I165" s="114">
        <v>15321.38</v>
      </c>
      <c r="J165" s="114">
        <v>0</v>
      </c>
      <c r="K165" s="114">
        <v>15321.38</v>
      </c>
      <c r="L165" s="114">
        <v>0</v>
      </c>
    </row>
    <row r="166" spans="1:12" x14ac:dyDescent="0.25">
      <c r="A166" s="112" t="s">
        <v>523</v>
      </c>
      <c r="B166" s="113" t="s">
        <v>524</v>
      </c>
      <c r="C166" s="114">
        <v>0</v>
      </c>
      <c r="D166" s="114">
        <v>0</v>
      </c>
      <c r="E166" s="114">
        <v>5160.1000000000004</v>
      </c>
      <c r="F166" s="114">
        <v>0</v>
      </c>
      <c r="G166" s="114">
        <v>469.13</v>
      </c>
      <c r="H166" s="114">
        <v>0</v>
      </c>
      <c r="I166" s="114">
        <v>5629.23</v>
      </c>
      <c r="J166" s="114">
        <v>0</v>
      </c>
      <c r="K166" s="114">
        <v>5629.23</v>
      </c>
      <c r="L166" s="114">
        <v>0</v>
      </c>
    </row>
    <row r="167" spans="1:12" x14ac:dyDescent="0.25">
      <c r="A167" s="112" t="s">
        <v>525</v>
      </c>
      <c r="B167" s="113" t="s">
        <v>526</v>
      </c>
      <c r="C167" s="114">
        <v>0</v>
      </c>
      <c r="D167" s="114">
        <v>0</v>
      </c>
      <c r="E167" s="114">
        <v>926.31</v>
      </c>
      <c r="F167" s="114">
        <v>0</v>
      </c>
      <c r="G167" s="114">
        <v>84.25</v>
      </c>
      <c r="H167" s="114">
        <v>0</v>
      </c>
      <c r="I167" s="114">
        <v>1010.56</v>
      </c>
      <c r="J167" s="114">
        <v>0</v>
      </c>
      <c r="K167" s="114">
        <v>1010.56</v>
      </c>
      <c r="L167" s="114">
        <v>0</v>
      </c>
    </row>
    <row r="168" spans="1:12" x14ac:dyDescent="0.25">
      <c r="A168" s="112" t="s">
        <v>527</v>
      </c>
      <c r="B168" s="113" t="s">
        <v>528</v>
      </c>
      <c r="C168" s="114">
        <v>0</v>
      </c>
      <c r="D168" s="114">
        <v>0</v>
      </c>
      <c r="E168" s="114">
        <v>10036.620000000001</v>
      </c>
      <c r="F168" s="114">
        <v>0</v>
      </c>
      <c r="G168" s="114">
        <v>896.68</v>
      </c>
      <c r="H168" s="114">
        <v>0</v>
      </c>
      <c r="I168" s="114">
        <v>10933.3</v>
      </c>
      <c r="J168" s="114">
        <v>0</v>
      </c>
      <c r="K168" s="114">
        <v>10933.3</v>
      </c>
      <c r="L168" s="114">
        <v>0</v>
      </c>
    </row>
    <row r="169" spans="1:12" x14ac:dyDescent="0.25">
      <c r="A169" s="112" t="s">
        <v>529</v>
      </c>
      <c r="B169" s="113" t="s">
        <v>530</v>
      </c>
      <c r="C169" s="114">
        <v>0</v>
      </c>
      <c r="D169" s="114">
        <v>0</v>
      </c>
      <c r="E169" s="114">
        <v>2297.2600000000002</v>
      </c>
      <c r="F169" s="114">
        <v>0</v>
      </c>
      <c r="G169" s="114">
        <v>206.28</v>
      </c>
      <c r="H169" s="114">
        <v>0</v>
      </c>
      <c r="I169" s="114">
        <v>2503.54</v>
      </c>
      <c r="J169" s="114">
        <v>0</v>
      </c>
      <c r="K169" s="114">
        <v>2503.54</v>
      </c>
      <c r="L169" s="114">
        <v>0</v>
      </c>
    </row>
    <row r="170" spans="1:12" x14ac:dyDescent="0.25">
      <c r="A170" s="112" t="s">
        <v>531</v>
      </c>
      <c r="B170" s="113" t="s">
        <v>532</v>
      </c>
      <c r="C170" s="114">
        <v>0</v>
      </c>
      <c r="D170" s="114">
        <v>0</v>
      </c>
      <c r="E170" s="114">
        <v>144.54</v>
      </c>
      <c r="F170" s="114">
        <v>0</v>
      </c>
      <c r="G170" s="114">
        <v>7.11</v>
      </c>
      <c r="H170" s="114">
        <v>0</v>
      </c>
      <c r="I170" s="114">
        <v>151.65</v>
      </c>
      <c r="J170" s="114">
        <v>0</v>
      </c>
      <c r="K170" s="114">
        <v>151.65</v>
      </c>
      <c r="L170" s="114">
        <v>0</v>
      </c>
    </row>
    <row r="171" spans="1:12" x14ac:dyDescent="0.25">
      <c r="A171" s="112" t="s">
        <v>533</v>
      </c>
      <c r="B171" s="113" t="s">
        <v>534</v>
      </c>
      <c r="C171" s="114">
        <v>0</v>
      </c>
      <c r="D171" s="114">
        <v>0</v>
      </c>
      <c r="E171" s="114">
        <v>3270.47</v>
      </c>
      <c r="F171" s="114">
        <v>0</v>
      </c>
      <c r="G171" s="114">
        <v>485.89</v>
      </c>
      <c r="H171" s="114">
        <v>0</v>
      </c>
      <c r="I171" s="114">
        <v>3756.36</v>
      </c>
      <c r="J171" s="114">
        <v>0</v>
      </c>
      <c r="K171" s="114">
        <v>3756.36</v>
      </c>
      <c r="L171" s="114">
        <v>0</v>
      </c>
    </row>
    <row r="172" spans="1:12" x14ac:dyDescent="0.25">
      <c r="A172" s="112" t="s">
        <v>535</v>
      </c>
      <c r="B172" s="113" t="s">
        <v>536</v>
      </c>
      <c r="C172" s="114">
        <v>0</v>
      </c>
      <c r="D172" s="114">
        <v>0</v>
      </c>
      <c r="E172" s="114">
        <v>0</v>
      </c>
      <c r="F172" s="114">
        <v>0</v>
      </c>
      <c r="G172" s="114">
        <v>10078.879999999999</v>
      </c>
      <c r="H172" s="114">
        <v>0</v>
      </c>
      <c r="I172" s="114">
        <v>10078.879999999999</v>
      </c>
      <c r="J172" s="114">
        <v>0</v>
      </c>
      <c r="K172" s="114">
        <v>10078.879999999999</v>
      </c>
      <c r="L172" s="114">
        <v>0</v>
      </c>
    </row>
    <row r="173" spans="1:12" x14ac:dyDescent="0.25">
      <c r="A173" s="112" t="s">
        <v>537</v>
      </c>
      <c r="B173" s="113" t="s">
        <v>538</v>
      </c>
      <c r="C173" s="114">
        <v>0</v>
      </c>
      <c r="D173" s="114">
        <v>0</v>
      </c>
      <c r="E173" s="114">
        <v>0</v>
      </c>
      <c r="F173" s="114">
        <v>600.35</v>
      </c>
      <c r="G173" s="114">
        <v>0</v>
      </c>
      <c r="H173" s="114">
        <v>94.51</v>
      </c>
      <c r="I173" s="114">
        <v>0</v>
      </c>
      <c r="J173" s="114">
        <v>694.86</v>
      </c>
      <c r="K173" s="114">
        <v>0</v>
      </c>
      <c r="L173" s="114">
        <v>694.86</v>
      </c>
    </row>
    <row r="174" spans="1:12" x14ac:dyDescent="0.25">
      <c r="A174" s="112" t="s">
        <v>539</v>
      </c>
      <c r="B174" s="113" t="s">
        <v>540</v>
      </c>
      <c r="C174" s="114">
        <v>0</v>
      </c>
      <c r="D174" s="114">
        <v>0</v>
      </c>
      <c r="E174" s="114">
        <v>0</v>
      </c>
      <c r="F174" s="114">
        <v>38888.85</v>
      </c>
      <c r="G174" s="114">
        <v>0</v>
      </c>
      <c r="H174" s="114">
        <v>24</v>
      </c>
      <c r="I174" s="114">
        <v>0</v>
      </c>
      <c r="J174" s="114">
        <v>38912.85</v>
      </c>
      <c r="K174" s="114">
        <v>0</v>
      </c>
      <c r="L174" s="114">
        <v>38912.85</v>
      </c>
    </row>
    <row r="175" spans="1:12" x14ac:dyDescent="0.25">
      <c r="A175" s="112" t="s">
        <v>541</v>
      </c>
      <c r="B175" s="113" t="s">
        <v>542</v>
      </c>
      <c r="C175" s="114">
        <v>0</v>
      </c>
      <c r="D175" s="114">
        <v>0</v>
      </c>
      <c r="E175" s="114">
        <v>0</v>
      </c>
      <c r="F175" s="114">
        <v>412195.46</v>
      </c>
      <c r="G175" s="114">
        <v>0</v>
      </c>
      <c r="H175" s="114">
        <v>42799.47</v>
      </c>
      <c r="I175" s="114">
        <v>0</v>
      </c>
      <c r="J175" s="114">
        <v>454994.93</v>
      </c>
      <c r="K175" s="114">
        <v>0</v>
      </c>
      <c r="L175" s="114">
        <v>454994.93</v>
      </c>
    </row>
    <row r="176" spans="1:12" x14ac:dyDescent="0.25">
      <c r="A176" s="112" t="s">
        <v>543</v>
      </c>
      <c r="B176" s="113" t="s">
        <v>544</v>
      </c>
      <c r="C176" s="114">
        <v>0</v>
      </c>
      <c r="D176" s="114">
        <v>0</v>
      </c>
      <c r="E176" s="114">
        <v>0</v>
      </c>
      <c r="F176" s="114">
        <v>80973.16</v>
      </c>
      <c r="G176" s="114">
        <v>0</v>
      </c>
      <c r="H176" s="114">
        <v>5845.4</v>
      </c>
      <c r="I176" s="114">
        <v>0</v>
      </c>
      <c r="J176" s="114">
        <v>86818.559999999998</v>
      </c>
      <c r="K176" s="114">
        <v>0</v>
      </c>
      <c r="L176" s="114">
        <v>86818.559999999998</v>
      </c>
    </row>
    <row r="177" spans="1:12" x14ac:dyDescent="0.25">
      <c r="A177" s="112" t="s">
        <v>545</v>
      </c>
      <c r="B177" s="113" t="s">
        <v>546</v>
      </c>
      <c r="C177" s="114">
        <v>0</v>
      </c>
      <c r="D177" s="114">
        <v>0</v>
      </c>
      <c r="E177" s="114">
        <v>0</v>
      </c>
      <c r="F177" s="114">
        <v>159280.45000000001</v>
      </c>
      <c r="G177" s="114">
        <v>0</v>
      </c>
      <c r="H177" s="114">
        <v>17088.009999999998</v>
      </c>
      <c r="I177" s="114">
        <v>0</v>
      </c>
      <c r="J177" s="114">
        <v>176368.46</v>
      </c>
      <c r="K177" s="114">
        <v>0</v>
      </c>
      <c r="L177" s="114">
        <v>176368.46</v>
      </c>
    </row>
    <row r="178" spans="1:12" x14ac:dyDescent="0.25">
      <c r="A178" s="112" t="s">
        <v>547</v>
      </c>
      <c r="B178" s="113" t="s">
        <v>548</v>
      </c>
      <c r="C178" s="114">
        <v>0</v>
      </c>
      <c r="D178" s="114">
        <v>0</v>
      </c>
      <c r="E178" s="114">
        <v>0</v>
      </c>
      <c r="F178" s="114">
        <v>2072</v>
      </c>
      <c r="G178" s="114">
        <v>0</v>
      </c>
      <c r="H178" s="114">
        <v>0</v>
      </c>
      <c r="I178" s="114">
        <v>0</v>
      </c>
      <c r="J178" s="114">
        <v>2072</v>
      </c>
      <c r="K178" s="114">
        <v>0</v>
      </c>
      <c r="L178" s="114">
        <v>2072</v>
      </c>
    </row>
    <row r="179" spans="1:12" x14ac:dyDescent="0.25">
      <c r="A179" s="112" t="s">
        <v>549</v>
      </c>
      <c r="B179" s="113" t="s">
        <v>550</v>
      </c>
      <c r="C179" s="114">
        <v>0</v>
      </c>
      <c r="D179" s="114">
        <v>0</v>
      </c>
      <c r="E179" s="114">
        <v>0</v>
      </c>
      <c r="F179" s="114">
        <v>-2550</v>
      </c>
      <c r="G179" s="114">
        <v>0</v>
      </c>
      <c r="H179" s="114">
        <v>0</v>
      </c>
      <c r="I179" s="114">
        <v>5000</v>
      </c>
      <c r="J179" s="114">
        <v>2450</v>
      </c>
      <c r="K179" s="114">
        <v>0</v>
      </c>
      <c r="L179" s="114">
        <v>-2550</v>
      </c>
    </row>
    <row r="180" spans="1:12" x14ac:dyDescent="0.25">
      <c r="A180" s="112" t="s">
        <v>551</v>
      </c>
      <c r="B180" s="113" t="s">
        <v>552</v>
      </c>
      <c r="C180" s="114">
        <v>0</v>
      </c>
      <c r="D180" s="114">
        <v>0</v>
      </c>
      <c r="E180" s="114">
        <v>0</v>
      </c>
      <c r="F180" s="114">
        <v>3500</v>
      </c>
      <c r="G180" s="114">
        <v>0</v>
      </c>
      <c r="H180" s="114">
        <v>0</v>
      </c>
      <c r="I180" s="114">
        <v>0</v>
      </c>
      <c r="J180" s="114">
        <v>3500</v>
      </c>
      <c r="K180" s="114">
        <v>0</v>
      </c>
      <c r="L180" s="114">
        <v>3500</v>
      </c>
    </row>
    <row r="181" spans="1:12" x14ac:dyDescent="0.25">
      <c r="A181" s="112" t="s">
        <v>553</v>
      </c>
      <c r="B181" s="113" t="s">
        <v>554</v>
      </c>
      <c r="C181" s="114">
        <v>0</v>
      </c>
      <c r="D181" s="114">
        <v>0</v>
      </c>
      <c r="E181" s="114">
        <v>0</v>
      </c>
      <c r="F181" s="114">
        <v>75000</v>
      </c>
      <c r="G181" s="114">
        <v>0</v>
      </c>
      <c r="H181" s="114">
        <v>0</v>
      </c>
      <c r="I181" s="114">
        <v>0</v>
      </c>
      <c r="J181" s="114">
        <v>75000</v>
      </c>
      <c r="K181" s="114">
        <v>0</v>
      </c>
      <c r="L181" s="114">
        <v>75000</v>
      </c>
    </row>
    <row r="182" spans="1:12" x14ac:dyDescent="0.25">
      <c r="A182" s="112" t="s">
        <v>555</v>
      </c>
      <c r="B182" s="113" t="s">
        <v>556</v>
      </c>
      <c r="C182" s="114">
        <v>0</v>
      </c>
      <c r="D182" s="114">
        <v>0</v>
      </c>
      <c r="E182" s="114">
        <v>0</v>
      </c>
      <c r="F182" s="114">
        <v>19986.47</v>
      </c>
      <c r="G182" s="114">
        <v>-158.72</v>
      </c>
      <c r="H182" s="114">
        <v>158</v>
      </c>
      <c r="I182" s="114">
        <v>-145.19</v>
      </c>
      <c r="J182" s="114">
        <v>20158</v>
      </c>
      <c r="K182" s="114">
        <v>0</v>
      </c>
      <c r="L182" s="114">
        <v>20303.189999999999</v>
      </c>
    </row>
    <row r="183" spans="1:12" x14ac:dyDescent="0.25">
      <c r="A183" s="112" t="s">
        <v>557</v>
      </c>
      <c r="B183" s="113" t="s">
        <v>558</v>
      </c>
      <c r="C183" s="114">
        <v>0</v>
      </c>
      <c r="D183" s="114">
        <v>0</v>
      </c>
      <c r="E183" s="114">
        <v>0</v>
      </c>
      <c r="F183" s="114">
        <v>1.34</v>
      </c>
      <c r="G183" s="114">
        <v>0</v>
      </c>
      <c r="H183" s="114">
        <v>0.15</v>
      </c>
      <c r="I183" s="114">
        <v>-0.01</v>
      </c>
      <c r="J183" s="114">
        <v>1.48</v>
      </c>
      <c r="K183" s="114">
        <v>0</v>
      </c>
      <c r="L183" s="114">
        <v>1.49</v>
      </c>
    </row>
    <row r="184" spans="1:12" x14ac:dyDescent="0.25">
      <c r="A184" s="112" t="s">
        <v>559</v>
      </c>
      <c r="B184" s="113" t="s">
        <v>560</v>
      </c>
      <c r="C184" s="114">
        <v>0</v>
      </c>
      <c r="D184" s="114">
        <v>0</v>
      </c>
      <c r="E184" s="114">
        <v>0</v>
      </c>
      <c r="F184" s="114">
        <v>547.28</v>
      </c>
      <c r="G184" s="114">
        <v>0</v>
      </c>
      <c r="H184" s="114">
        <v>644</v>
      </c>
      <c r="I184" s="114">
        <v>0</v>
      </c>
      <c r="J184" s="114">
        <v>1191.28</v>
      </c>
      <c r="K184" s="114">
        <v>0</v>
      </c>
      <c r="L184" s="114">
        <v>1191.28</v>
      </c>
    </row>
    <row r="185" spans="1:12" x14ac:dyDescent="0.25">
      <c r="A185" s="112" t="s">
        <v>561</v>
      </c>
      <c r="B185" s="113" t="s">
        <v>562</v>
      </c>
      <c r="C185" s="114">
        <v>0</v>
      </c>
      <c r="D185" s="114">
        <v>0</v>
      </c>
      <c r="E185" s="114">
        <v>0</v>
      </c>
      <c r="F185" s="114">
        <v>8117.01</v>
      </c>
      <c r="G185" s="114">
        <v>0</v>
      </c>
      <c r="H185" s="114">
        <v>3570.5</v>
      </c>
      <c r="I185" s="114">
        <v>0</v>
      </c>
      <c r="J185" s="114">
        <v>11687.51</v>
      </c>
      <c r="K185" s="114">
        <v>0</v>
      </c>
      <c r="L185" s="114">
        <v>11687.51</v>
      </c>
    </row>
    <row r="186" spans="1:12" x14ac:dyDescent="0.25">
      <c r="A186" s="112" t="s">
        <v>563</v>
      </c>
      <c r="B186" s="113" t="s">
        <v>564</v>
      </c>
      <c r="C186" s="114">
        <v>0</v>
      </c>
      <c r="D186" s="114">
        <v>0</v>
      </c>
      <c r="E186" s="114">
        <v>0</v>
      </c>
      <c r="F186" s="114">
        <v>441.17</v>
      </c>
      <c r="G186" s="114">
        <v>0</v>
      </c>
      <c r="H186" s="114">
        <v>0</v>
      </c>
      <c r="I186" s="114">
        <v>0</v>
      </c>
      <c r="J186" s="114">
        <v>441.17</v>
      </c>
      <c r="K186" s="114">
        <v>0</v>
      </c>
      <c r="L186" s="114">
        <v>441.17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12" customWidth="1"/>
    <col min="2" max="2" width="46.7109375" style="113" customWidth="1"/>
    <col min="3" max="3" width="15.28515625" style="114" customWidth="1"/>
    <col min="4" max="4" width="15.28515625" style="114" bestFit="1" customWidth="1"/>
    <col min="5" max="5" width="15.140625" style="114" customWidth="1"/>
    <col min="6" max="7" width="15.28515625" style="114" bestFit="1" customWidth="1"/>
    <col min="8" max="8" width="15.28515625" style="114" customWidth="1"/>
    <col min="9" max="11" width="15.28515625" style="114" bestFit="1" customWidth="1"/>
    <col min="12" max="12" width="14.85546875" style="114" customWidth="1"/>
    <col min="13" max="16384" width="9.140625" style="108"/>
  </cols>
  <sheetData>
    <row r="1" spans="1:12" ht="22.5" x14ac:dyDescent="0.25">
      <c r="A1" s="118" t="s">
        <v>181</v>
      </c>
      <c r="B1" s="119" t="s">
        <v>182</v>
      </c>
      <c r="C1" s="120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</row>
    <row r="2" spans="1:12" x14ac:dyDescent="0.25">
      <c r="A2" s="109" t="s">
        <v>607</v>
      </c>
      <c r="B2" s="110" t="s">
        <v>608</v>
      </c>
      <c r="C2" s="111">
        <v>25980.799999999999</v>
      </c>
      <c r="D2" s="111">
        <v>0</v>
      </c>
      <c r="E2" s="111">
        <v>25980.799999999999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25980.799999999999</v>
      </c>
      <c r="L2" s="111">
        <v>0</v>
      </c>
    </row>
    <row r="3" spans="1:12" x14ac:dyDescent="0.25">
      <c r="A3" s="109" t="s">
        <v>609</v>
      </c>
      <c r="B3" s="110" t="s">
        <v>134</v>
      </c>
      <c r="C3" s="111">
        <v>12126.66</v>
      </c>
      <c r="D3" s="111">
        <v>0</v>
      </c>
      <c r="E3" s="111">
        <v>12126.66</v>
      </c>
      <c r="F3" s="111">
        <v>0</v>
      </c>
      <c r="G3" s="111">
        <v>0</v>
      </c>
      <c r="H3" s="111">
        <v>0</v>
      </c>
      <c r="I3" s="111">
        <v>0</v>
      </c>
      <c r="J3" s="111">
        <v>0</v>
      </c>
      <c r="K3" s="111">
        <v>12126.66</v>
      </c>
      <c r="L3" s="111">
        <v>0</v>
      </c>
    </row>
    <row r="4" spans="1:12" x14ac:dyDescent="0.25">
      <c r="A4" s="109" t="s">
        <v>610</v>
      </c>
      <c r="B4" s="110" t="s">
        <v>28</v>
      </c>
      <c r="C4" s="111">
        <v>163499.4</v>
      </c>
      <c r="D4" s="111">
        <v>0</v>
      </c>
      <c r="E4" s="111">
        <v>112584.61</v>
      </c>
      <c r="F4" s="111">
        <v>0</v>
      </c>
      <c r="G4" s="111">
        <v>0</v>
      </c>
      <c r="H4" s="111">
        <v>0</v>
      </c>
      <c r="I4" s="111">
        <v>50914.79</v>
      </c>
      <c r="J4" s="111">
        <v>101829.58</v>
      </c>
      <c r="K4" s="111">
        <v>112584.61</v>
      </c>
      <c r="L4" s="111">
        <v>0</v>
      </c>
    </row>
    <row r="5" spans="1:12" x14ac:dyDescent="0.25">
      <c r="A5" s="109" t="s">
        <v>611</v>
      </c>
      <c r="B5" s="110" t="s">
        <v>612</v>
      </c>
      <c r="C5" s="111">
        <v>209196.72</v>
      </c>
      <c r="D5" s="111">
        <v>0</v>
      </c>
      <c r="E5" s="111">
        <v>172559.91</v>
      </c>
      <c r="F5" s="111">
        <v>0</v>
      </c>
      <c r="G5" s="111">
        <v>0</v>
      </c>
      <c r="H5" s="111">
        <v>0</v>
      </c>
      <c r="I5" s="111">
        <v>0</v>
      </c>
      <c r="J5" s="111">
        <v>36636.81</v>
      </c>
      <c r="K5" s="111">
        <v>172559.91</v>
      </c>
      <c r="L5" s="111">
        <v>0</v>
      </c>
    </row>
    <row r="6" spans="1:12" x14ac:dyDescent="0.25">
      <c r="A6" s="109" t="s">
        <v>613</v>
      </c>
      <c r="B6" s="110" t="s">
        <v>614</v>
      </c>
      <c r="C6" s="111">
        <v>3500</v>
      </c>
      <c r="D6" s="111">
        <v>0</v>
      </c>
      <c r="E6" s="111">
        <v>9800</v>
      </c>
      <c r="F6" s="111">
        <v>0</v>
      </c>
      <c r="G6" s="111">
        <v>0</v>
      </c>
      <c r="H6" s="111">
        <v>0</v>
      </c>
      <c r="I6" s="111">
        <v>7000</v>
      </c>
      <c r="J6" s="111">
        <v>700</v>
      </c>
      <c r="K6" s="111">
        <v>9800</v>
      </c>
      <c r="L6" s="111">
        <v>0</v>
      </c>
    </row>
    <row r="7" spans="1:12" x14ac:dyDescent="0.25">
      <c r="A7" s="109" t="s">
        <v>615</v>
      </c>
      <c r="B7" s="110" t="s">
        <v>616</v>
      </c>
      <c r="C7" s="111">
        <v>90003.69</v>
      </c>
      <c r="D7" s="111">
        <v>0</v>
      </c>
      <c r="E7" s="111">
        <v>90003.69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90003.69</v>
      </c>
      <c r="L7" s="111">
        <v>0</v>
      </c>
    </row>
    <row r="8" spans="1:12" x14ac:dyDescent="0.25">
      <c r="A8" s="109" t="s">
        <v>617</v>
      </c>
      <c r="B8" s="110" t="s">
        <v>27</v>
      </c>
      <c r="C8" s="111">
        <v>34418</v>
      </c>
      <c r="D8" s="111">
        <v>0</v>
      </c>
      <c r="E8" s="111">
        <v>9068</v>
      </c>
      <c r="F8" s="111">
        <v>0</v>
      </c>
      <c r="G8" s="111">
        <v>0</v>
      </c>
      <c r="H8" s="111">
        <v>0</v>
      </c>
      <c r="I8" s="111">
        <v>0</v>
      </c>
      <c r="J8" s="111">
        <v>25350</v>
      </c>
      <c r="K8" s="111">
        <v>9068</v>
      </c>
      <c r="L8" s="111">
        <v>0</v>
      </c>
    </row>
    <row r="9" spans="1:12" x14ac:dyDescent="0.25">
      <c r="A9" s="109" t="s">
        <v>618</v>
      </c>
      <c r="B9" s="110" t="s">
        <v>235</v>
      </c>
      <c r="C9" s="111">
        <v>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3500</v>
      </c>
      <c r="J9" s="111">
        <v>3500</v>
      </c>
      <c r="K9" s="111">
        <v>0</v>
      </c>
      <c r="L9" s="111">
        <v>0</v>
      </c>
    </row>
    <row r="10" spans="1:12" x14ac:dyDescent="0.25">
      <c r="A10" s="109" t="s">
        <v>619</v>
      </c>
      <c r="B10" s="110" t="s">
        <v>620</v>
      </c>
      <c r="C10" s="111">
        <v>366030.03</v>
      </c>
      <c r="D10" s="111">
        <v>0</v>
      </c>
      <c r="E10" s="111">
        <v>366030.03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366030.03</v>
      </c>
      <c r="L10" s="111">
        <v>0</v>
      </c>
    </row>
    <row r="11" spans="1:12" x14ac:dyDescent="0.25">
      <c r="A11" s="109" t="s">
        <v>621</v>
      </c>
      <c r="B11" s="110" t="s">
        <v>622</v>
      </c>
      <c r="C11" s="111">
        <v>0</v>
      </c>
      <c r="D11" s="111">
        <v>25980.799999999999</v>
      </c>
      <c r="E11" s="111">
        <v>0</v>
      </c>
      <c r="F11" s="111">
        <v>25980.799999999999</v>
      </c>
      <c r="G11" s="111">
        <v>0</v>
      </c>
      <c r="H11" s="111">
        <v>0</v>
      </c>
      <c r="I11" s="111">
        <v>0</v>
      </c>
      <c r="J11" s="111">
        <v>0</v>
      </c>
      <c r="K11" s="111">
        <v>0</v>
      </c>
      <c r="L11" s="111">
        <v>25980.799999999999</v>
      </c>
    </row>
    <row r="12" spans="1:12" x14ac:dyDescent="0.25">
      <c r="A12" s="109" t="s">
        <v>623</v>
      </c>
      <c r="B12" s="110" t="s">
        <v>624</v>
      </c>
      <c r="C12" s="111">
        <v>0</v>
      </c>
      <c r="D12" s="111">
        <v>1515.84</v>
      </c>
      <c r="E12" s="111">
        <v>0</v>
      </c>
      <c r="F12" s="111">
        <v>2442.15</v>
      </c>
      <c r="G12" s="111">
        <v>0</v>
      </c>
      <c r="H12" s="111">
        <v>84.25</v>
      </c>
      <c r="I12" s="111">
        <v>0</v>
      </c>
      <c r="J12" s="111">
        <v>1010.56</v>
      </c>
      <c r="K12" s="111">
        <v>0</v>
      </c>
      <c r="L12" s="111">
        <v>2526.4</v>
      </c>
    </row>
    <row r="13" spans="1:12" x14ac:dyDescent="0.25">
      <c r="A13" s="109" t="s">
        <v>625</v>
      </c>
      <c r="B13" s="110" t="s">
        <v>243</v>
      </c>
      <c r="C13" s="111">
        <v>0</v>
      </c>
      <c r="D13" s="111">
        <v>62127.01</v>
      </c>
      <c r="E13" s="111">
        <v>0</v>
      </c>
      <c r="F13" s="111">
        <v>45897.09</v>
      </c>
      <c r="G13" s="111">
        <v>0</v>
      </c>
      <c r="H13" s="111">
        <v>469.13</v>
      </c>
      <c r="I13" s="111">
        <v>50914.79</v>
      </c>
      <c r="J13" s="111">
        <v>35154</v>
      </c>
      <c r="K13" s="111">
        <v>0</v>
      </c>
      <c r="L13" s="111">
        <v>46366.22</v>
      </c>
    </row>
    <row r="14" spans="1:12" x14ac:dyDescent="0.25">
      <c r="A14" s="109" t="s">
        <v>626</v>
      </c>
      <c r="B14" s="110" t="s">
        <v>627</v>
      </c>
      <c r="C14" s="111">
        <v>0</v>
      </c>
      <c r="D14" s="111">
        <v>161094.73000000001</v>
      </c>
      <c r="E14" s="111">
        <v>0</v>
      </c>
      <c r="F14" s="111">
        <v>138807.16</v>
      </c>
      <c r="G14" s="111">
        <v>0</v>
      </c>
      <c r="H14" s="111">
        <v>1298.21</v>
      </c>
      <c r="I14" s="111">
        <v>36636.81</v>
      </c>
      <c r="J14" s="111">
        <v>15647.45</v>
      </c>
      <c r="K14" s="111">
        <v>0</v>
      </c>
      <c r="L14" s="111">
        <v>140105.37</v>
      </c>
    </row>
    <row r="15" spans="1:12" x14ac:dyDescent="0.25">
      <c r="A15" s="109" t="s">
        <v>628</v>
      </c>
      <c r="B15" s="110" t="s">
        <v>251</v>
      </c>
      <c r="C15" s="111">
        <v>0</v>
      </c>
      <c r="D15" s="111">
        <v>1625.02</v>
      </c>
      <c r="E15" s="111">
        <v>0</v>
      </c>
      <c r="F15" s="111">
        <v>2483.73</v>
      </c>
      <c r="G15" s="111">
        <v>0</v>
      </c>
      <c r="H15" s="111">
        <v>177.92</v>
      </c>
      <c r="I15" s="111">
        <v>700</v>
      </c>
      <c r="J15" s="111">
        <v>1736.63</v>
      </c>
      <c r="K15" s="111">
        <v>0</v>
      </c>
      <c r="L15" s="111">
        <v>2661.65</v>
      </c>
    </row>
    <row r="16" spans="1:12" x14ac:dyDescent="0.25">
      <c r="A16" s="109" t="s">
        <v>629</v>
      </c>
      <c r="B16" s="110" t="s">
        <v>630</v>
      </c>
      <c r="C16" s="111">
        <v>0</v>
      </c>
      <c r="D16" s="111">
        <v>57396.08</v>
      </c>
      <c r="E16" s="111">
        <v>0</v>
      </c>
      <c r="F16" s="111">
        <v>75482.28</v>
      </c>
      <c r="G16" s="111">
        <v>0</v>
      </c>
      <c r="H16" s="111">
        <v>1644.06</v>
      </c>
      <c r="I16" s="111">
        <v>0</v>
      </c>
      <c r="J16" s="111">
        <v>19730.259999999998</v>
      </c>
      <c r="K16" s="111">
        <v>0</v>
      </c>
      <c r="L16" s="111">
        <v>77126.34</v>
      </c>
    </row>
    <row r="17" spans="1:12" x14ac:dyDescent="0.25">
      <c r="A17" s="109" t="s">
        <v>631</v>
      </c>
      <c r="B17" s="110" t="s">
        <v>269</v>
      </c>
      <c r="C17" s="111">
        <v>0</v>
      </c>
      <c r="D17" s="111">
        <v>0</v>
      </c>
      <c r="E17" s="111">
        <v>0</v>
      </c>
      <c r="F17" s="111">
        <v>0</v>
      </c>
      <c r="G17" s="111">
        <v>0</v>
      </c>
      <c r="H17" s="111">
        <v>0</v>
      </c>
      <c r="I17" s="111">
        <v>600</v>
      </c>
      <c r="J17" s="111">
        <v>600</v>
      </c>
      <c r="K17" s="111">
        <v>0</v>
      </c>
      <c r="L17" s="111">
        <v>0</v>
      </c>
    </row>
    <row r="18" spans="1:12" x14ac:dyDescent="0.25">
      <c r="A18" s="109" t="s">
        <v>632</v>
      </c>
      <c r="B18" s="110" t="s">
        <v>633</v>
      </c>
      <c r="C18" s="111">
        <v>157.55000000000001</v>
      </c>
      <c r="D18" s="111">
        <v>0</v>
      </c>
      <c r="E18" s="111">
        <v>9.11</v>
      </c>
      <c r="F18" s="111">
        <v>0</v>
      </c>
      <c r="G18" s="111">
        <v>77.599999999999994</v>
      </c>
      <c r="H18" s="111">
        <v>0</v>
      </c>
      <c r="I18" s="111">
        <v>677.6</v>
      </c>
      <c r="J18" s="111">
        <v>748.44</v>
      </c>
      <c r="K18" s="111">
        <v>86.71</v>
      </c>
      <c r="L18" s="111">
        <v>0</v>
      </c>
    </row>
    <row r="19" spans="1:12" x14ac:dyDescent="0.25">
      <c r="A19" s="109" t="s">
        <v>634</v>
      </c>
      <c r="B19" s="110" t="s">
        <v>48</v>
      </c>
      <c r="C19" s="111">
        <v>144</v>
      </c>
      <c r="D19" s="111">
        <v>0</v>
      </c>
      <c r="E19" s="111">
        <v>2074.73</v>
      </c>
      <c r="F19" s="111">
        <v>0</v>
      </c>
      <c r="G19" s="111">
        <v>0</v>
      </c>
      <c r="H19" s="111">
        <v>1689.6</v>
      </c>
      <c r="I19" s="111">
        <v>2099.69</v>
      </c>
      <c r="J19" s="111">
        <v>1858.56</v>
      </c>
      <c r="K19" s="111">
        <v>385.13</v>
      </c>
      <c r="L19" s="111">
        <v>0</v>
      </c>
    </row>
    <row r="20" spans="1:12" x14ac:dyDescent="0.25">
      <c r="A20" s="109" t="s">
        <v>635</v>
      </c>
      <c r="B20" s="110" t="s">
        <v>109</v>
      </c>
      <c r="C20" s="111">
        <v>4100</v>
      </c>
      <c r="D20" s="111">
        <v>0</v>
      </c>
      <c r="E20" s="111">
        <v>1550</v>
      </c>
      <c r="F20" s="111">
        <v>0</v>
      </c>
      <c r="G20" s="111">
        <v>0</v>
      </c>
      <c r="H20" s="111">
        <v>0</v>
      </c>
      <c r="I20" s="111">
        <v>2450</v>
      </c>
      <c r="J20" s="111">
        <v>5000</v>
      </c>
      <c r="K20" s="111">
        <v>1550</v>
      </c>
      <c r="L20" s="111">
        <v>0</v>
      </c>
    </row>
    <row r="21" spans="1:12" x14ac:dyDescent="0.25">
      <c r="A21" s="109" t="s">
        <v>636</v>
      </c>
      <c r="B21" s="110" t="s">
        <v>281</v>
      </c>
      <c r="C21" s="111">
        <v>0</v>
      </c>
      <c r="D21" s="111">
        <v>0</v>
      </c>
      <c r="E21" s="111">
        <v>0</v>
      </c>
      <c r="F21" s="111">
        <v>173.14</v>
      </c>
      <c r="G21" s="111">
        <v>31563.11</v>
      </c>
      <c r="H21" s="111">
        <v>31389.97</v>
      </c>
      <c r="I21" s="111">
        <v>456020.82</v>
      </c>
      <c r="J21" s="111">
        <v>456020.82</v>
      </c>
      <c r="K21" s="111">
        <v>0</v>
      </c>
      <c r="L21" s="111">
        <v>0</v>
      </c>
    </row>
    <row r="22" spans="1:12" x14ac:dyDescent="0.25">
      <c r="A22" s="109" t="s">
        <v>637</v>
      </c>
      <c r="B22" s="110" t="s">
        <v>638</v>
      </c>
      <c r="C22" s="111">
        <v>245820.98</v>
      </c>
      <c r="D22" s="111">
        <v>0</v>
      </c>
      <c r="E22" s="111">
        <v>229180.81</v>
      </c>
      <c r="F22" s="111">
        <v>0</v>
      </c>
      <c r="G22" s="111">
        <v>42551.82</v>
      </c>
      <c r="H22" s="111">
        <v>48689.57</v>
      </c>
      <c r="I22" s="111">
        <v>710463.06</v>
      </c>
      <c r="J22" s="111">
        <v>733240.98</v>
      </c>
      <c r="K22" s="111">
        <v>223043.06</v>
      </c>
      <c r="L22" s="111">
        <v>0</v>
      </c>
    </row>
    <row r="23" spans="1:12" x14ac:dyDescent="0.25">
      <c r="A23" s="109" t="s">
        <v>639</v>
      </c>
      <c r="B23" s="110" t="s">
        <v>640</v>
      </c>
      <c r="C23" s="111">
        <v>2767.45</v>
      </c>
      <c r="D23" s="111">
        <v>0</v>
      </c>
      <c r="E23" s="111">
        <v>5128.04</v>
      </c>
      <c r="F23" s="111">
        <v>0</v>
      </c>
      <c r="G23" s="111">
        <v>61097.63</v>
      </c>
      <c r="H23" s="111">
        <v>62954.71</v>
      </c>
      <c r="I23" s="111">
        <v>607254.02</v>
      </c>
      <c r="J23" s="111">
        <v>606750.51</v>
      </c>
      <c r="K23" s="111">
        <v>3270.96</v>
      </c>
      <c r="L23" s="111">
        <v>0</v>
      </c>
    </row>
    <row r="24" spans="1:12" x14ac:dyDescent="0.25">
      <c r="A24" s="109" t="s">
        <v>641</v>
      </c>
      <c r="B24" s="110" t="s">
        <v>642</v>
      </c>
      <c r="C24" s="111">
        <v>248.45</v>
      </c>
      <c r="D24" s="111">
        <v>0</v>
      </c>
      <c r="E24" s="111">
        <v>0</v>
      </c>
      <c r="F24" s="111">
        <v>0</v>
      </c>
      <c r="G24" s="111">
        <v>551.45000000000005</v>
      </c>
      <c r="H24" s="111">
        <v>551.45000000000005</v>
      </c>
      <c r="I24" s="111">
        <v>7440.71</v>
      </c>
      <c r="J24" s="111">
        <v>7689.16</v>
      </c>
      <c r="K24" s="111">
        <v>0</v>
      </c>
      <c r="L24" s="111">
        <v>0</v>
      </c>
    </row>
    <row r="25" spans="1:12" x14ac:dyDescent="0.25">
      <c r="A25" s="109" t="s">
        <v>643</v>
      </c>
      <c r="B25" s="110" t="s">
        <v>295</v>
      </c>
      <c r="C25" s="111">
        <v>-25201.66</v>
      </c>
      <c r="D25" s="111">
        <v>0</v>
      </c>
      <c r="E25" s="111">
        <v>-25106.79</v>
      </c>
      <c r="F25" s="111">
        <v>0</v>
      </c>
      <c r="G25" s="111">
        <v>92098.04</v>
      </c>
      <c r="H25" s="111">
        <v>91605.75</v>
      </c>
      <c r="I25" s="111">
        <v>972273.09</v>
      </c>
      <c r="J25" s="111">
        <v>971685.93</v>
      </c>
      <c r="K25" s="111">
        <v>-24614.5</v>
      </c>
      <c r="L25" s="111">
        <v>0</v>
      </c>
    </row>
    <row r="26" spans="1:12" x14ac:dyDescent="0.25">
      <c r="A26" s="109" t="s">
        <v>644</v>
      </c>
      <c r="B26" s="110" t="s">
        <v>645</v>
      </c>
      <c r="C26" s="111">
        <v>0</v>
      </c>
      <c r="D26" s="111">
        <v>0</v>
      </c>
      <c r="E26" s="111">
        <v>0</v>
      </c>
      <c r="F26" s="111">
        <v>0</v>
      </c>
      <c r="G26" s="111">
        <v>49700</v>
      </c>
      <c r="H26" s="111">
        <v>49700</v>
      </c>
      <c r="I26" s="111">
        <v>516260</v>
      </c>
      <c r="J26" s="111">
        <v>516260</v>
      </c>
      <c r="K26" s="111">
        <v>0</v>
      </c>
      <c r="L26" s="111">
        <v>0</v>
      </c>
    </row>
    <row r="27" spans="1:12" x14ac:dyDescent="0.25">
      <c r="A27" s="109" t="s">
        <v>646</v>
      </c>
      <c r="B27" s="110" t="s">
        <v>647</v>
      </c>
      <c r="C27" s="111">
        <v>25194.880000000001</v>
      </c>
      <c r="D27" s="111">
        <v>0</v>
      </c>
      <c r="E27" s="111">
        <v>26700.74</v>
      </c>
      <c r="F27" s="111">
        <v>0</v>
      </c>
      <c r="G27" s="111">
        <v>7116.32</v>
      </c>
      <c r="H27" s="111">
        <v>26748.38</v>
      </c>
      <c r="I27" s="111">
        <v>263928.09000000003</v>
      </c>
      <c r="J27" s="111">
        <v>282054.28999999998</v>
      </c>
      <c r="K27" s="111">
        <v>7068.68</v>
      </c>
      <c r="L27" s="111">
        <v>0</v>
      </c>
    </row>
    <row r="28" spans="1:12" x14ac:dyDescent="0.25">
      <c r="A28" s="109" t="s">
        <v>648</v>
      </c>
      <c r="B28" s="110" t="s">
        <v>303</v>
      </c>
      <c r="C28" s="111">
        <v>0</v>
      </c>
      <c r="D28" s="111">
        <v>0</v>
      </c>
      <c r="E28" s="111">
        <v>0</v>
      </c>
      <c r="F28" s="111">
        <v>0</v>
      </c>
      <c r="G28" s="111">
        <v>1132.8599999999999</v>
      </c>
      <c r="H28" s="111">
        <v>983.86</v>
      </c>
      <c r="I28" s="111">
        <v>9536.93</v>
      </c>
      <c r="J28" s="111">
        <v>9387.93</v>
      </c>
      <c r="K28" s="111">
        <v>327.8</v>
      </c>
      <c r="L28" s="111">
        <v>178.8</v>
      </c>
    </row>
    <row r="29" spans="1:12" x14ac:dyDescent="0.25">
      <c r="A29" s="109" t="s">
        <v>649</v>
      </c>
      <c r="B29" s="110" t="s">
        <v>650</v>
      </c>
      <c r="C29" s="111">
        <v>72.150000000000006</v>
      </c>
      <c r="D29" s="111">
        <v>0</v>
      </c>
      <c r="E29" s="111">
        <v>1209.3699999999999</v>
      </c>
      <c r="F29" s="111">
        <v>0</v>
      </c>
      <c r="G29" s="111">
        <v>0</v>
      </c>
      <c r="H29" s="111">
        <v>1209.3699999999999</v>
      </c>
      <c r="I29" s="111">
        <v>0</v>
      </c>
      <c r="J29" s="111">
        <v>72.150000000000006</v>
      </c>
      <c r="K29" s="111">
        <v>0</v>
      </c>
      <c r="L29" s="111">
        <v>0</v>
      </c>
    </row>
    <row r="30" spans="1:12" x14ac:dyDescent="0.25">
      <c r="A30" s="109" t="s">
        <v>651</v>
      </c>
      <c r="B30" s="110" t="s">
        <v>652</v>
      </c>
      <c r="C30" s="111">
        <v>0</v>
      </c>
      <c r="D30" s="111">
        <v>159146.81</v>
      </c>
      <c r="E30" s="111">
        <v>0</v>
      </c>
      <c r="F30" s="111">
        <v>139003.5</v>
      </c>
      <c r="G30" s="111">
        <v>51689.02</v>
      </c>
      <c r="H30" s="111">
        <v>40371.629999999997</v>
      </c>
      <c r="I30" s="111">
        <v>575129.93000000005</v>
      </c>
      <c r="J30" s="111">
        <v>543669.23</v>
      </c>
      <c r="K30" s="111">
        <v>0</v>
      </c>
      <c r="L30" s="111">
        <v>127686.11</v>
      </c>
    </row>
    <row r="31" spans="1:12" x14ac:dyDescent="0.25">
      <c r="A31" s="109" t="s">
        <v>653</v>
      </c>
      <c r="B31" s="110" t="s">
        <v>654</v>
      </c>
      <c r="C31" s="111">
        <v>0</v>
      </c>
      <c r="D31" s="111">
        <v>2953.61</v>
      </c>
      <c r="E31" s="111">
        <v>0</v>
      </c>
      <c r="F31" s="111">
        <v>2953.61</v>
      </c>
      <c r="G31" s="111">
        <v>2953.61</v>
      </c>
      <c r="H31" s="111">
        <v>1091.28</v>
      </c>
      <c r="I31" s="111">
        <v>2953.61</v>
      </c>
      <c r="J31" s="111">
        <v>1091.28</v>
      </c>
      <c r="K31" s="111">
        <v>0</v>
      </c>
      <c r="L31" s="111">
        <v>1091.28</v>
      </c>
    </row>
    <row r="32" spans="1:12" x14ac:dyDescent="0.25">
      <c r="A32" s="109" t="s">
        <v>655</v>
      </c>
      <c r="B32" s="110" t="s">
        <v>656</v>
      </c>
      <c r="C32" s="111">
        <v>0</v>
      </c>
      <c r="D32" s="111">
        <v>0</v>
      </c>
      <c r="E32" s="111">
        <v>0</v>
      </c>
      <c r="F32" s="111">
        <v>0</v>
      </c>
      <c r="G32" s="111">
        <v>71.3</v>
      </c>
      <c r="H32" s="111">
        <v>71.3</v>
      </c>
      <c r="I32" s="111">
        <v>45674.74</v>
      </c>
      <c r="J32" s="111">
        <v>45674.74</v>
      </c>
      <c r="K32" s="111">
        <v>0</v>
      </c>
      <c r="L32" s="111">
        <v>0</v>
      </c>
    </row>
    <row r="33" spans="1:12" x14ac:dyDescent="0.25">
      <c r="A33" s="109" t="s">
        <v>657</v>
      </c>
      <c r="B33" s="110" t="s">
        <v>327</v>
      </c>
      <c r="C33" s="111">
        <v>0</v>
      </c>
      <c r="D33" s="111">
        <v>0</v>
      </c>
      <c r="E33" s="111">
        <v>0</v>
      </c>
      <c r="F33" s="111">
        <v>0</v>
      </c>
      <c r="G33" s="111">
        <v>0</v>
      </c>
      <c r="H33" s="111">
        <v>0</v>
      </c>
      <c r="I33" s="111">
        <v>22.5</v>
      </c>
      <c r="J33" s="111">
        <v>22.5</v>
      </c>
      <c r="K33" s="111">
        <v>0</v>
      </c>
      <c r="L33" s="111">
        <v>0</v>
      </c>
    </row>
    <row r="34" spans="1:12" x14ac:dyDescent="0.25">
      <c r="A34" s="109" t="s">
        <v>658</v>
      </c>
      <c r="B34" s="110" t="s">
        <v>329</v>
      </c>
      <c r="C34" s="111">
        <v>0</v>
      </c>
      <c r="D34" s="111">
        <v>8371.84</v>
      </c>
      <c r="E34" s="111">
        <v>0</v>
      </c>
      <c r="F34" s="111">
        <v>6928.45</v>
      </c>
      <c r="G34" s="111">
        <v>18320.439999999999</v>
      </c>
      <c r="H34" s="111">
        <v>20561.41</v>
      </c>
      <c r="I34" s="111">
        <v>213567.2</v>
      </c>
      <c r="J34" s="111">
        <v>214364.78</v>
      </c>
      <c r="K34" s="111">
        <v>0</v>
      </c>
      <c r="L34" s="111">
        <v>9169.42</v>
      </c>
    </row>
    <row r="35" spans="1:12" x14ac:dyDescent="0.25">
      <c r="A35" s="109" t="s">
        <v>659</v>
      </c>
      <c r="B35" s="110" t="s">
        <v>660</v>
      </c>
      <c r="C35" s="111">
        <v>324.19</v>
      </c>
      <c r="D35" s="111">
        <v>0</v>
      </c>
      <c r="E35" s="111">
        <v>175.54</v>
      </c>
      <c r="F35" s="111">
        <v>0</v>
      </c>
      <c r="G35" s="111">
        <v>195.07</v>
      </c>
      <c r="H35" s="111">
        <v>175.54</v>
      </c>
      <c r="I35" s="111">
        <v>2517.42</v>
      </c>
      <c r="J35" s="111">
        <v>2646.54</v>
      </c>
      <c r="K35" s="111">
        <v>195.07</v>
      </c>
      <c r="L35" s="111">
        <v>0</v>
      </c>
    </row>
    <row r="36" spans="1:12" x14ac:dyDescent="0.25">
      <c r="A36" s="109" t="s">
        <v>661</v>
      </c>
      <c r="B36" s="110" t="s">
        <v>662</v>
      </c>
      <c r="C36" s="111">
        <v>0</v>
      </c>
      <c r="D36" s="111">
        <v>4866.21</v>
      </c>
      <c r="E36" s="111">
        <v>0</v>
      </c>
      <c r="F36" s="111">
        <v>3754.15</v>
      </c>
      <c r="G36" s="111">
        <v>3754.14</v>
      </c>
      <c r="H36" s="111">
        <v>4733.76</v>
      </c>
      <c r="I36" s="111">
        <v>52840.87</v>
      </c>
      <c r="J36" s="111">
        <v>52708.43</v>
      </c>
      <c r="K36" s="111">
        <v>0</v>
      </c>
      <c r="L36" s="111">
        <v>4733.7700000000004</v>
      </c>
    </row>
    <row r="37" spans="1:12" x14ac:dyDescent="0.25">
      <c r="A37" s="109" t="s">
        <v>663</v>
      </c>
      <c r="B37" s="110" t="s">
        <v>664</v>
      </c>
      <c r="C37" s="111">
        <v>0</v>
      </c>
      <c r="D37" s="111">
        <v>-5899.04</v>
      </c>
      <c r="E37" s="111">
        <v>0</v>
      </c>
      <c r="F37" s="111">
        <v>0</v>
      </c>
      <c r="G37" s="111">
        <v>0</v>
      </c>
      <c r="H37" s="111">
        <v>10078.879999999999</v>
      </c>
      <c r="I37" s="111">
        <v>0</v>
      </c>
      <c r="J37" s="111">
        <v>15977.92</v>
      </c>
      <c r="K37" s="111">
        <v>0</v>
      </c>
      <c r="L37" s="111">
        <v>10078.879999999999</v>
      </c>
    </row>
    <row r="38" spans="1:12" x14ac:dyDescent="0.25">
      <c r="A38" s="109" t="s">
        <v>665</v>
      </c>
      <c r="B38" s="110" t="s">
        <v>341</v>
      </c>
      <c r="C38" s="111">
        <v>0</v>
      </c>
      <c r="D38" s="111">
        <v>653.51</v>
      </c>
      <c r="E38" s="111">
        <v>0</v>
      </c>
      <c r="F38" s="111">
        <v>368.03</v>
      </c>
      <c r="G38" s="111">
        <v>698.03</v>
      </c>
      <c r="H38" s="111">
        <v>941</v>
      </c>
      <c r="I38" s="111">
        <v>10114.09</v>
      </c>
      <c r="J38" s="111">
        <v>10071.58</v>
      </c>
      <c r="K38" s="111">
        <v>0</v>
      </c>
      <c r="L38" s="111">
        <v>611</v>
      </c>
    </row>
    <row r="39" spans="1:12" x14ac:dyDescent="0.25">
      <c r="A39" s="109" t="s">
        <v>666</v>
      </c>
      <c r="B39" s="110" t="s">
        <v>667</v>
      </c>
      <c r="C39" s="111">
        <v>0</v>
      </c>
      <c r="D39" s="111">
        <v>13821.88</v>
      </c>
      <c r="E39" s="111">
        <v>0</v>
      </c>
      <c r="F39" s="111">
        <v>26131</v>
      </c>
      <c r="G39" s="111">
        <v>51407.06</v>
      </c>
      <c r="H39" s="111">
        <v>34966.699999999997</v>
      </c>
      <c r="I39" s="111">
        <v>471539.26</v>
      </c>
      <c r="J39" s="111">
        <v>467408.02</v>
      </c>
      <c r="K39" s="111">
        <v>0</v>
      </c>
      <c r="L39" s="111">
        <v>9690.64</v>
      </c>
    </row>
    <row r="40" spans="1:12" x14ac:dyDescent="0.25">
      <c r="A40" s="109" t="s">
        <v>668</v>
      </c>
      <c r="B40" s="110" t="s">
        <v>361</v>
      </c>
      <c r="C40" s="111">
        <v>0</v>
      </c>
      <c r="D40" s="111">
        <v>0</v>
      </c>
      <c r="E40" s="111">
        <v>0</v>
      </c>
      <c r="F40" s="111">
        <v>0</v>
      </c>
      <c r="G40" s="111">
        <v>447.88</v>
      </c>
      <c r="H40" s="111">
        <v>447.88</v>
      </c>
      <c r="I40" s="111">
        <v>2490.6999999999998</v>
      </c>
      <c r="J40" s="111">
        <v>2490.6999999999998</v>
      </c>
      <c r="K40" s="111">
        <v>0</v>
      </c>
      <c r="L40" s="111">
        <v>0</v>
      </c>
    </row>
    <row r="41" spans="1:12" x14ac:dyDescent="0.25">
      <c r="A41" s="109" t="s">
        <v>669</v>
      </c>
      <c r="B41" s="110" t="s">
        <v>670</v>
      </c>
      <c r="C41" s="111">
        <v>3105.21</v>
      </c>
      <c r="D41" s="111">
        <v>0</v>
      </c>
      <c r="E41" s="111">
        <v>0</v>
      </c>
      <c r="F41" s="111">
        <v>0</v>
      </c>
      <c r="G41" s="111">
        <v>4214.5</v>
      </c>
      <c r="H41" s="111">
        <v>3425.32</v>
      </c>
      <c r="I41" s="111">
        <v>12878.79</v>
      </c>
      <c r="J41" s="111">
        <v>15194.82</v>
      </c>
      <c r="K41" s="111">
        <v>789.18</v>
      </c>
      <c r="L41" s="111">
        <v>0</v>
      </c>
    </row>
    <row r="42" spans="1:12" x14ac:dyDescent="0.25">
      <c r="A42" s="109" t="s">
        <v>671</v>
      </c>
      <c r="B42" s="110" t="s">
        <v>672</v>
      </c>
      <c r="C42" s="111">
        <v>0</v>
      </c>
      <c r="D42" s="111">
        <v>64874.27</v>
      </c>
      <c r="E42" s="111">
        <v>0</v>
      </c>
      <c r="F42" s="111">
        <v>64874.27</v>
      </c>
      <c r="G42" s="111">
        <v>326</v>
      </c>
      <c r="H42" s="111">
        <v>0</v>
      </c>
      <c r="I42" s="111">
        <v>326</v>
      </c>
      <c r="J42" s="111">
        <v>0</v>
      </c>
      <c r="K42" s="111">
        <v>0</v>
      </c>
      <c r="L42" s="111">
        <v>64548.27</v>
      </c>
    </row>
    <row r="43" spans="1:12" x14ac:dyDescent="0.25">
      <c r="A43" s="109" t="s">
        <v>673</v>
      </c>
      <c r="B43" s="110" t="s">
        <v>674</v>
      </c>
      <c r="C43" s="111">
        <v>0</v>
      </c>
      <c r="D43" s="111">
        <v>37226</v>
      </c>
      <c r="E43" s="111">
        <v>0</v>
      </c>
      <c r="F43" s="111">
        <v>25226</v>
      </c>
      <c r="G43" s="111">
        <v>6613</v>
      </c>
      <c r="H43" s="111">
        <v>0</v>
      </c>
      <c r="I43" s="111">
        <v>18613</v>
      </c>
      <c r="J43" s="111">
        <v>0</v>
      </c>
      <c r="K43" s="111">
        <v>0</v>
      </c>
      <c r="L43" s="111">
        <v>18613</v>
      </c>
    </row>
    <row r="44" spans="1:12" x14ac:dyDescent="0.25">
      <c r="A44" s="109" t="s">
        <v>675</v>
      </c>
      <c r="B44" s="110" t="s">
        <v>52</v>
      </c>
      <c r="C44" s="111">
        <v>0</v>
      </c>
      <c r="D44" s="111">
        <v>0</v>
      </c>
      <c r="E44" s="111">
        <v>0</v>
      </c>
      <c r="F44" s="111">
        <v>0</v>
      </c>
      <c r="G44" s="111">
        <v>150.6</v>
      </c>
      <c r="H44" s="111">
        <v>150.6</v>
      </c>
      <c r="I44" s="111">
        <v>591.77</v>
      </c>
      <c r="J44" s="111">
        <v>591.77</v>
      </c>
      <c r="K44" s="111">
        <v>0</v>
      </c>
      <c r="L44" s="111">
        <v>0</v>
      </c>
    </row>
    <row r="45" spans="1:12" x14ac:dyDescent="0.25">
      <c r="A45" s="109" t="s">
        <v>676</v>
      </c>
      <c r="B45" s="110" t="s">
        <v>370</v>
      </c>
      <c r="C45" s="111">
        <v>0</v>
      </c>
      <c r="D45" s="111">
        <v>553</v>
      </c>
      <c r="E45" s="111">
        <v>0</v>
      </c>
      <c r="F45" s="111">
        <v>1441.34</v>
      </c>
      <c r="G45" s="111">
        <v>1441.34</v>
      </c>
      <c r="H45" s="111">
        <v>732.52</v>
      </c>
      <c r="I45" s="111">
        <v>6449.15</v>
      </c>
      <c r="J45" s="111">
        <v>6628.67</v>
      </c>
      <c r="K45" s="111">
        <v>0</v>
      </c>
      <c r="L45" s="111">
        <v>732.52</v>
      </c>
    </row>
    <row r="46" spans="1:12" x14ac:dyDescent="0.25">
      <c r="A46" s="109" t="s">
        <v>677</v>
      </c>
      <c r="B46" s="110" t="s">
        <v>372</v>
      </c>
      <c r="C46" s="111">
        <v>0</v>
      </c>
      <c r="D46" s="111">
        <v>0</v>
      </c>
      <c r="E46" s="111">
        <v>7.04</v>
      </c>
      <c r="F46" s="111">
        <v>0</v>
      </c>
      <c r="G46" s="111">
        <v>10996.09</v>
      </c>
      <c r="H46" s="111">
        <v>11003.13</v>
      </c>
      <c r="I46" s="111">
        <v>254357.05</v>
      </c>
      <c r="J46" s="111">
        <v>254357.05</v>
      </c>
      <c r="K46" s="111">
        <v>0</v>
      </c>
      <c r="L46" s="111">
        <v>0</v>
      </c>
    </row>
    <row r="47" spans="1:12" x14ac:dyDescent="0.25">
      <c r="A47" s="109" t="s">
        <v>678</v>
      </c>
      <c r="B47" s="110" t="s">
        <v>374</v>
      </c>
      <c r="C47" s="111">
        <v>0</v>
      </c>
      <c r="D47" s="111">
        <v>109068</v>
      </c>
      <c r="E47" s="111">
        <v>0</v>
      </c>
      <c r="F47" s="111">
        <v>109068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109068</v>
      </c>
    </row>
    <row r="48" spans="1:12" x14ac:dyDescent="0.25">
      <c r="A48" s="109" t="s">
        <v>679</v>
      </c>
      <c r="B48" s="110" t="s">
        <v>376</v>
      </c>
      <c r="C48" s="111">
        <v>0</v>
      </c>
      <c r="D48" s="111">
        <v>10906.8</v>
      </c>
      <c r="E48" s="111">
        <v>0</v>
      </c>
      <c r="F48" s="111">
        <v>10906.8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  <c r="L48" s="111">
        <v>10906.8</v>
      </c>
    </row>
    <row r="49" spans="1:12" x14ac:dyDescent="0.25">
      <c r="A49" s="109" t="s">
        <v>680</v>
      </c>
      <c r="B49" s="110" t="s">
        <v>681</v>
      </c>
      <c r="C49" s="111">
        <v>0</v>
      </c>
      <c r="D49" s="111">
        <v>212861.77</v>
      </c>
      <c r="E49" s="111">
        <v>0</v>
      </c>
      <c r="F49" s="111">
        <v>210590.03</v>
      </c>
      <c r="G49" s="111">
        <v>0</v>
      </c>
      <c r="H49" s="111">
        <v>0</v>
      </c>
      <c r="I49" s="111">
        <v>0</v>
      </c>
      <c r="J49" s="111">
        <v>-2271.7399999999998</v>
      </c>
      <c r="K49" s="111">
        <v>0</v>
      </c>
      <c r="L49" s="111">
        <v>210590.03</v>
      </c>
    </row>
    <row r="50" spans="1:12" x14ac:dyDescent="0.25">
      <c r="A50" s="109" t="s">
        <v>682</v>
      </c>
      <c r="B50" s="110" t="s">
        <v>392</v>
      </c>
      <c r="C50" s="111">
        <v>2271.7399999999998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-2271.7399999999998</v>
      </c>
      <c r="J50" s="111">
        <v>0</v>
      </c>
      <c r="K50" s="111">
        <v>0</v>
      </c>
      <c r="L50" s="111">
        <v>0</v>
      </c>
    </row>
    <row r="51" spans="1:12" x14ac:dyDescent="0.25">
      <c r="A51" s="109" t="s">
        <v>683</v>
      </c>
      <c r="B51" s="110" t="s">
        <v>684</v>
      </c>
      <c r="C51" s="111">
        <v>-221775</v>
      </c>
      <c r="D51" s="111">
        <v>0</v>
      </c>
      <c r="E51" s="111">
        <v>-96410</v>
      </c>
      <c r="F51" s="111">
        <v>0</v>
      </c>
      <c r="G51" s="111">
        <v>3215</v>
      </c>
      <c r="H51" s="111">
        <v>0</v>
      </c>
      <c r="I51" s="111">
        <v>128580</v>
      </c>
      <c r="J51" s="111">
        <v>0</v>
      </c>
      <c r="K51" s="111">
        <v>-93195</v>
      </c>
      <c r="L51" s="111">
        <v>0</v>
      </c>
    </row>
    <row r="52" spans="1:12" x14ac:dyDescent="0.25">
      <c r="A52" s="109" t="s">
        <v>685</v>
      </c>
      <c r="B52" s="110" t="s">
        <v>396</v>
      </c>
      <c r="C52" s="111">
        <v>0</v>
      </c>
      <c r="D52" s="111">
        <v>1641.36</v>
      </c>
      <c r="E52" s="111">
        <v>0</v>
      </c>
      <c r="F52" s="111">
        <v>1007.46</v>
      </c>
      <c r="G52" s="111">
        <v>81.599999999999994</v>
      </c>
      <c r="H52" s="111">
        <v>41.17</v>
      </c>
      <c r="I52" s="111">
        <v>1246.6099999999999</v>
      </c>
      <c r="J52" s="111">
        <v>572.28</v>
      </c>
      <c r="K52" s="111">
        <v>0</v>
      </c>
      <c r="L52" s="111">
        <v>967.03</v>
      </c>
    </row>
    <row r="53" spans="1:12" x14ac:dyDescent="0.25">
      <c r="A53" s="109" t="s">
        <v>686</v>
      </c>
      <c r="B53" s="110" t="s">
        <v>687</v>
      </c>
      <c r="C53" s="111">
        <v>0</v>
      </c>
      <c r="D53" s="111">
        <v>0</v>
      </c>
      <c r="E53" s="111">
        <v>0</v>
      </c>
      <c r="F53" s="111">
        <v>0</v>
      </c>
      <c r="G53" s="111">
        <v>818.22</v>
      </c>
      <c r="H53" s="111">
        <v>818.22</v>
      </c>
      <c r="I53" s="111">
        <v>818.22</v>
      </c>
      <c r="J53" s="111">
        <v>818.22</v>
      </c>
      <c r="K53" s="111">
        <v>0</v>
      </c>
      <c r="L53" s="111">
        <v>0</v>
      </c>
    </row>
    <row r="54" spans="1:12" x14ac:dyDescent="0.25">
      <c r="A54" s="109" t="s">
        <v>688</v>
      </c>
      <c r="B54" s="110" t="s">
        <v>689</v>
      </c>
      <c r="C54" s="111">
        <v>0</v>
      </c>
      <c r="D54" s="111">
        <v>11199.74</v>
      </c>
      <c r="E54" s="111">
        <v>0</v>
      </c>
      <c r="F54" s="111">
        <v>4896.1000000000004</v>
      </c>
      <c r="G54" s="111">
        <v>891.73</v>
      </c>
      <c r="H54" s="111">
        <v>750.11</v>
      </c>
      <c r="I54" s="111">
        <v>7842.91</v>
      </c>
      <c r="J54" s="111">
        <v>1397.65</v>
      </c>
      <c r="K54" s="111">
        <v>0</v>
      </c>
      <c r="L54" s="111">
        <v>4754.4799999999996</v>
      </c>
    </row>
    <row r="55" spans="1:12" x14ac:dyDescent="0.25">
      <c r="A55" s="109" t="s">
        <v>690</v>
      </c>
      <c r="B55" s="110" t="s">
        <v>691</v>
      </c>
      <c r="C55" s="111">
        <v>0</v>
      </c>
      <c r="D55" s="111">
        <v>0</v>
      </c>
      <c r="E55" s="111">
        <v>12102.67</v>
      </c>
      <c r="F55" s="111">
        <v>0</v>
      </c>
      <c r="G55" s="111">
        <v>5065.3100000000004</v>
      </c>
      <c r="H55" s="111">
        <v>77.599999999999994</v>
      </c>
      <c r="I55" s="111">
        <v>17167.98</v>
      </c>
      <c r="J55" s="111">
        <v>77.599999999999994</v>
      </c>
      <c r="K55" s="111">
        <v>17090.38</v>
      </c>
      <c r="L55" s="111">
        <v>0</v>
      </c>
    </row>
    <row r="56" spans="1:12" x14ac:dyDescent="0.25">
      <c r="A56" s="109" t="s">
        <v>692</v>
      </c>
      <c r="B56" s="110" t="s">
        <v>442</v>
      </c>
      <c r="C56" s="111">
        <v>0</v>
      </c>
      <c r="D56" s="111">
        <v>0</v>
      </c>
      <c r="E56" s="111">
        <v>1743.13</v>
      </c>
      <c r="F56" s="111">
        <v>0</v>
      </c>
      <c r="G56" s="111">
        <v>438.86</v>
      </c>
      <c r="H56" s="111">
        <v>0</v>
      </c>
      <c r="I56" s="111">
        <v>2181.9899999999998</v>
      </c>
      <c r="J56" s="111">
        <v>0</v>
      </c>
      <c r="K56" s="111">
        <v>2181.9899999999998</v>
      </c>
      <c r="L56" s="111">
        <v>0</v>
      </c>
    </row>
    <row r="57" spans="1:12" x14ac:dyDescent="0.25">
      <c r="A57" s="109" t="s">
        <v>693</v>
      </c>
      <c r="B57" s="110" t="s">
        <v>694</v>
      </c>
      <c r="C57" s="111">
        <v>0</v>
      </c>
      <c r="D57" s="111">
        <v>0</v>
      </c>
      <c r="E57" s="111">
        <v>441250.45</v>
      </c>
      <c r="F57" s="111">
        <v>0</v>
      </c>
      <c r="G57" s="111">
        <v>37700.879999999997</v>
      </c>
      <c r="H57" s="111">
        <v>0</v>
      </c>
      <c r="I57" s="111">
        <v>478951.33</v>
      </c>
      <c r="J57" s="111">
        <v>0</v>
      </c>
      <c r="K57" s="111">
        <v>478951.33</v>
      </c>
      <c r="L57" s="111">
        <v>0</v>
      </c>
    </row>
    <row r="58" spans="1:12" x14ac:dyDescent="0.25">
      <c r="A58" s="109" t="s">
        <v>695</v>
      </c>
      <c r="B58" s="110" t="s">
        <v>446</v>
      </c>
      <c r="C58" s="111">
        <v>0</v>
      </c>
      <c r="D58" s="111">
        <v>0</v>
      </c>
      <c r="E58" s="111">
        <v>1879.96</v>
      </c>
      <c r="F58" s="111">
        <v>0</v>
      </c>
      <c r="G58" s="111">
        <v>548</v>
      </c>
      <c r="H58" s="111">
        <v>0</v>
      </c>
      <c r="I58" s="111">
        <v>2427.96</v>
      </c>
      <c r="J58" s="111">
        <v>0</v>
      </c>
      <c r="K58" s="111">
        <v>2427.96</v>
      </c>
      <c r="L58" s="111">
        <v>0</v>
      </c>
    </row>
    <row r="59" spans="1:12" x14ac:dyDescent="0.25">
      <c r="A59" s="109" t="s">
        <v>696</v>
      </c>
      <c r="B59" s="110" t="s">
        <v>448</v>
      </c>
      <c r="C59" s="111">
        <v>0</v>
      </c>
      <c r="D59" s="111">
        <v>0</v>
      </c>
      <c r="E59" s="111">
        <v>0</v>
      </c>
      <c r="F59" s="111">
        <v>0</v>
      </c>
      <c r="G59" s="111">
        <v>1000</v>
      </c>
      <c r="H59" s="111">
        <v>0</v>
      </c>
      <c r="I59" s="111">
        <v>1000</v>
      </c>
      <c r="J59" s="111">
        <v>0</v>
      </c>
      <c r="K59" s="111">
        <v>1000</v>
      </c>
      <c r="L59" s="111">
        <v>0</v>
      </c>
    </row>
    <row r="60" spans="1:12" x14ac:dyDescent="0.25">
      <c r="A60" s="109" t="s">
        <v>697</v>
      </c>
      <c r="B60" s="110" t="s">
        <v>456</v>
      </c>
      <c r="C60" s="111">
        <v>0</v>
      </c>
      <c r="D60" s="111">
        <v>0</v>
      </c>
      <c r="E60" s="111">
        <v>36285.199999999997</v>
      </c>
      <c r="F60" s="111">
        <v>0</v>
      </c>
      <c r="G60" s="111">
        <v>3023.93</v>
      </c>
      <c r="H60" s="111">
        <v>0</v>
      </c>
      <c r="I60" s="111">
        <v>39309.129999999997</v>
      </c>
      <c r="J60" s="111">
        <v>0</v>
      </c>
      <c r="K60" s="111">
        <v>39309.129999999997</v>
      </c>
      <c r="L60" s="111">
        <v>0</v>
      </c>
    </row>
    <row r="61" spans="1:12" x14ac:dyDescent="0.25">
      <c r="A61" s="109" t="s">
        <v>698</v>
      </c>
      <c r="B61" s="110" t="s">
        <v>478</v>
      </c>
      <c r="C61" s="111">
        <v>0</v>
      </c>
      <c r="D61" s="111">
        <v>0</v>
      </c>
      <c r="E61" s="111">
        <v>101081.7</v>
      </c>
      <c r="F61" s="111">
        <v>0</v>
      </c>
      <c r="G61" s="111">
        <v>10811.39</v>
      </c>
      <c r="H61" s="111">
        <v>2200.38</v>
      </c>
      <c r="I61" s="111">
        <v>111893.09</v>
      </c>
      <c r="J61" s="111">
        <v>2200.38</v>
      </c>
      <c r="K61" s="111">
        <v>109692.71</v>
      </c>
      <c r="L61" s="111">
        <v>0</v>
      </c>
    </row>
    <row r="62" spans="1:12" x14ac:dyDescent="0.25">
      <c r="A62" s="109" t="s">
        <v>699</v>
      </c>
      <c r="B62" s="110" t="s">
        <v>482</v>
      </c>
      <c r="C62" s="111">
        <v>0</v>
      </c>
      <c r="D62" s="111">
        <v>0</v>
      </c>
      <c r="E62" s="111">
        <v>34874.74</v>
      </c>
      <c r="F62" s="111">
        <v>0</v>
      </c>
      <c r="G62" s="111">
        <v>3730.62</v>
      </c>
      <c r="H62" s="111">
        <v>753.23</v>
      </c>
      <c r="I62" s="111">
        <v>38605.360000000001</v>
      </c>
      <c r="J62" s="111">
        <v>753.23</v>
      </c>
      <c r="K62" s="111">
        <v>37852.129999999997</v>
      </c>
      <c r="L62" s="111">
        <v>0</v>
      </c>
    </row>
    <row r="63" spans="1:12" x14ac:dyDescent="0.25">
      <c r="A63" s="109" t="s">
        <v>700</v>
      </c>
      <c r="B63" s="110" t="s">
        <v>486</v>
      </c>
      <c r="C63" s="111">
        <v>0</v>
      </c>
      <c r="D63" s="111">
        <v>0</v>
      </c>
      <c r="E63" s="111">
        <v>6953.58</v>
      </c>
      <c r="F63" s="111">
        <v>0</v>
      </c>
      <c r="G63" s="111">
        <v>397.13</v>
      </c>
      <c r="H63" s="111">
        <v>0</v>
      </c>
      <c r="I63" s="111">
        <v>7350.71</v>
      </c>
      <c r="J63" s="111">
        <v>0</v>
      </c>
      <c r="K63" s="111">
        <v>7350.71</v>
      </c>
      <c r="L63" s="111">
        <v>0</v>
      </c>
    </row>
    <row r="64" spans="1:12" x14ac:dyDescent="0.25">
      <c r="A64" s="109" t="s">
        <v>701</v>
      </c>
      <c r="B64" s="110" t="s">
        <v>490</v>
      </c>
      <c r="C64" s="111">
        <v>0</v>
      </c>
      <c r="D64" s="111">
        <v>0</v>
      </c>
      <c r="E64" s="111">
        <v>0</v>
      </c>
      <c r="F64" s="111">
        <v>0</v>
      </c>
      <c r="G64" s="111">
        <v>447.88</v>
      </c>
      <c r="H64" s="111">
        <v>0</v>
      </c>
      <c r="I64" s="111">
        <v>447.88</v>
      </c>
      <c r="J64" s="111">
        <v>0</v>
      </c>
      <c r="K64" s="111">
        <v>447.88</v>
      </c>
      <c r="L64" s="111">
        <v>0</v>
      </c>
    </row>
    <row r="65" spans="1:12" x14ac:dyDescent="0.25">
      <c r="A65" s="109" t="s">
        <v>702</v>
      </c>
      <c r="B65" s="110" t="s">
        <v>492</v>
      </c>
      <c r="C65" s="111">
        <v>0</v>
      </c>
      <c r="D65" s="111">
        <v>0</v>
      </c>
      <c r="E65" s="111">
        <v>2042.82</v>
      </c>
      <c r="F65" s="111">
        <v>0</v>
      </c>
      <c r="G65" s="111">
        <v>0</v>
      </c>
      <c r="H65" s="111">
        <v>0</v>
      </c>
      <c r="I65" s="111">
        <v>2042.82</v>
      </c>
      <c r="J65" s="111">
        <v>0</v>
      </c>
      <c r="K65" s="111">
        <v>2042.82</v>
      </c>
      <c r="L65" s="111">
        <v>0</v>
      </c>
    </row>
    <row r="66" spans="1:12" x14ac:dyDescent="0.25">
      <c r="A66" s="109" t="s">
        <v>703</v>
      </c>
      <c r="B66" s="110" t="s">
        <v>494</v>
      </c>
      <c r="C66" s="111">
        <v>0</v>
      </c>
      <c r="D66" s="111">
        <v>0</v>
      </c>
      <c r="E66" s="111">
        <v>54944.03</v>
      </c>
      <c r="F66" s="111">
        <v>0</v>
      </c>
      <c r="G66" s="111">
        <v>0</v>
      </c>
      <c r="H66" s="111">
        <v>0</v>
      </c>
      <c r="I66" s="111">
        <v>54944.03</v>
      </c>
      <c r="J66" s="111">
        <v>0</v>
      </c>
      <c r="K66" s="111">
        <v>54944.03</v>
      </c>
      <c r="L66" s="111">
        <v>0</v>
      </c>
    </row>
    <row r="67" spans="1:12" x14ac:dyDescent="0.25">
      <c r="A67" s="109" t="s">
        <v>704</v>
      </c>
      <c r="B67" s="110" t="s">
        <v>496</v>
      </c>
      <c r="C67" s="111">
        <v>0</v>
      </c>
      <c r="D67" s="111">
        <v>0</v>
      </c>
      <c r="E67" s="111">
        <v>152.80000000000001</v>
      </c>
      <c r="F67" s="111">
        <v>0</v>
      </c>
      <c r="G67" s="111">
        <v>0</v>
      </c>
      <c r="H67" s="111">
        <v>0</v>
      </c>
      <c r="I67" s="111">
        <v>152.80000000000001</v>
      </c>
      <c r="J67" s="111">
        <v>0</v>
      </c>
      <c r="K67" s="111">
        <v>152.80000000000001</v>
      </c>
      <c r="L67" s="111">
        <v>0</v>
      </c>
    </row>
    <row r="68" spans="1:12" x14ac:dyDescent="0.25">
      <c r="A68" s="109" t="s">
        <v>705</v>
      </c>
      <c r="B68" s="110" t="s">
        <v>594</v>
      </c>
      <c r="C68" s="111">
        <v>0</v>
      </c>
      <c r="D68" s="111">
        <v>0</v>
      </c>
      <c r="E68" s="111">
        <v>5725.07</v>
      </c>
      <c r="F68" s="111">
        <v>0</v>
      </c>
      <c r="G68" s="111">
        <v>284.77999999999997</v>
      </c>
      <c r="H68" s="111">
        <v>0</v>
      </c>
      <c r="I68" s="111">
        <v>6009.85</v>
      </c>
      <c r="J68" s="111">
        <v>0</v>
      </c>
      <c r="K68" s="111">
        <v>6009.85</v>
      </c>
      <c r="L68" s="111">
        <v>0</v>
      </c>
    </row>
    <row r="69" spans="1:12" x14ac:dyDescent="0.25">
      <c r="A69" s="109" t="s">
        <v>706</v>
      </c>
      <c r="B69" s="110" t="s">
        <v>707</v>
      </c>
      <c r="C69" s="111">
        <v>0</v>
      </c>
      <c r="D69" s="111">
        <v>0</v>
      </c>
      <c r="E69" s="111">
        <v>40011.300000000003</v>
      </c>
      <c r="F69" s="111">
        <v>0</v>
      </c>
      <c r="G69" s="111">
        <v>3673.57</v>
      </c>
      <c r="H69" s="111">
        <v>0</v>
      </c>
      <c r="I69" s="111">
        <v>43684.87</v>
      </c>
      <c r="J69" s="111">
        <v>0</v>
      </c>
      <c r="K69" s="111">
        <v>43684.87</v>
      </c>
      <c r="L69" s="111">
        <v>0</v>
      </c>
    </row>
    <row r="70" spans="1:12" x14ac:dyDescent="0.25">
      <c r="A70" s="109" t="s">
        <v>708</v>
      </c>
      <c r="B70" s="110" t="s">
        <v>709</v>
      </c>
      <c r="C70" s="111">
        <v>0</v>
      </c>
      <c r="D70" s="111">
        <v>0</v>
      </c>
      <c r="E70" s="111">
        <v>12478.42</v>
      </c>
      <c r="F70" s="111">
        <v>0</v>
      </c>
      <c r="G70" s="111">
        <v>1110.07</v>
      </c>
      <c r="H70" s="111">
        <v>0</v>
      </c>
      <c r="I70" s="111">
        <v>13588.49</v>
      </c>
      <c r="J70" s="111">
        <v>0</v>
      </c>
      <c r="K70" s="111">
        <v>13588.49</v>
      </c>
      <c r="L70" s="111">
        <v>0</v>
      </c>
    </row>
    <row r="71" spans="1:12" x14ac:dyDescent="0.25">
      <c r="A71" s="109" t="s">
        <v>710</v>
      </c>
      <c r="B71" s="110" t="s">
        <v>711</v>
      </c>
      <c r="C71" s="111">
        <v>0</v>
      </c>
      <c r="D71" s="111">
        <v>0</v>
      </c>
      <c r="E71" s="111">
        <v>3270.47</v>
      </c>
      <c r="F71" s="111">
        <v>0</v>
      </c>
      <c r="G71" s="111">
        <v>485.89</v>
      </c>
      <c r="H71" s="111">
        <v>0</v>
      </c>
      <c r="I71" s="111">
        <v>3756.36</v>
      </c>
      <c r="J71" s="111">
        <v>0</v>
      </c>
      <c r="K71" s="111">
        <v>3756.36</v>
      </c>
      <c r="L71" s="111">
        <v>0</v>
      </c>
    </row>
    <row r="72" spans="1:12" x14ac:dyDescent="0.25">
      <c r="A72" s="109" t="s">
        <v>712</v>
      </c>
      <c r="B72" s="110" t="s">
        <v>536</v>
      </c>
      <c r="C72" s="111">
        <v>0</v>
      </c>
      <c r="D72" s="111">
        <v>0</v>
      </c>
      <c r="E72" s="111">
        <v>0</v>
      </c>
      <c r="F72" s="111">
        <v>0</v>
      </c>
      <c r="G72" s="111">
        <v>10078.879999999999</v>
      </c>
      <c r="H72" s="111">
        <v>0</v>
      </c>
      <c r="I72" s="111">
        <v>10078.879999999999</v>
      </c>
      <c r="J72" s="111">
        <v>0</v>
      </c>
      <c r="K72" s="111">
        <v>10078.879999999999</v>
      </c>
      <c r="L72" s="111">
        <v>0</v>
      </c>
    </row>
    <row r="73" spans="1:12" x14ac:dyDescent="0.25">
      <c r="A73" s="109" t="s">
        <v>713</v>
      </c>
      <c r="B73" s="110" t="s">
        <v>540</v>
      </c>
      <c r="C73" s="111">
        <v>0</v>
      </c>
      <c r="D73" s="111">
        <v>0</v>
      </c>
      <c r="E73" s="111">
        <v>0</v>
      </c>
      <c r="F73" s="111">
        <v>39489.199999999997</v>
      </c>
      <c r="G73" s="111">
        <v>0</v>
      </c>
      <c r="H73" s="111">
        <v>118.51</v>
      </c>
      <c r="I73" s="111">
        <v>0</v>
      </c>
      <c r="J73" s="111">
        <v>39607.71</v>
      </c>
      <c r="K73" s="111">
        <v>0</v>
      </c>
      <c r="L73" s="111">
        <v>39607.71</v>
      </c>
    </row>
    <row r="74" spans="1:12" x14ac:dyDescent="0.25">
      <c r="A74" s="109" t="s">
        <v>714</v>
      </c>
      <c r="B74" s="110" t="s">
        <v>715</v>
      </c>
      <c r="C74" s="111">
        <v>0</v>
      </c>
      <c r="D74" s="111">
        <v>0</v>
      </c>
      <c r="E74" s="111">
        <v>0</v>
      </c>
      <c r="F74" s="111">
        <v>652449.06999999995</v>
      </c>
      <c r="G74" s="111">
        <v>0</v>
      </c>
      <c r="H74" s="111">
        <v>65732.88</v>
      </c>
      <c r="I74" s="111">
        <v>0</v>
      </c>
      <c r="J74" s="111">
        <v>718181.95</v>
      </c>
      <c r="K74" s="111">
        <v>0</v>
      </c>
      <c r="L74" s="111">
        <v>718181.95</v>
      </c>
    </row>
    <row r="75" spans="1:12" x14ac:dyDescent="0.25">
      <c r="A75" s="109" t="s">
        <v>716</v>
      </c>
      <c r="B75" s="110" t="s">
        <v>717</v>
      </c>
      <c r="C75" s="111">
        <v>0</v>
      </c>
      <c r="D75" s="111">
        <v>0</v>
      </c>
      <c r="E75" s="111">
        <v>0</v>
      </c>
      <c r="F75" s="111">
        <v>2072</v>
      </c>
      <c r="G75" s="111">
        <v>0</v>
      </c>
      <c r="H75" s="111">
        <v>0</v>
      </c>
      <c r="I75" s="111">
        <v>0</v>
      </c>
      <c r="J75" s="111">
        <v>2072</v>
      </c>
      <c r="K75" s="111">
        <v>0</v>
      </c>
      <c r="L75" s="111">
        <v>2072</v>
      </c>
    </row>
    <row r="76" spans="1:12" x14ac:dyDescent="0.25">
      <c r="A76" s="109" t="s">
        <v>718</v>
      </c>
      <c r="B76" s="110" t="s">
        <v>550</v>
      </c>
      <c r="C76" s="111">
        <v>0</v>
      </c>
      <c r="D76" s="111">
        <v>0</v>
      </c>
      <c r="E76" s="111">
        <v>0</v>
      </c>
      <c r="F76" s="111">
        <v>-2550</v>
      </c>
      <c r="G76" s="111">
        <v>0</v>
      </c>
      <c r="H76" s="111">
        <v>0</v>
      </c>
      <c r="I76" s="111">
        <v>5000</v>
      </c>
      <c r="J76" s="111">
        <v>2450</v>
      </c>
      <c r="K76" s="111">
        <v>0</v>
      </c>
      <c r="L76" s="111">
        <v>-2550</v>
      </c>
    </row>
    <row r="77" spans="1:12" x14ac:dyDescent="0.25">
      <c r="A77" s="109" t="s">
        <v>719</v>
      </c>
      <c r="B77" s="110" t="s">
        <v>552</v>
      </c>
      <c r="C77" s="111">
        <v>0</v>
      </c>
      <c r="D77" s="111">
        <v>0</v>
      </c>
      <c r="E77" s="111">
        <v>0</v>
      </c>
      <c r="F77" s="111">
        <v>3500</v>
      </c>
      <c r="G77" s="111">
        <v>0</v>
      </c>
      <c r="H77" s="111">
        <v>0</v>
      </c>
      <c r="I77" s="111">
        <v>0</v>
      </c>
      <c r="J77" s="111">
        <v>3500</v>
      </c>
      <c r="K77" s="111">
        <v>0</v>
      </c>
      <c r="L77" s="111">
        <v>3500</v>
      </c>
    </row>
    <row r="78" spans="1:12" x14ac:dyDescent="0.25">
      <c r="A78" s="109" t="s">
        <v>720</v>
      </c>
      <c r="B78" s="110" t="s">
        <v>554</v>
      </c>
      <c r="C78" s="111">
        <v>0</v>
      </c>
      <c r="D78" s="111">
        <v>0</v>
      </c>
      <c r="E78" s="111">
        <v>0</v>
      </c>
      <c r="F78" s="111">
        <v>75000</v>
      </c>
      <c r="G78" s="111">
        <v>0</v>
      </c>
      <c r="H78" s="111">
        <v>0</v>
      </c>
      <c r="I78" s="111">
        <v>0</v>
      </c>
      <c r="J78" s="111">
        <v>75000</v>
      </c>
      <c r="K78" s="111">
        <v>0</v>
      </c>
      <c r="L78" s="111">
        <v>75000</v>
      </c>
    </row>
    <row r="79" spans="1:12" x14ac:dyDescent="0.25">
      <c r="A79" s="109" t="s">
        <v>721</v>
      </c>
      <c r="B79" s="110" t="s">
        <v>556</v>
      </c>
      <c r="C79" s="111">
        <v>0</v>
      </c>
      <c r="D79" s="111">
        <v>0</v>
      </c>
      <c r="E79" s="111">
        <v>0</v>
      </c>
      <c r="F79" s="111">
        <v>29093.27</v>
      </c>
      <c r="G79" s="111">
        <v>-158.72</v>
      </c>
      <c r="H79" s="111">
        <v>4372.6499999999996</v>
      </c>
      <c r="I79" s="111">
        <v>-145.19999999999999</v>
      </c>
      <c r="J79" s="111">
        <v>33479.440000000002</v>
      </c>
      <c r="K79" s="111">
        <v>0</v>
      </c>
      <c r="L79" s="111">
        <v>33624.639999999999</v>
      </c>
    </row>
    <row r="80" spans="1:12" x14ac:dyDescent="0.25">
      <c r="A80" s="109"/>
      <c r="B80" s="110"/>
      <c r="C80" s="111"/>
      <c r="D80" s="111"/>
      <c r="E80" s="111"/>
      <c r="F80" s="111"/>
      <c r="G80" s="111"/>
      <c r="H80" s="111"/>
      <c r="I80" s="111"/>
      <c r="J80" s="111"/>
      <c r="K80" s="111"/>
      <c r="L80" s="111"/>
    </row>
    <row r="81" spans="1:12" x14ac:dyDescent="0.25">
      <c r="A81" s="109"/>
      <c r="B81" s="110"/>
      <c r="C81" s="111"/>
      <c r="D81" s="111"/>
      <c r="E81" s="111"/>
      <c r="F81" s="111"/>
      <c r="G81" s="111"/>
      <c r="H81" s="111"/>
      <c r="I81" s="111"/>
      <c r="J81" s="111"/>
      <c r="K81" s="111"/>
      <c r="L81" s="111"/>
    </row>
    <row r="82" spans="1:12" x14ac:dyDescent="0.25">
      <c r="A82" s="109"/>
      <c r="B82" s="110"/>
      <c r="C82" s="111"/>
      <c r="D82" s="111"/>
      <c r="E82" s="111"/>
      <c r="F82" s="111"/>
      <c r="G82" s="111"/>
      <c r="H82" s="111"/>
      <c r="I82" s="111"/>
      <c r="J82" s="111"/>
      <c r="K82" s="111"/>
      <c r="L82" s="111"/>
    </row>
    <row r="83" spans="1:12" x14ac:dyDescent="0.25">
      <c r="A83" s="109"/>
      <c r="B83" s="110"/>
      <c r="C83" s="111"/>
      <c r="D83" s="111"/>
      <c r="E83" s="111"/>
      <c r="F83" s="111"/>
      <c r="G83" s="111"/>
      <c r="H83" s="111"/>
      <c r="I83" s="111"/>
      <c r="J83" s="111"/>
      <c r="K83" s="111"/>
      <c r="L83" s="111"/>
    </row>
    <row r="84" spans="1:12" x14ac:dyDescent="0.25">
      <c r="A84" s="109"/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</row>
    <row r="85" spans="1:12" x14ac:dyDescent="0.25">
      <c r="A85" s="109"/>
      <c r="B85" s="110"/>
      <c r="C85" s="111"/>
      <c r="D85" s="111"/>
      <c r="E85" s="111"/>
      <c r="F85" s="111"/>
      <c r="G85" s="111"/>
      <c r="H85" s="111"/>
      <c r="I85" s="111"/>
      <c r="J85" s="111"/>
      <c r="K85" s="111"/>
      <c r="L85" s="111"/>
    </row>
    <row r="86" spans="1:12" x14ac:dyDescent="0.25">
      <c r="A86" s="109"/>
      <c r="B86" s="110"/>
      <c r="C86" s="111"/>
      <c r="D86" s="111"/>
      <c r="E86" s="111"/>
      <c r="F86" s="111"/>
      <c r="G86" s="111"/>
      <c r="H86" s="111"/>
      <c r="I86" s="111"/>
      <c r="J86" s="111"/>
      <c r="K86" s="111"/>
      <c r="L86" s="111"/>
    </row>
    <row r="87" spans="1:12" x14ac:dyDescent="0.25">
      <c r="A87" s="109"/>
      <c r="B87" s="110"/>
      <c r="C87" s="111"/>
      <c r="D87" s="111"/>
      <c r="E87" s="111"/>
      <c r="F87" s="111"/>
      <c r="G87" s="111"/>
      <c r="H87" s="111"/>
      <c r="I87" s="111"/>
      <c r="J87" s="111"/>
      <c r="K87" s="111"/>
      <c r="L87" s="111"/>
    </row>
    <row r="88" spans="1:12" x14ac:dyDescent="0.25">
      <c r="A88" s="109"/>
      <c r="B88" s="110"/>
      <c r="C88" s="111"/>
      <c r="D88" s="111"/>
      <c r="E88" s="111"/>
      <c r="F88" s="111"/>
      <c r="G88" s="111"/>
      <c r="H88" s="111"/>
      <c r="I88" s="111"/>
      <c r="J88" s="111"/>
      <c r="K88" s="111"/>
      <c r="L88" s="111"/>
    </row>
    <row r="89" spans="1:12" x14ac:dyDescent="0.25">
      <c r="A89" s="109"/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</row>
    <row r="90" spans="1:12" x14ac:dyDescent="0.25">
      <c r="A90" s="109"/>
      <c r="B90" s="110"/>
      <c r="C90" s="111"/>
      <c r="D90" s="111"/>
      <c r="E90" s="111"/>
      <c r="F90" s="111"/>
      <c r="G90" s="111"/>
      <c r="H90" s="111"/>
      <c r="I90" s="111"/>
      <c r="J90" s="111"/>
      <c r="K90" s="111"/>
      <c r="L90" s="111"/>
    </row>
    <row r="91" spans="1:12" x14ac:dyDescent="0.25">
      <c r="A91" s="109"/>
      <c r="B91" s="110"/>
      <c r="C91" s="111"/>
      <c r="D91" s="111"/>
      <c r="E91" s="111"/>
      <c r="F91" s="111"/>
      <c r="G91" s="111"/>
      <c r="H91" s="111"/>
      <c r="I91" s="111"/>
      <c r="J91" s="111"/>
      <c r="K91" s="111"/>
      <c r="L91" s="111"/>
    </row>
    <row r="92" spans="1:12" x14ac:dyDescent="0.25">
      <c r="A92" s="109"/>
      <c r="B92" s="110"/>
      <c r="C92" s="111"/>
      <c r="D92" s="111"/>
      <c r="E92" s="111"/>
      <c r="F92" s="111"/>
      <c r="G92" s="111"/>
      <c r="H92" s="111"/>
      <c r="I92" s="111"/>
      <c r="J92" s="111"/>
      <c r="K92" s="111"/>
      <c r="L92" s="111"/>
    </row>
    <row r="93" spans="1:12" x14ac:dyDescent="0.25">
      <c r="A93" s="109"/>
      <c r="B93" s="110"/>
      <c r="C93" s="111"/>
      <c r="D93" s="111"/>
      <c r="E93" s="111"/>
      <c r="F93" s="111"/>
      <c r="G93" s="111"/>
      <c r="H93" s="111"/>
      <c r="I93" s="111"/>
      <c r="J93" s="111"/>
      <c r="K93" s="111"/>
      <c r="L93" s="111"/>
    </row>
    <row r="94" spans="1:12" x14ac:dyDescent="0.25">
      <c r="A94" s="109"/>
      <c r="B94" s="110"/>
      <c r="C94" s="111"/>
      <c r="D94" s="111"/>
      <c r="E94" s="111"/>
      <c r="F94" s="111"/>
      <c r="G94" s="111"/>
      <c r="H94" s="111"/>
      <c r="I94" s="111"/>
      <c r="J94" s="111"/>
      <c r="K94" s="111"/>
      <c r="L94" s="111"/>
    </row>
    <row r="95" spans="1:12" x14ac:dyDescent="0.25">
      <c r="A95" s="109"/>
      <c r="B95" s="110"/>
      <c r="C95" s="111"/>
      <c r="D95" s="111"/>
      <c r="E95" s="111"/>
      <c r="F95" s="111"/>
      <c r="G95" s="111"/>
      <c r="H95" s="111"/>
      <c r="I95" s="111"/>
      <c r="J95" s="111"/>
      <c r="K95" s="111"/>
      <c r="L95" s="111"/>
    </row>
    <row r="96" spans="1:12" x14ac:dyDescent="0.25">
      <c r="A96" s="109"/>
      <c r="B96" s="110"/>
      <c r="C96" s="111"/>
      <c r="D96" s="111"/>
      <c r="E96" s="111"/>
      <c r="F96" s="111"/>
      <c r="G96" s="111"/>
      <c r="H96" s="111"/>
      <c r="I96" s="111"/>
      <c r="J96" s="111"/>
      <c r="K96" s="111"/>
      <c r="L96" s="111"/>
    </row>
    <row r="97" spans="1:12" x14ac:dyDescent="0.25">
      <c r="A97" s="109"/>
      <c r="B97" s="110"/>
      <c r="C97" s="111"/>
      <c r="D97" s="111"/>
      <c r="E97" s="111"/>
      <c r="F97" s="111"/>
      <c r="G97" s="111"/>
      <c r="H97" s="111"/>
      <c r="I97" s="111"/>
      <c r="J97" s="111"/>
      <c r="K97" s="111"/>
      <c r="L97" s="111"/>
    </row>
    <row r="98" spans="1:12" x14ac:dyDescent="0.25">
      <c r="A98" s="109"/>
      <c r="B98" s="110"/>
      <c r="C98" s="111"/>
      <c r="D98" s="111"/>
      <c r="E98" s="111"/>
      <c r="F98" s="111"/>
      <c r="G98" s="111"/>
      <c r="H98" s="111"/>
      <c r="I98" s="111"/>
      <c r="J98" s="111"/>
      <c r="K98" s="111"/>
      <c r="L98" s="111"/>
    </row>
    <row r="99" spans="1:12" x14ac:dyDescent="0.25">
      <c r="A99" s="109"/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</row>
    <row r="100" spans="1:12" x14ac:dyDescent="0.25">
      <c r="A100" s="109"/>
      <c r="B100" s="110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</row>
    <row r="101" spans="1:12" x14ac:dyDescent="0.25">
      <c r="A101" s="109"/>
      <c r="B101" s="110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</row>
    <row r="102" spans="1:12" x14ac:dyDescent="0.25">
      <c r="A102" s="109"/>
      <c r="B102" s="110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</row>
    <row r="103" spans="1:12" x14ac:dyDescent="0.25">
      <c r="A103" s="109"/>
      <c r="B103" s="110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</row>
    <row r="104" spans="1:12" x14ac:dyDescent="0.25">
      <c r="A104" s="109"/>
      <c r="B104" s="110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</row>
    <row r="105" spans="1:12" x14ac:dyDescent="0.25">
      <c r="A105" s="109"/>
      <c r="B105" s="110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</row>
    <row r="106" spans="1:12" x14ac:dyDescent="0.25">
      <c r="A106" s="109"/>
      <c r="B106" s="110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</row>
    <row r="107" spans="1:12" x14ac:dyDescent="0.25">
      <c r="A107" s="109"/>
      <c r="B107" s="110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</row>
    <row r="108" spans="1:12" x14ac:dyDescent="0.25">
      <c r="A108" s="109"/>
      <c r="B108" s="110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x14ac:dyDescent="0.25">
      <c r="A109" s="109"/>
      <c r="B109" s="110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</row>
    <row r="110" spans="1:12" x14ac:dyDescent="0.25">
      <c r="A110" s="109"/>
      <c r="B110" s="110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</row>
    <row r="111" spans="1:12" x14ac:dyDescent="0.25">
      <c r="A111" s="109"/>
      <c r="B111" s="110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</row>
    <row r="112" spans="1:12" x14ac:dyDescent="0.25">
      <c r="A112" s="109"/>
      <c r="B112" s="110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</row>
    <row r="113" spans="1:12" x14ac:dyDescent="0.25">
      <c r="A113" s="109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</row>
    <row r="114" spans="1:12" x14ac:dyDescent="0.25">
      <c r="A114" s="109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</row>
    <row r="115" spans="1:12" x14ac:dyDescent="0.25">
      <c r="A115" s="109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</row>
    <row r="116" spans="1:12" x14ac:dyDescent="0.25">
      <c r="A116" s="109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</row>
    <row r="117" spans="1:12" x14ac:dyDescent="0.25">
      <c r="A117" s="109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</row>
    <row r="118" spans="1:12" x14ac:dyDescent="0.25">
      <c r="A118" s="109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</row>
    <row r="119" spans="1:12" x14ac:dyDescent="0.25">
      <c r="A119" s="109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</row>
    <row r="120" spans="1:12" x14ac:dyDescent="0.25">
      <c r="A120" s="109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</row>
    <row r="121" spans="1:12" x14ac:dyDescent="0.25">
      <c r="A121" s="109"/>
      <c r="B121" s="110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</row>
    <row r="122" spans="1:12" x14ac:dyDescent="0.25">
      <c r="A122" s="109"/>
      <c r="B122" s="110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1:12" x14ac:dyDescent="0.25">
      <c r="A123" s="109"/>
      <c r="B123" s="110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1:12" x14ac:dyDescent="0.25">
      <c r="A124" s="109"/>
      <c r="B124" s="110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90"/>
  <sheetViews>
    <sheetView workbookViewId="0">
      <selection activeCell="B2" sqref="B2"/>
    </sheetView>
  </sheetViews>
  <sheetFormatPr defaultColWidth="9.140625" defaultRowHeight="15" x14ac:dyDescent="0.25"/>
  <cols>
    <col min="1" max="1" width="16.5703125" style="112" customWidth="1"/>
    <col min="2" max="2" width="46.7109375" style="113" customWidth="1"/>
    <col min="3" max="12" width="15.28515625" style="114" bestFit="1" customWidth="1"/>
    <col min="13" max="16384" width="9.140625" style="108"/>
  </cols>
  <sheetData>
    <row r="1" spans="1:12" ht="22.5" x14ac:dyDescent="0.25">
      <c r="A1" s="118" t="s">
        <v>159</v>
      </c>
      <c r="B1" s="119" t="s">
        <v>160</v>
      </c>
      <c r="C1" s="120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</row>
    <row r="2" spans="1:12" x14ac:dyDescent="0.25">
      <c r="A2" s="109" t="s">
        <v>197</v>
      </c>
      <c r="B2" s="110" t="s">
        <v>198</v>
      </c>
      <c r="C2" s="111">
        <v>25980.799999999999</v>
      </c>
      <c r="D2" s="111">
        <v>0</v>
      </c>
      <c r="E2" s="111">
        <v>25980.799999999999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25980.799999999999</v>
      </c>
      <c r="L2" s="111">
        <v>0</v>
      </c>
    </row>
    <row r="3" spans="1:12" x14ac:dyDescent="0.25">
      <c r="A3" s="109" t="s">
        <v>199</v>
      </c>
      <c r="B3" s="110" t="s">
        <v>200</v>
      </c>
      <c r="C3" s="111">
        <v>12126.66</v>
      </c>
      <c r="D3" s="111">
        <v>0</v>
      </c>
      <c r="E3" s="111">
        <v>12126.66</v>
      </c>
      <c r="F3" s="111">
        <v>0</v>
      </c>
      <c r="G3" s="111">
        <v>0</v>
      </c>
      <c r="H3" s="111">
        <v>0</v>
      </c>
      <c r="I3" s="111">
        <v>0</v>
      </c>
      <c r="J3" s="111">
        <v>0</v>
      </c>
      <c r="K3" s="111">
        <v>12126.66</v>
      </c>
      <c r="L3" s="111">
        <v>0</v>
      </c>
    </row>
    <row r="4" spans="1:12" x14ac:dyDescent="0.25">
      <c r="A4" s="109" t="s">
        <v>202</v>
      </c>
      <c r="B4" s="110" t="s">
        <v>203</v>
      </c>
      <c r="C4" s="111">
        <v>50914.79</v>
      </c>
      <c r="D4" s="111">
        <v>0</v>
      </c>
      <c r="E4" s="111">
        <v>50914.79</v>
      </c>
      <c r="F4" s="111">
        <v>0</v>
      </c>
      <c r="G4" s="111">
        <v>0</v>
      </c>
      <c r="H4" s="111">
        <v>0</v>
      </c>
      <c r="I4" s="111">
        <v>0</v>
      </c>
      <c r="J4" s="111">
        <v>0</v>
      </c>
      <c r="K4" s="111">
        <v>50914.79</v>
      </c>
      <c r="L4" s="111">
        <v>0</v>
      </c>
    </row>
    <row r="5" spans="1:12" x14ac:dyDescent="0.25">
      <c r="A5" s="109" t="s">
        <v>204</v>
      </c>
      <c r="B5" s="110" t="s">
        <v>205</v>
      </c>
      <c r="C5" s="111">
        <v>112584.61</v>
      </c>
      <c r="D5" s="111">
        <v>0</v>
      </c>
      <c r="E5" s="111">
        <v>112584.61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112584.61</v>
      </c>
      <c r="L5" s="111">
        <v>0</v>
      </c>
    </row>
    <row r="6" spans="1:12" x14ac:dyDescent="0.25">
      <c r="A6" s="109" t="s">
        <v>206</v>
      </c>
      <c r="B6" s="110" t="s">
        <v>207</v>
      </c>
      <c r="C6" s="111">
        <v>138807.35999999999</v>
      </c>
      <c r="D6" s="111">
        <v>0</v>
      </c>
      <c r="E6" s="111">
        <v>138807.35999999999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138807.35999999999</v>
      </c>
      <c r="L6" s="111">
        <v>0</v>
      </c>
    </row>
    <row r="7" spans="1:12" x14ac:dyDescent="0.25">
      <c r="A7" s="109" t="s">
        <v>565</v>
      </c>
      <c r="B7" s="110" t="s">
        <v>566</v>
      </c>
      <c r="C7" s="111">
        <v>17386.89</v>
      </c>
      <c r="D7" s="111">
        <v>0</v>
      </c>
      <c r="E7" s="111">
        <v>0</v>
      </c>
      <c r="F7" s="111">
        <v>0</v>
      </c>
      <c r="G7" s="111">
        <v>0</v>
      </c>
      <c r="H7" s="111">
        <v>0</v>
      </c>
      <c r="I7" s="111">
        <v>0</v>
      </c>
      <c r="J7" s="111">
        <v>17386.89</v>
      </c>
      <c r="K7" s="111">
        <v>0</v>
      </c>
      <c r="L7" s="111">
        <v>0</v>
      </c>
    </row>
    <row r="8" spans="1:12" x14ac:dyDescent="0.25">
      <c r="A8" s="109" t="s">
        <v>208</v>
      </c>
      <c r="B8" s="110" t="s">
        <v>209</v>
      </c>
      <c r="C8" s="111">
        <v>0</v>
      </c>
      <c r="D8" s="111">
        <v>0</v>
      </c>
      <c r="E8" s="111">
        <v>62312.74</v>
      </c>
      <c r="F8" s="111">
        <v>0</v>
      </c>
      <c r="G8" s="111">
        <v>0</v>
      </c>
      <c r="H8" s="111">
        <v>0</v>
      </c>
      <c r="I8" s="111">
        <v>62312.74</v>
      </c>
      <c r="J8" s="111">
        <v>0</v>
      </c>
      <c r="K8" s="111">
        <v>62312.74</v>
      </c>
      <c r="L8" s="111">
        <v>0</v>
      </c>
    </row>
    <row r="9" spans="1:12" x14ac:dyDescent="0.25">
      <c r="A9" s="109" t="s">
        <v>210</v>
      </c>
      <c r="B9" s="110" t="s">
        <v>211</v>
      </c>
      <c r="C9" s="111">
        <v>8076.62</v>
      </c>
      <c r="D9" s="111">
        <v>0</v>
      </c>
      <c r="E9" s="111">
        <v>8076.62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8076.62</v>
      </c>
      <c r="L9" s="111">
        <v>0</v>
      </c>
    </row>
    <row r="10" spans="1:12" x14ac:dyDescent="0.25">
      <c r="A10" s="109" t="s">
        <v>212</v>
      </c>
      <c r="B10" s="110" t="s">
        <v>213</v>
      </c>
      <c r="C10" s="111">
        <v>3500</v>
      </c>
      <c r="D10" s="111">
        <v>0</v>
      </c>
      <c r="E10" s="111">
        <v>3500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3500</v>
      </c>
      <c r="L10" s="111">
        <v>0</v>
      </c>
    </row>
    <row r="11" spans="1:12" x14ac:dyDescent="0.25">
      <c r="A11" s="109" t="s">
        <v>216</v>
      </c>
      <c r="B11" s="110" t="s">
        <v>217</v>
      </c>
      <c r="C11" s="111">
        <v>28718.19</v>
      </c>
      <c r="D11" s="111">
        <v>0</v>
      </c>
      <c r="E11" s="111">
        <v>28718.19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28718.19</v>
      </c>
      <c r="L11" s="111">
        <v>0</v>
      </c>
    </row>
    <row r="12" spans="1:12" x14ac:dyDescent="0.25">
      <c r="A12" s="109" t="s">
        <v>218</v>
      </c>
      <c r="B12" s="110" t="s">
        <v>219</v>
      </c>
      <c r="C12" s="111">
        <v>8000</v>
      </c>
      <c r="D12" s="111">
        <v>0</v>
      </c>
      <c r="E12" s="111">
        <v>8000</v>
      </c>
      <c r="F12" s="111">
        <v>0</v>
      </c>
      <c r="G12" s="111">
        <v>0</v>
      </c>
      <c r="H12" s="111">
        <v>0</v>
      </c>
      <c r="I12" s="111">
        <v>0</v>
      </c>
      <c r="J12" s="111">
        <v>0</v>
      </c>
      <c r="K12" s="111">
        <v>8000</v>
      </c>
      <c r="L12" s="111">
        <v>0</v>
      </c>
    </row>
    <row r="13" spans="1:12" x14ac:dyDescent="0.25">
      <c r="A13" s="109" t="s">
        <v>220</v>
      </c>
      <c r="B13" s="110" t="s">
        <v>221</v>
      </c>
      <c r="C13" s="111">
        <v>7000</v>
      </c>
      <c r="D13" s="111">
        <v>0</v>
      </c>
      <c r="E13" s="111">
        <v>7000</v>
      </c>
      <c r="F13" s="111">
        <v>0</v>
      </c>
      <c r="G13" s="111">
        <v>0</v>
      </c>
      <c r="H13" s="111">
        <v>0</v>
      </c>
      <c r="I13" s="111">
        <v>0</v>
      </c>
      <c r="J13" s="111">
        <v>0</v>
      </c>
      <c r="K13" s="111">
        <v>7000</v>
      </c>
      <c r="L13" s="111">
        <v>0</v>
      </c>
    </row>
    <row r="14" spans="1:12" x14ac:dyDescent="0.25">
      <c r="A14" s="109" t="s">
        <v>222</v>
      </c>
      <c r="B14" s="110" t="s">
        <v>223</v>
      </c>
      <c r="C14" s="111">
        <v>28500</v>
      </c>
      <c r="D14" s="111">
        <v>0</v>
      </c>
      <c r="E14" s="111">
        <v>28500</v>
      </c>
      <c r="F14" s="111">
        <v>0</v>
      </c>
      <c r="G14" s="111">
        <v>0</v>
      </c>
      <c r="H14" s="111">
        <v>0</v>
      </c>
      <c r="I14" s="111">
        <v>0</v>
      </c>
      <c r="J14" s="111">
        <v>0</v>
      </c>
      <c r="K14" s="111">
        <v>28500</v>
      </c>
      <c r="L14" s="111">
        <v>0</v>
      </c>
    </row>
    <row r="15" spans="1:12" x14ac:dyDescent="0.25">
      <c r="A15" s="109" t="s">
        <v>224</v>
      </c>
      <c r="B15" s="110" t="s">
        <v>225</v>
      </c>
      <c r="C15" s="111">
        <v>1700</v>
      </c>
      <c r="D15" s="111">
        <v>0</v>
      </c>
      <c r="E15" s="111">
        <v>1700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1700</v>
      </c>
      <c r="L15" s="111">
        <v>0</v>
      </c>
    </row>
    <row r="16" spans="1:12" x14ac:dyDescent="0.25">
      <c r="A16" s="109" t="s">
        <v>226</v>
      </c>
      <c r="B16" s="110" t="s">
        <v>227</v>
      </c>
      <c r="C16" s="111">
        <v>5700</v>
      </c>
      <c r="D16" s="111">
        <v>0</v>
      </c>
      <c r="E16" s="111">
        <v>5700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5700</v>
      </c>
      <c r="L16" s="111">
        <v>0</v>
      </c>
    </row>
    <row r="17" spans="1:12" x14ac:dyDescent="0.25">
      <c r="A17" s="109" t="s">
        <v>228</v>
      </c>
      <c r="B17" s="110" t="s">
        <v>229</v>
      </c>
      <c r="C17" s="111">
        <v>10385.5</v>
      </c>
      <c r="D17" s="111">
        <v>0</v>
      </c>
      <c r="E17" s="111">
        <v>10385.5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10385.5</v>
      </c>
      <c r="L17" s="111">
        <v>0</v>
      </c>
    </row>
    <row r="18" spans="1:12" x14ac:dyDescent="0.25">
      <c r="A18" s="109" t="s">
        <v>230</v>
      </c>
      <c r="B18" s="110" t="s">
        <v>231</v>
      </c>
      <c r="C18" s="111">
        <v>25350</v>
      </c>
      <c r="D18" s="111">
        <v>0</v>
      </c>
      <c r="E18" s="111">
        <v>25350</v>
      </c>
      <c r="F18" s="111">
        <v>0</v>
      </c>
      <c r="G18" s="111">
        <v>0</v>
      </c>
      <c r="H18" s="111">
        <v>0</v>
      </c>
      <c r="I18" s="111">
        <v>0</v>
      </c>
      <c r="J18" s="111">
        <v>0</v>
      </c>
      <c r="K18" s="111">
        <v>25350</v>
      </c>
      <c r="L18" s="111">
        <v>0</v>
      </c>
    </row>
    <row r="19" spans="1:12" x14ac:dyDescent="0.25">
      <c r="A19" s="109" t="s">
        <v>232</v>
      </c>
      <c r="B19" s="110" t="s">
        <v>233</v>
      </c>
      <c r="C19" s="111">
        <v>9068</v>
      </c>
      <c r="D19" s="111">
        <v>0</v>
      </c>
      <c r="E19" s="111">
        <v>9068</v>
      </c>
      <c r="F19" s="111">
        <v>0</v>
      </c>
      <c r="G19" s="111">
        <v>0</v>
      </c>
      <c r="H19" s="111">
        <v>0</v>
      </c>
      <c r="I19" s="111">
        <v>0</v>
      </c>
      <c r="J19" s="111">
        <v>0</v>
      </c>
      <c r="K19" s="111">
        <v>9068</v>
      </c>
      <c r="L19" s="111">
        <v>0</v>
      </c>
    </row>
    <row r="20" spans="1:12" x14ac:dyDescent="0.25">
      <c r="A20" s="112" t="s">
        <v>234</v>
      </c>
      <c r="B20" s="113" t="s">
        <v>235</v>
      </c>
      <c r="C20" s="114">
        <v>57700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4612.74</v>
      </c>
      <c r="J20" s="114">
        <v>62312.74</v>
      </c>
      <c r="K20" s="114">
        <v>0</v>
      </c>
      <c r="L20" s="114">
        <v>0</v>
      </c>
    </row>
    <row r="21" spans="1:12" x14ac:dyDescent="0.25">
      <c r="A21" s="112" t="s">
        <v>567</v>
      </c>
      <c r="B21" s="113" t="s">
        <v>568</v>
      </c>
      <c r="C21" s="114">
        <v>0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  <c r="L21" s="114">
        <v>0</v>
      </c>
    </row>
    <row r="22" spans="1:12" x14ac:dyDescent="0.25">
      <c r="A22" s="112" t="s">
        <v>236</v>
      </c>
      <c r="B22" s="113" t="s">
        <v>237</v>
      </c>
      <c r="C22" s="114">
        <v>365190.03</v>
      </c>
      <c r="D22" s="114">
        <v>0</v>
      </c>
      <c r="E22" s="114">
        <v>366030.03</v>
      </c>
      <c r="F22" s="114">
        <v>0</v>
      </c>
      <c r="G22" s="114">
        <v>0</v>
      </c>
      <c r="H22" s="114">
        <v>0</v>
      </c>
      <c r="I22" s="114">
        <v>840</v>
      </c>
      <c r="J22" s="114">
        <v>0</v>
      </c>
      <c r="K22" s="114">
        <v>366030.03</v>
      </c>
      <c r="L22" s="114">
        <v>0</v>
      </c>
    </row>
    <row r="23" spans="1:12" x14ac:dyDescent="0.25">
      <c r="A23" s="112" t="s">
        <v>238</v>
      </c>
      <c r="B23" s="113" t="s">
        <v>239</v>
      </c>
      <c r="C23" s="114">
        <v>0</v>
      </c>
      <c r="D23" s="114">
        <v>25980.799999999999</v>
      </c>
      <c r="E23" s="114">
        <v>0</v>
      </c>
      <c r="F23" s="114">
        <v>25980.799999999999</v>
      </c>
      <c r="G23" s="114">
        <v>0</v>
      </c>
      <c r="H23" s="114">
        <v>0</v>
      </c>
      <c r="I23" s="114">
        <v>0</v>
      </c>
      <c r="J23" s="114">
        <v>0</v>
      </c>
      <c r="K23" s="114">
        <v>0</v>
      </c>
      <c r="L23" s="114">
        <v>25980.799999999999</v>
      </c>
    </row>
    <row r="24" spans="1:12" x14ac:dyDescent="0.25">
      <c r="A24" s="112" t="s">
        <v>240</v>
      </c>
      <c r="B24" s="113" t="s">
        <v>241</v>
      </c>
      <c r="C24" s="114">
        <v>0</v>
      </c>
      <c r="D24" s="114">
        <v>505.28</v>
      </c>
      <c r="E24" s="114">
        <v>0</v>
      </c>
      <c r="F24" s="114">
        <v>1431.59</v>
      </c>
      <c r="G24" s="114">
        <v>0</v>
      </c>
      <c r="H24" s="114">
        <v>84.25</v>
      </c>
      <c r="I24" s="114">
        <v>0</v>
      </c>
      <c r="J24" s="114">
        <v>1010.56</v>
      </c>
      <c r="K24" s="114">
        <v>0</v>
      </c>
      <c r="L24" s="114">
        <v>1515.84</v>
      </c>
    </row>
    <row r="25" spans="1:12" x14ac:dyDescent="0.25">
      <c r="A25" s="112" t="s">
        <v>242</v>
      </c>
      <c r="B25" s="113" t="s">
        <v>243</v>
      </c>
      <c r="C25" s="114">
        <v>0</v>
      </c>
      <c r="D25" s="114">
        <v>53952.04</v>
      </c>
      <c r="E25" s="114">
        <v>0</v>
      </c>
      <c r="F25" s="114">
        <v>61445.79</v>
      </c>
      <c r="G25" s="114">
        <v>0</v>
      </c>
      <c r="H25" s="114">
        <v>681.22</v>
      </c>
      <c r="I25" s="114">
        <v>0</v>
      </c>
      <c r="J25" s="114">
        <v>8174.97</v>
      </c>
      <c r="K25" s="114">
        <v>0</v>
      </c>
      <c r="L25" s="114">
        <v>62127.01</v>
      </c>
    </row>
    <row r="26" spans="1:12" x14ac:dyDescent="0.25">
      <c r="A26" s="112" t="s">
        <v>244</v>
      </c>
      <c r="B26" s="113" t="s">
        <v>245</v>
      </c>
      <c r="C26" s="114">
        <v>0</v>
      </c>
      <c r="D26" s="114">
        <v>135430.53</v>
      </c>
      <c r="E26" s="114">
        <v>0</v>
      </c>
      <c r="F26" s="114">
        <v>138732.79</v>
      </c>
      <c r="G26" s="114">
        <v>0</v>
      </c>
      <c r="H26" s="114">
        <v>5.31</v>
      </c>
      <c r="I26" s="114">
        <v>0</v>
      </c>
      <c r="J26" s="114">
        <v>3307.57</v>
      </c>
      <c r="K26" s="114">
        <v>0</v>
      </c>
      <c r="L26" s="114">
        <v>138738.1</v>
      </c>
    </row>
    <row r="27" spans="1:12" x14ac:dyDescent="0.25">
      <c r="A27" s="112" t="s">
        <v>569</v>
      </c>
      <c r="B27" s="113" t="s">
        <v>570</v>
      </c>
      <c r="C27" s="114">
        <v>0</v>
      </c>
      <c r="D27" s="114">
        <v>8331.2099999999991</v>
      </c>
      <c r="E27" s="114">
        <v>0</v>
      </c>
      <c r="F27" s="114">
        <v>0</v>
      </c>
      <c r="G27" s="114">
        <v>0</v>
      </c>
      <c r="H27" s="114">
        <v>0</v>
      </c>
      <c r="I27" s="114">
        <v>17386.89</v>
      </c>
      <c r="J27" s="114">
        <v>9055.68</v>
      </c>
      <c r="K27" s="114">
        <v>0</v>
      </c>
      <c r="L27" s="114">
        <v>0</v>
      </c>
    </row>
    <row r="28" spans="1:12" x14ac:dyDescent="0.25">
      <c r="A28" s="112" t="s">
        <v>246</v>
      </c>
      <c r="B28" s="113" t="s">
        <v>247</v>
      </c>
      <c r="C28" s="114">
        <v>0</v>
      </c>
      <c r="D28" s="114">
        <v>0</v>
      </c>
      <c r="E28" s="114">
        <v>0</v>
      </c>
      <c r="F28" s="114">
        <v>12789.6</v>
      </c>
      <c r="G28" s="114">
        <v>0</v>
      </c>
      <c r="H28" s="114">
        <v>1490.41</v>
      </c>
      <c r="I28" s="114">
        <v>0</v>
      </c>
      <c r="J28" s="114">
        <v>14280.01</v>
      </c>
      <c r="K28" s="114">
        <v>0</v>
      </c>
      <c r="L28" s="114">
        <v>14280.01</v>
      </c>
    </row>
    <row r="29" spans="1:12" x14ac:dyDescent="0.25">
      <c r="A29" s="112" t="s">
        <v>248</v>
      </c>
      <c r="B29" s="113" t="s">
        <v>249</v>
      </c>
      <c r="C29" s="114">
        <v>0</v>
      </c>
      <c r="D29" s="114">
        <v>8076.62</v>
      </c>
      <c r="E29" s="114">
        <v>0</v>
      </c>
      <c r="F29" s="114">
        <v>8076.62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  <c r="L29" s="114">
        <v>8076.62</v>
      </c>
    </row>
    <row r="30" spans="1:12" x14ac:dyDescent="0.25">
      <c r="A30" s="112" t="s">
        <v>250</v>
      </c>
      <c r="B30" s="113" t="s">
        <v>251</v>
      </c>
      <c r="C30" s="114">
        <v>0</v>
      </c>
      <c r="D30" s="114">
        <v>1083.3499999999999</v>
      </c>
      <c r="E30" s="114">
        <v>0</v>
      </c>
      <c r="F30" s="114">
        <v>1579.89</v>
      </c>
      <c r="G30" s="114">
        <v>0</v>
      </c>
      <c r="H30" s="114">
        <v>45.13</v>
      </c>
      <c r="I30" s="114">
        <v>0</v>
      </c>
      <c r="J30" s="114">
        <v>541.66999999999996</v>
      </c>
      <c r="K30" s="114">
        <v>0</v>
      </c>
      <c r="L30" s="114">
        <v>1625.02</v>
      </c>
    </row>
    <row r="31" spans="1:12" x14ac:dyDescent="0.25">
      <c r="A31" s="112" t="s">
        <v>254</v>
      </c>
      <c r="B31" s="113" t="s">
        <v>255</v>
      </c>
      <c r="C31" s="114">
        <v>0</v>
      </c>
      <c r="D31" s="114">
        <v>15859.59</v>
      </c>
      <c r="E31" s="114">
        <v>0</v>
      </c>
      <c r="F31" s="114">
        <v>19901.099999999999</v>
      </c>
      <c r="G31" s="114">
        <v>0</v>
      </c>
      <c r="H31" s="114">
        <v>367.37</v>
      </c>
      <c r="I31" s="114">
        <v>0</v>
      </c>
      <c r="J31" s="114">
        <v>4408.88</v>
      </c>
      <c r="K31" s="114">
        <v>0</v>
      </c>
      <c r="L31" s="114">
        <v>20268.47</v>
      </c>
    </row>
    <row r="32" spans="1:12" x14ac:dyDescent="0.25">
      <c r="A32" s="112" t="s">
        <v>256</v>
      </c>
      <c r="B32" s="113" t="s">
        <v>257</v>
      </c>
      <c r="C32" s="114">
        <v>0</v>
      </c>
      <c r="D32" s="114">
        <v>3666.67</v>
      </c>
      <c r="E32" s="114">
        <v>0</v>
      </c>
      <c r="F32" s="114">
        <v>5500.04</v>
      </c>
      <c r="G32" s="114">
        <v>0</v>
      </c>
      <c r="H32" s="114">
        <v>166.63</v>
      </c>
      <c r="I32" s="114">
        <v>0</v>
      </c>
      <c r="J32" s="114">
        <v>2000</v>
      </c>
      <c r="K32" s="114">
        <v>0</v>
      </c>
      <c r="L32" s="114">
        <v>5666.67</v>
      </c>
    </row>
    <row r="33" spans="1:12" x14ac:dyDescent="0.25">
      <c r="A33" s="112" t="s">
        <v>258</v>
      </c>
      <c r="B33" s="113" t="s">
        <v>259</v>
      </c>
      <c r="C33" s="114">
        <v>0</v>
      </c>
      <c r="D33" s="114">
        <v>2770.83</v>
      </c>
      <c r="E33" s="114">
        <v>0</v>
      </c>
      <c r="F33" s="114">
        <v>4374.96</v>
      </c>
      <c r="G33" s="114">
        <v>0</v>
      </c>
      <c r="H33" s="114">
        <v>145.87</v>
      </c>
      <c r="I33" s="114">
        <v>0</v>
      </c>
      <c r="J33" s="114">
        <v>1750</v>
      </c>
      <c r="K33" s="114">
        <v>0</v>
      </c>
      <c r="L33" s="114">
        <v>4520.83</v>
      </c>
    </row>
    <row r="34" spans="1:12" x14ac:dyDescent="0.25">
      <c r="A34" s="112" t="s">
        <v>260</v>
      </c>
      <c r="B34" s="113" t="s">
        <v>261</v>
      </c>
      <c r="C34" s="114">
        <v>0</v>
      </c>
      <c r="D34" s="114">
        <v>11281.25</v>
      </c>
      <c r="E34" s="114">
        <v>0</v>
      </c>
      <c r="F34" s="114">
        <v>17812.5</v>
      </c>
      <c r="G34" s="114">
        <v>0</v>
      </c>
      <c r="H34" s="114">
        <v>593.75</v>
      </c>
      <c r="I34" s="114">
        <v>0</v>
      </c>
      <c r="J34" s="114">
        <v>7125</v>
      </c>
      <c r="K34" s="114">
        <v>0</v>
      </c>
      <c r="L34" s="114">
        <v>18406.25</v>
      </c>
    </row>
    <row r="35" spans="1:12" x14ac:dyDescent="0.25">
      <c r="A35" s="112" t="s">
        <v>262</v>
      </c>
      <c r="B35" s="113" t="s">
        <v>263</v>
      </c>
      <c r="C35" s="114">
        <v>0</v>
      </c>
      <c r="D35" s="114">
        <v>672.92</v>
      </c>
      <c r="E35" s="114">
        <v>0</v>
      </c>
      <c r="F35" s="114">
        <v>1062.54</v>
      </c>
      <c r="G35" s="114">
        <v>0</v>
      </c>
      <c r="H35" s="114">
        <v>35.380000000000003</v>
      </c>
      <c r="I35" s="114">
        <v>0</v>
      </c>
      <c r="J35" s="114">
        <v>425</v>
      </c>
      <c r="K35" s="114">
        <v>0</v>
      </c>
      <c r="L35" s="114">
        <v>1097.92</v>
      </c>
    </row>
    <row r="36" spans="1:12" x14ac:dyDescent="0.25">
      <c r="A36" s="112" t="s">
        <v>264</v>
      </c>
      <c r="B36" s="113" t="s">
        <v>265</v>
      </c>
      <c r="C36" s="114">
        <v>0</v>
      </c>
      <c r="D36" s="114">
        <v>1900</v>
      </c>
      <c r="E36" s="114">
        <v>0</v>
      </c>
      <c r="F36" s="114">
        <v>3206.25</v>
      </c>
      <c r="G36" s="114">
        <v>0</v>
      </c>
      <c r="H36" s="114">
        <v>118.75</v>
      </c>
      <c r="I36" s="114">
        <v>0</v>
      </c>
      <c r="J36" s="114">
        <v>1425</v>
      </c>
      <c r="K36" s="114">
        <v>0</v>
      </c>
      <c r="L36" s="114">
        <v>3325</v>
      </c>
    </row>
    <row r="37" spans="1:12" x14ac:dyDescent="0.25">
      <c r="A37" s="112" t="s">
        <v>266</v>
      </c>
      <c r="B37" s="113" t="s">
        <v>267</v>
      </c>
      <c r="C37" s="114">
        <v>0</v>
      </c>
      <c r="D37" s="114">
        <v>1514.56</v>
      </c>
      <c r="E37" s="114">
        <v>0</v>
      </c>
      <c r="F37" s="114">
        <v>3894.63</v>
      </c>
      <c r="G37" s="114">
        <v>0</v>
      </c>
      <c r="H37" s="114">
        <v>216.31</v>
      </c>
      <c r="I37" s="114">
        <v>0</v>
      </c>
      <c r="J37" s="114">
        <v>2596.38</v>
      </c>
      <c r="K37" s="114">
        <v>0</v>
      </c>
      <c r="L37" s="114">
        <v>4110.9399999999996</v>
      </c>
    </row>
    <row r="38" spans="1:12" x14ac:dyDescent="0.25">
      <c r="A38" s="112" t="s">
        <v>272</v>
      </c>
      <c r="B38" s="113" t="s">
        <v>273</v>
      </c>
      <c r="C38" s="114">
        <v>178.53</v>
      </c>
      <c r="D38" s="114">
        <v>0</v>
      </c>
      <c r="E38" s="114">
        <v>0</v>
      </c>
      <c r="F38" s="114">
        <v>0</v>
      </c>
      <c r="G38" s="114">
        <v>157.55000000000001</v>
      </c>
      <c r="H38" s="114">
        <v>0</v>
      </c>
      <c r="I38" s="114">
        <v>157.55000000000001</v>
      </c>
      <c r="J38" s="114">
        <v>178.53</v>
      </c>
      <c r="K38" s="114">
        <v>157.55000000000001</v>
      </c>
      <c r="L38" s="114">
        <v>0</v>
      </c>
    </row>
    <row r="39" spans="1:12" x14ac:dyDescent="0.25">
      <c r="A39" s="112" t="s">
        <v>274</v>
      </c>
      <c r="B39" s="113" t="s">
        <v>275</v>
      </c>
      <c r="C39" s="114">
        <v>0</v>
      </c>
      <c r="D39" s="114">
        <v>0</v>
      </c>
      <c r="E39" s="114">
        <v>1848</v>
      </c>
      <c r="F39" s="114">
        <v>0</v>
      </c>
      <c r="G39" s="114">
        <v>0</v>
      </c>
      <c r="H39" s="114">
        <v>1704</v>
      </c>
      <c r="I39" s="114">
        <v>1848</v>
      </c>
      <c r="J39" s="114">
        <v>1704</v>
      </c>
      <c r="K39" s="114">
        <v>144</v>
      </c>
      <c r="L39" s="114">
        <v>0</v>
      </c>
    </row>
    <row r="40" spans="1:12" x14ac:dyDescent="0.25">
      <c r="A40" s="112" t="s">
        <v>276</v>
      </c>
      <c r="B40" s="113" t="s">
        <v>277</v>
      </c>
      <c r="C40" s="114">
        <v>800</v>
      </c>
      <c r="D40" s="114">
        <v>0</v>
      </c>
      <c r="E40" s="114">
        <v>800</v>
      </c>
      <c r="F40" s="114">
        <v>0</v>
      </c>
      <c r="G40" s="114">
        <v>0</v>
      </c>
      <c r="H40" s="114">
        <v>0</v>
      </c>
      <c r="I40" s="114">
        <v>0</v>
      </c>
      <c r="J40" s="114">
        <v>0</v>
      </c>
      <c r="K40" s="114">
        <v>800</v>
      </c>
      <c r="L40" s="114">
        <v>0</v>
      </c>
    </row>
    <row r="41" spans="1:12" x14ac:dyDescent="0.25">
      <c r="A41" s="112" t="s">
        <v>278</v>
      </c>
      <c r="B41" s="113" t="s">
        <v>279</v>
      </c>
      <c r="C41" s="114">
        <v>2100</v>
      </c>
      <c r="D41" s="114">
        <v>0</v>
      </c>
      <c r="E41" s="114">
        <v>2850</v>
      </c>
      <c r="F41" s="114">
        <v>0</v>
      </c>
      <c r="G41" s="114">
        <v>750</v>
      </c>
      <c r="H41" s="114">
        <v>300</v>
      </c>
      <c r="I41" s="114">
        <v>1500</v>
      </c>
      <c r="J41" s="114">
        <v>300</v>
      </c>
      <c r="K41" s="114">
        <v>3300</v>
      </c>
      <c r="L41" s="114">
        <v>0</v>
      </c>
    </row>
    <row r="42" spans="1:12" x14ac:dyDescent="0.25">
      <c r="A42" s="112" t="s">
        <v>280</v>
      </c>
      <c r="B42" s="113" t="s">
        <v>281</v>
      </c>
      <c r="C42" s="114">
        <v>0</v>
      </c>
      <c r="D42" s="114">
        <v>0</v>
      </c>
      <c r="E42" s="114">
        <v>30.8</v>
      </c>
      <c r="F42" s="114">
        <v>0</v>
      </c>
      <c r="G42" s="114">
        <v>35092.69</v>
      </c>
      <c r="H42" s="114">
        <v>35123.49</v>
      </c>
      <c r="I42" s="114">
        <v>599282.92000000004</v>
      </c>
      <c r="J42" s="114">
        <v>599282.92000000004</v>
      </c>
      <c r="K42" s="114">
        <v>0</v>
      </c>
      <c r="L42" s="114">
        <v>0</v>
      </c>
    </row>
    <row r="43" spans="1:12" x14ac:dyDescent="0.25">
      <c r="A43" s="112" t="s">
        <v>282</v>
      </c>
      <c r="B43" s="113" t="s">
        <v>283</v>
      </c>
      <c r="C43" s="114">
        <v>241313.42</v>
      </c>
      <c r="D43" s="114">
        <v>0</v>
      </c>
      <c r="E43" s="114">
        <v>217066.03</v>
      </c>
      <c r="F43" s="114">
        <v>0</v>
      </c>
      <c r="G43" s="114">
        <v>36174.15</v>
      </c>
      <c r="H43" s="114">
        <v>42261.24</v>
      </c>
      <c r="I43" s="114">
        <v>614897.07999999996</v>
      </c>
      <c r="J43" s="114">
        <v>645231.56000000006</v>
      </c>
      <c r="K43" s="114">
        <v>210978.94</v>
      </c>
      <c r="L43" s="114">
        <v>0</v>
      </c>
    </row>
    <row r="44" spans="1:12" x14ac:dyDescent="0.25">
      <c r="A44" s="112" t="s">
        <v>284</v>
      </c>
      <c r="B44" s="113" t="s">
        <v>285</v>
      </c>
      <c r="C44" s="114">
        <v>37211.83</v>
      </c>
      <c r="D44" s="114">
        <v>0</v>
      </c>
      <c r="E44" s="114">
        <v>37010.86</v>
      </c>
      <c r="F44" s="114">
        <v>0</v>
      </c>
      <c r="G44" s="114">
        <v>10840.16</v>
      </c>
      <c r="H44" s="114">
        <v>13032.46</v>
      </c>
      <c r="I44" s="114">
        <v>176905.54</v>
      </c>
      <c r="J44" s="114">
        <v>179298.81</v>
      </c>
      <c r="K44" s="114">
        <v>34818.559999999998</v>
      </c>
      <c r="L44" s="114">
        <v>0</v>
      </c>
    </row>
    <row r="45" spans="1:12" x14ac:dyDescent="0.25">
      <c r="A45" s="112" t="s">
        <v>286</v>
      </c>
      <c r="B45" s="113" t="s">
        <v>287</v>
      </c>
      <c r="C45" s="114">
        <v>1331.86</v>
      </c>
      <c r="D45" s="114">
        <v>0</v>
      </c>
      <c r="E45" s="114">
        <v>683.01</v>
      </c>
      <c r="F45" s="114">
        <v>0</v>
      </c>
      <c r="G45" s="114">
        <v>9679.7199999999993</v>
      </c>
      <c r="H45" s="114">
        <v>10345.18</v>
      </c>
      <c r="I45" s="114">
        <v>88758.75</v>
      </c>
      <c r="J45" s="114">
        <v>90073.06</v>
      </c>
      <c r="K45" s="114">
        <v>17.55</v>
      </c>
      <c r="L45" s="114">
        <v>0</v>
      </c>
    </row>
    <row r="46" spans="1:12" x14ac:dyDescent="0.25">
      <c r="A46" s="112" t="s">
        <v>288</v>
      </c>
      <c r="B46" s="113" t="s">
        <v>289</v>
      </c>
      <c r="C46" s="114">
        <v>0</v>
      </c>
      <c r="D46" s="114">
        <v>0</v>
      </c>
      <c r="E46" s="114">
        <v>300.81</v>
      </c>
      <c r="F46" s="114">
        <v>0</v>
      </c>
      <c r="G46" s="114">
        <v>0</v>
      </c>
      <c r="H46" s="114">
        <v>300.81</v>
      </c>
      <c r="I46" s="114">
        <v>8546.52</v>
      </c>
      <c r="J46" s="114">
        <v>8546.52</v>
      </c>
      <c r="K46" s="114">
        <v>0</v>
      </c>
      <c r="L46" s="114">
        <v>0</v>
      </c>
    </row>
    <row r="47" spans="1:12" x14ac:dyDescent="0.25">
      <c r="A47" s="112" t="s">
        <v>290</v>
      </c>
      <c r="B47" s="113" t="s">
        <v>291</v>
      </c>
      <c r="C47" s="114">
        <v>768.87</v>
      </c>
      <c r="D47" s="114">
        <v>0</v>
      </c>
      <c r="E47" s="114">
        <v>1397.13</v>
      </c>
      <c r="F47" s="114">
        <v>0</v>
      </c>
      <c r="G47" s="114">
        <v>66174.990000000005</v>
      </c>
      <c r="H47" s="114">
        <v>64804.67</v>
      </c>
      <c r="I47" s="114">
        <v>731702.45</v>
      </c>
      <c r="J47" s="114">
        <v>729703.87</v>
      </c>
      <c r="K47" s="114">
        <v>2767.45</v>
      </c>
      <c r="L47" s="114">
        <v>0</v>
      </c>
    </row>
    <row r="48" spans="1:12" x14ac:dyDescent="0.25">
      <c r="A48" s="112" t="s">
        <v>292</v>
      </c>
      <c r="B48" s="113" t="s">
        <v>293</v>
      </c>
      <c r="C48" s="114">
        <v>658.65</v>
      </c>
      <c r="D48" s="114">
        <v>0</v>
      </c>
      <c r="E48" s="114">
        <v>666.82</v>
      </c>
      <c r="F48" s="114">
        <v>0</v>
      </c>
      <c r="G48" s="114">
        <v>264.29000000000002</v>
      </c>
      <c r="H48" s="114">
        <v>682.66</v>
      </c>
      <c r="I48" s="114">
        <v>7124.2</v>
      </c>
      <c r="J48" s="114">
        <v>7534.4</v>
      </c>
      <c r="K48" s="114">
        <v>248.45</v>
      </c>
      <c r="L48" s="114">
        <v>0</v>
      </c>
    </row>
    <row r="49" spans="1:12" x14ac:dyDescent="0.25">
      <c r="A49" s="112" t="s">
        <v>294</v>
      </c>
      <c r="B49" s="113" t="s">
        <v>295</v>
      </c>
      <c r="C49" s="114">
        <v>-25136.66</v>
      </c>
      <c r="D49" s="114">
        <v>0</v>
      </c>
      <c r="E49" s="114">
        <v>-25056.36</v>
      </c>
      <c r="F49" s="114">
        <v>0</v>
      </c>
      <c r="G49" s="114">
        <v>103693.1</v>
      </c>
      <c r="H49" s="114">
        <v>103838.39999999999</v>
      </c>
      <c r="I49" s="114">
        <v>1156893.24</v>
      </c>
      <c r="J49" s="114">
        <v>1156958.24</v>
      </c>
      <c r="K49" s="114">
        <v>-25201.66</v>
      </c>
      <c r="L49" s="114">
        <v>0</v>
      </c>
    </row>
    <row r="50" spans="1:12" x14ac:dyDescent="0.25">
      <c r="A50" s="112" t="s">
        <v>296</v>
      </c>
      <c r="B50" s="113" t="s">
        <v>297</v>
      </c>
      <c r="C50" s="114">
        <v>0</v>
      </c>
      <c r="D50" s="114">
        <v>0</v>
      </c>
      <c r="E50" s="114">
        <v>0</v>
      </c>
      <c r="F50" s="114">
        <v>0</v>
      </c>
      <c r="G50" s="114">
        <v>46850</v>
      </c>
      <c r="H50" s="114">
        <v>46850</v>
      </c>
      <c r="I50" s="114">
        <v>642335</v>
      </c>
      <c r="J50" s="114">
        <v>642335</v>
      </c>
      <c r="K50" s="114">
        <v>0</v>
      </c>
      <c r="L50" s="114">
        <v>0</v>
      </c>
    </row>
    <row r="51" spans="1:12" x14ac:dyDescent="0.25">
      <c r="A51" s="112" t="s">
        <v>298</v>
      </c>
      <c r="B51" s="113" t="s">
        <v>299</v>
      </c>
      <c r="C51" s="114">
        <v>35804.67</v>
      </c>
      <c r="D51" s="114">
        <v>0</v>
      </c>
      <c r="E51" s="114">
        <v>33948.269999999997</v>
      </c>
      <c r="F51" s="114">
        <v>0</v>
      </c>
      <c r="G51" s="114">
        <v>22211.09</v>
      </c>
      <c r="H51" s="114">
        <v>30964.48</v>
      </c>
      <c r="I51" s="114">
        <v>187511.89</v>
      </c>
      <c r="J51" s="114">
        <v>198121.68</v>
      </c>
      <c r="K51" s="114">
        <v>25194.880000000001</v>
      </c>
      <c r="L51" s="114">
        <v>0</v>
      </c>
    </row>
    <row r="52" spans="1:12" x14ac:dyDescent="0.25">
      <c r="A52" s="112" t="s">
        <v>300</v>
      </c>
      <c r="B52" s="113" t="s">
        <v>301</v>
      </c>
      <c r="C52" s="114">
        <v>0</v>
      </c>
      <c r="D52" s="114">
        <v>0</v>
      </c>
      <c r="E52" s="114">
        <v>1879.8</v>
      </c>
      <c r="F52" s="114">
        <v>0</v>
      </c>
      <c r="G52" s="114">
        <v>106.5</v>
      </c>
      <c r="H52" s="114">
        <v>1986.3</v>
      </c>
      <c r="I52" s="114">
        <v>5048.29</v>
      </c>
      <c r="J52" s="114">
        <v>5048.29</v>
      </c>
      <c r="K52" s="114">
        <v>0</v>
      </c>
      <c r="L52" s="114">
        <v>0</v>
      </c>
    </row>
    <row r="53" spans="1:12" x14ac:dyDescent="0.25">
      <c r="A53" s="112" t="s">
        <v>302</v>
      </c>
      <c r="B53" s="113" t="s">
        <v>303</v>
      </c>
      <c r="C53" s="114">
        <v>0</v>
      </c>
      <c r="D53" s="114">
        <v>0</v>
      </c>
      <c r="E53" s="114">
        <v>0</v>
      </c>
      <c r="F53" s="114">
        <v>0</v>
      </c>
      <c r="G53" s="114">
        <v>0</v>
      </c>
      <c r="H53" s="114">
        <v>0</v>
      </c>
      <c r="I53" s="114">
        <v>2569.4</v>
      </c>
      <c r="J53" s="114">
        <v>2569.4</v>
      </c>
      <c r="K53" s="114">
        <v>0</v>
      </c>
      <c r="L53" s="114">
        <v>0</v>
      </c>
    </row>
    <row r="54" spans="1:12" x14ac:dyDescent="0.25">
      <c r="A54" s="112" t="s">
        <v>304</v>
      </c>
      <c r="B54" s="113" t="s">
        <v>305</v>
      </c>
      <c r="C54" s="114">
        <v>0</v>
      </c>
      <c r="D54" s="114">
        <v>0</v>
      </c>
      <c r="E54" s="114">
        <v>0</v>
      </c>
      <c r="F54" s="114">
        <v>0</v>
      </c>
      <c r="G54" s="114">
        <v>0</v>
      </c>
      <c r="H54" s="114">
        <v>0</v>
      </c>
      <c r="I54" s="114">
        <v>3422.35</v>
      </c>
      <c r="J54" s="114">
        <v>3422.35</v>
      </c>
      <c r="K54" s="114">
        <v>0</v>
      </c>
      <c r="L54" s="114">
        <v>0</v>
      </c>
    </row>
    <row r="55" spans="1:12" x14ac:dyDescent="0.25">
      <c r="A55" s="112" t="s">
        <v>306</v>
      </c>
      <c r="B55" s="113" t="s">
        <v>307</v>
      </c>
      <c r="C55" s="114">
        <v>0</v>
      </c>
      <c r="D55" s="114">
        <v>0</v>
      </c>
      <c r="E55" s="114">
        <v>0</v>
      </c>
      <c r="F55" s="114">
        <v>0</v>
      </c>
      <c r="G55" s="114">
        <v>0</v>
      </c>
      <c r="H55" s="114">
        <v>0</v>
      </c>
      <c r="I55" s="114">
        <v>0</v>
      </c>
      <c r="J55" s="114">
        <v>0</v>
      </c>
      <c r="K55" s="114">
        <v>0</v>
      </c>
      <c r="L55" s="114">
        <v>0</v>
      </c>
    </row>
    <row r="56" spans="1:12" x14ac:dyDescent="0.25">
      <c r="A56" s="112" t="s">
        <v>308</v>
      </c>
      <c r="B56" s="113" t="s">
        <v>309</v>
      </c>
      <c r="C56" s="114">
        <v>0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  <c r="L56" s="114">
        <v>0</v>
      </c>
    </row>
    <row r="57" spans="1:12" x14ac:dyDescent="0.25">
      <c r="A57" s="112" t="s">
        <v>310</v>
      </c>
      <c r="B57" s="113" t="s">
        <v>311</v>
      </c>
      <c r="C57" s="114">
        <v>383.58</v>
      </c>
      <c r="D57" s="114">
        <v>0</v>
      </c>
      <c r="E57" s="114">
        <v>2480.5700000000002</v>
      </c>
      <c r="F57" s="114">
        <v>0</v>
      </c>
      <c r="G57" s="114">
        <v>0</v>
      </c>
      <c r="H57" s="114">
        <v>2408.42</v>
      </c>
      <c r="I57" s="114">
        <v>0</v>
      </c>
      <c r="J57" s="114">
        <v>311.43</v>
      </c>
      <c r="K57" s="114">
        <v>72.150000000000006</v>
      </c>
      <c r="L57" s="114">
        <v>0</v>
      </c>
    </row>
    <row r="58" spans="1:12" x14ac:dyDescent="0.25">
      <c r="A58" s="112" t="s">
        <v>312</v>
      </c>
      <c r="B58" s="113" t="s">
        <v>313</v>
      </c>
      <c r="C58" s="114">
        <v>0</v>
      </c>
      <c r="D58" s="114">
        <v>84365.56</v>
      </c>
      <c r="E58" s="114">
        <v>0</v>
      </c>
      <c r="F58" s="114">
        <v>44766.26</v>
      </c>
      <c r="G58" s="114">
        <v>26199.84</v>
      </c>
      <c r="H58" s="114">
        <v>24531.65</v>
      </c>
      <c r="I58" s="114">
        <v>322641.99</v>
      </c>
      <c r="J58" s="114">
        <v>281374.5</v>
      </c>
      <c r="K58" s="114">
        <v>0</v>
      </c>
      <c r="L58" s="114">
        <v>43098.07</v>
      </c>
    </row>
    <row r="59" spans="1:12" x14ac:dyDescent="0.25">
      <c r="A59" s="112" t="s">
        <v>314</v>
      </c>
      <c r="B59" s="113" t="s">
        <v>315</v>
      </c>
      <c r="C59" s="114">
        <v>0</v>
      </c>
      <c r="D59" s="114">
        <v>107579</v>
      </c>
      <c r="E59" s="114">
        <v>0</v>
      </c>
      <c r="F59" s="114">
        <v>125943.12</v>
      </c>
      <c r="G59" s="114">
        <v>31317.85</v>
      </c>
      <c r="H59" s="114">
        <v>21423.47</v>
      </c>
      <c r="I59" s="114">
        <v>426574.79</v>
      </c>
      <c r="J59" s="114">
        <v>435044.53</v>
      </c>
      <c r="K59" s="114">
        <v>0</v>
      </c>
      <c r="L59" s="114">
        <v>116048.74</v>
      </c>
    </row>
    <row r="60" spans="1:12" x14ac:dyDescent="0.25">
      <c r="A60" s="112" t="s">
        <v>316</v>
      </c>
      <c r="B60" s="113" t="s">
        <v>317</v>
      </c>
      <c r="C60" s="114">
        <v>0</v>
      </c>
      <c r="D60" s="114">
        <v>2173</v>
      </c>
      <c r="E60" s="114">
        <v>0</v>
      </c>
      <c r="F60" s="114">
        <v>2173</v>
      </c>
      <c r="G60" s="114">
        <v>2173</v>
      </c>
      <c r="H60" s="114">
        <v>2953.61</v>
      </c>
      <c r="I60" s="114">
        <v>2173</v>
      </c>
      <c r="J60" s="114">
        <v>2953.61</v>
      </c>
      <c r="K60" s="114">
        <v>0</v>
      </c>
      <c r="L60" s="114">
        <v>2953.61</v>
      </c>
    </row>
    <row r="61" spans="1:12" x14ac:dyDescent="0.25">
      <c r="A61" s="112" t="s">
        <v>318</v>
      </c>
      <c r="B61" s="113" t="s">
        <v>319</v>
      </c>
      <c r="C61" s="114">
        <v>0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1837</v>
      </c>
      <c r="J61" s="114">
        <v>1837</v>
      </c>
      <c r="K61" s="114">
        <v>0</v>
      </c>
      <c r="L61" s="114">
        <v>0</v>
      </c>
    </row>
    <row r="62" spans="1:12" x14ac:dyDescent="0.25">
      <c r="A62" s="112" t="s">
        <v>328</v>
      </c>
      <c r="B62" s="113" t="s">
        <v>329</v>
      </c>
      <c r="C62" s="114">
        <v>0</v>
      </c>
      <c r="D62" s="114">
        <v>7977.28</v>
      </c>
      <c r="E62" s="114">
        <v>0</v>
      </c>
      <c r="F62" s="114">
        <v>8135.55</v>
      </c>
      <c r="G62" s="114">
        <v>18833.490000000002</v>
      </c>
      <c r="H62" s="114">
        <v>19069.78</v>
      </c>
      <c r="I62" s="114">
        <v>234508.53</v>
      </c>
      <c r="J62" s="114">
        <v>234903.09</v>
      </c>
      <c r="K62" s="114">
        <v>0</v>
      </c>
      <c r="L62" s="114">
        <v>8371.84</v>
      </c>
    </row>
    <row r="63" spans="1:12" x14ac:dyDescent="0.25">
      <c r="A63" s="112" t="s">
        <v>330</v>
      </c>
      <c r="B63" s="113" t="s">
        <v>331</v>
      </c>
      <c r="C63" s="114">
        <v>250.21</v>
      </c>
      <c r="D63" s="114">
        <v>0</v>
      </c>
      <c r="E63" s="114">
        <v>152.22999999999999</v>
      </c>
      <c r="F63" s="114">
        <v>0</v>
      </c>
      <c r="G63" s="114">
        <v>324.19</v>
      </c>
      <c r="H63" s="114">
        <v>152.22999999999999</v>
      </c>
      <c r="I63" s="114">
        <v>2704.02</v>
      </c>
      <c r="J63" s="114">
        <v>2630.04</v>
      </c>
      <c r="K63" s="114">
        <v>324.19</v>
      </c>
      <c r="L63" s="114">
        <v>0</v>
      </c>
    </row>
    <row r="64" spans="1:12" x14ac:dyDescent="0.25">
      <c r="A64" s="112" t="s">
        <v>332</v>
      </c>
      <c r="B64" s="113" t="s">
        <v>333</v>
      </c>
      <c r="C64" s="114">
        <v>0</v>
      </c>
      <c r="D64" s="114">
        <v>1092.74</v>
      </c>
      <c r="E64" s="114">
        <v>0</v>
      </c>
      <c r="F64" s="114">
        <v>886.56</v>
      </c>
      <c r="G64" s="114">
        <v>886.56</v>
      </c>
      <c r="H64" s="114">
        <v>911.4</v>
      </c>
      <c r="I64" s="114">
        <v>11523.38</v>
      </c>
      <c r="J64" s="114">
        <v>11342.04</v>
      </c>
      <c r="K64" s="114">
        <v>0</v>
      </c>
      <c r="L64" s="114">
        <v>911.4</v>
      </c>
    </row>
    <row r="65" spans="1:12" x14ac:dyDescent="0.25">
      <c r="A65" s="112" t="s">
        <v>334</v>
      </c>
      <c r="B65" s="113" t="s">
        <v>335</v>
      </c>
      <c r="C65" s="114">
        <v>0</v>
      </c>
      <c r="D65" s="114">
        <v>378.81</v>
      </c>
      <c r="E65" s="114">
        <v>0</v>
      </c>
      <c r="F65" s="114">
        <v>421.33</v>
      </c>
      <c r="G65" s="114">
        <v>421.33</v>
      </c>
      <c r="H65" s="114">
        <v>428.64</v>
      </c>
      <c r="I65" s="114">
        <v>5385.13</v>
      </c>
      <c r="J65" s="114">
        <v>5434.96</v>
      </c>
      <c r="K65" s="114">
        <v>0</v>
      </c>
      <c r="L65" s="114">
        <v>428.64</v>
      </c>
    </row>
    <row r="66" spans="1:12" x14ac:dyDescent="0.25">
      <c r="A66" s="112" t="s">
        <v>336</v>
      </c>
      <c r="B66" s="113" t="s">
        <v>337</v>
      </c>
      <c r="C66" s="114">
        <v>0</v>
      </c>
      <c r="D66" s="114">
        <v>3841.56</v>
      </c>
      <c r="E66" s="114">
        <v>0</v>
      </c>
      <c r="F66" s="114">
        <v>3342.76</v>
      </c>
      <c r="G66" s="114">
        <v>3342.76</v>
      </c>
      <c r="H66" s="114">
        <v>3526.17</v>
      </c>
      <c r="I66" s="114">
        <v>43284.94</v>
      </c>
      <c r="J66" s="114">
        <v>42969.55</v>
      </c>
      <c r="K66" s="114">
        <v>0</v>
      </c>
      <c r="L66" s="114">
        <v>3526.17</v>
      </c>
    </row>
    <row r="67" spans="1:12" x14ac:dyDescent="0.25">
      <c r="A67" s="112" t="s">
        <v>338</v>
      </c>
      <c r="B67" s="113" t="s">
        <v>339</v>
      </c>
      <c r="C67" s="114">
        <v>0</v>
      </c>
      <c r="D67" s="114">
        <v>1322</v>
      </c>
      <c r="E67" s="114">
        <v>0</v>
      </c>
      <c r="F67" s="114">
        <v>-6541.33</v>
      </c>
      <c r="G67" s="114">
        <v>2290.61</v>
      </c>
      <c r="H67" s="114">
        <v>2932.9</v>
      </c>
      <c r="I67" s="114">
        <v>10153.94</v>
      </c>
      <c r="J67" s="114">
        <v>2932.9</v>
      </c>
      <c r="K67" s="114">
        <v>0</v>
      </c>
      <c r="L67" s="114">
        <v>-5899.04</v>
      </c>
    </row>
    <row r="68" spans="1:12" x14ac:dyDescent="0.25">
      <c r="A68" s="112" t="s">
        <v>340</v>
      </c>
      <c r="B68" s="113" t="s">
        <v>341</v>
      </c>
      <c r="C68" s="114">
        <v>0</v>
      </c>
      <c r="D68" s="114">
        <v>929.95</v>
      </c>
      <c r="E68" s="114">
        <v>0</v>
      </c>
      <c r="F68" s="114">
        <v>563.41</v>
      </c>
      <c r="G68" s="114">
        <v>893.41</v>
      </c>
      <c r="H68" s="114">
        <v>983.51</v>
      </c>
      <c r="I68" s="114">
        <v>12116.02</v>
      </c>
      <c r="J68" s="114">
        <v>11839.58</v>
      </c>
      <c r="K68" s="114">
        <v>0</v>
      </c>
      <c r="L68" s="114">
        <v>653.51</v>
      </c>
    </row>
    <row r="69" spans="1:12" x14ac:dyDescent="0.25">
      <c r="A69" s="112" t="s">
        <v>342</v>
      </c>
      <c r="B69" s="113" t="s">
        <v>343</v>
      </c>
      <c r="C69" s="114">
        <v>0</v>
      </c>
      <c r="D69" s="114">
        <v>0</v>
      </c>
      <c r="E69" s="114">
        <v>0</v>
      </c>
      <c r="F69" s="114">
        <v>0</v>
      </c>
      <c r="G69" s="114">
        <v>29.47</v>
      </c>
      <c r="H69" s="114">
        <v>29.47</v>
      </c>
      <c r="I69" s="114">
        <v>226.89</v>
      </c>
      <c r="J69" s="114">
        <v>226.89</v>
      </c>
      <c r="K69" s="114">
        <v>0</v>
      </c>
      <c r="L69" s="114">
        <v>0</v>
      </c>
    </row>
    <row r="70" spans="1:12" x14ac:dyDescent="0.25">
      <c r="A70" s="112" t="s">
        <v>344</v>
      </c>
      <c r="B70" s="113" t="s">
        <v>345</v>
      </c>
      <c r="C70" s="114">
        <v>0</v>
      </c>
      <c r="D70" s="114">
        <v>0</v>
      </c>
      <c r="E70" s="114">
        <v>0</v>
      </c>
      <c r="F70" s="114">
        <v>0</v>
      </c>
      <c r="G70" s="114">
        <v>27.18</v>
      </c>
      <c r="H70" s="114">
        <v>27.18</v>
      </c>
      <c r="I70" s="114">
        <v>715.01</v>
      </c>
      <c r="J70" s="114">
        <v>715.01</v>
      </c>
      <c r="K70" s="114">
        <v>0</v>
      </c>
      <c r="L70" s="114">
        <v>0</v>
      </c>
    </row>
    <row r="71" spans="1:12" x14ac:dyDescent="0.25">
      <c r="A71" s="112" t="s">
        <v>346</v>
      </c>
      <c r="B71" s="113" t="s">
        <v>347</v>
      </c>
      <c r="C71" s="114">
        <v>0</v>
      </c>
      <c r="D71" s="114">
        <v>0</v>
      </c>
      <c r="E71" s="114">
        <v>0</v>
      </c>
      <c r="F71" s="114">
        <v>0</v>
      </c>
      <c r="G71" s="114">
        <v>17697.169999999998</v>
      </c>
      <c r="H71" s="114">
        <v>17697.169999999998</v>
      </c>
      <c r="I71" s="114">
        <v>188359.5</v>
      </c>
      <c r="J71" s="114">
        <v>188359.5</v>
      </c>
      <c r="K71" s="114">
        <v>0</v>
      </c>
      <c r="L71" s="114">
        <v>0</v>
      </c>
    </row>
    <row r="72" spans="1:12" x14ac:dyDescent="0.25">
      <c r="A72" s="112" t="s">
        <v>348</v>
      </c>
      <c r="B72" s="113" t="s">
        <v>349</v>
      </c>
      <c r="C72" s="114">
        <v>0</v>
      </c>
      <c r="D72" s="114">
        <v>0</v>
      </c>
      <c r="E72" s="114">
        <v>0</v>
      </c>
      <c r="F72" s="114">
        <v>0</v>
      </c>
      <c r="G72" s="114">
        <v>3877.58</v>
      </c>
      <c r="H72" s="114">
        <v>3877.58</v>
      </c>
      <c r="I72" s="114">
        <v>48552.66</v>
      </c>
      <c r="J72" s="114">
        <v>48552.66</v>
      </c>
      <c r="K72" s="114">
        <v>0</v>
      </c>
      <c r="L72" s="114">
        <v>0</v>
      </c>
    </row>
    <row r="73" spans="1:12" x14ac:dyDescent="0.25">
      <c r="A73" s="112" t="s">
        <v>350</v>
      </c>
      <c r="B73" s="113" t="s">
        <v>351</v>
      </c>
      <c r="C73" s="114">
        <v>0</v>
      </c>
      <c r="D73" s="114">
        <v>0</v>
      </c>
      <c r="E73" s="114">
        <v>0</v>
      </c>
      <c r="F73" s="114">
        <v>0</v>
      </c>
      <c r="G73" s="114">
        <v>4284.71</v>
      </c>
      <c r="H73" s="114">
        <v>4284.71</v>
      </c>
      <c r="I73" s="114">
        <v>86976.37</v>
      </c>
      <c r="J73" s="114">
        <v>86976.37</v>
      </c>
      <c r="K73" s="114">
        <v>0</v>
      </c>
      <c r="L73" s="114">
        <v>0</v>
      </c>
    </row>
    <row r="74" spans="1:12" x14ac:dyDescent="0.25">
      <c r="A74" s="112" t="s">
        <v>352</v>
      </c>
      <c r="B74" s="113" t="s">
        <v>353</v>
      </c>
      <c r="C74" s="114">
        <v>0</v>
      </c>
      <c r="D74" s="114">
        <v>0</v>
      </c>
      <c r="E74" s="114">
        <v>0</v>
      </c>
      <c r="F74" s="114">
        <v>0</v>
      </c>
      <c r="G74" s="114">
        <v>4284.71</v>
      </c>
      <c r="H74" s="114">
        <v>4284.71</v>
      </c>
      <c r="I74" s="114">
        <v>86976.37</v>
      </c>
      <c r="J74" s="114">
        <v>86976.37</v>
      </c>
      <c r="K74" s="114">
        <v>0</v>
      </c>
      <c r="L74" s="114">
        <v>0</v>
      </c>
    </row>
    <row r="75" spans="1:12" x14ac:dyDescent="0.25">
      <c r="A75" s="112" t="s">
        <v>354</v>
      </c>
      <c r="B75" s="113" t="s">
        <v>355</v>
      </c>
      <c r="C75" s="114">
        <v>0</v>
      </c>
      <c r="D75" s="114">
        <v>0</v>
      </c>
      <c r="E75" s="114">
        <v>0</v>
      </c>
      <c r="F75" s="114">
        <v>0</v>
      </c>
      <c r="G75" s="114">
        <v>369.56</v>
      </c>
      <c r="H75" s="114">
        <v>369.56</v>
      </c>
      <c r="I75" s="114">
        <v>525.33000000000004</v>
      </c>
      <c r="J75" s="114">
        <v>525.33000000000004</v>
      </c>
      <c r="K75" s="114">
        <v>0</v>
      </c>
      <c r="L75" s="114">
        <v>0</v>
      </c>
    </row>
    <row r="76" spans="1:12" x14ac:dyDescent="0.25">
      <c r="A76" s="112" t="s">
        <v>356</v>
      </c>
      <c r="B76" s="113" t="s">
        <v>357</v>
      </c>
      <c r="C76" s="114">
        <v>0</v>
      </c>
      <c r="D76" s="114">
        <v>0</v>
      </c>
      <c r="E76" s="114">
        <v>0</v>
      </c>
      <c r="F76" s="114">
        <v>0</v>
      </c>
      <c r="G76" s="114">
        <v>369.56</v>
      </c>
      <c r="H76" s="114">
        <v>369.56</v>
      </c>
      <c r="I76" s="114">
        <v>525.33000000000004</v>
      </c>
      <c r="J76" s="114">
        <v>525.33000000000004</v>
      </c>
      <c r="K76" s="114">
        <v>0</v>
      </c>
      <c r="L76" s="114">
        <v>0</v>
      </c>
    </row>
    <row r="77" spans="1:12" x14ac:dyDescent="0.25">
      <c r="A77" s="112" t="s">
        <v>358</v>
      </c>
      <c r="B77" s="113" t="s">
        <v>359</v>
      </c>
      <c r="C77" s="114">
        <v>0</v>
      </c>
      <c r="D77" s="114">
        <v>6141.25</v>
      </c>
      <c r="E77" s="114">
        <v>0</v>
      </c>
      <c r="F77" s="114">
        <v>15002.85</v>
      </c>
      <c r="G77" s="114">
        <v>15002.85</v>
      </c>
      <c r="H77" s="114">
        <v>13821.88</v>
      </c>
      <c r="I77" s="114">
        <v>131638.09</v>
      </c>
      <c r="J77" s="114">
        <v>139318.72</v>
      </c>
      <c r="K77" s="114">
        <v>0</v>
      </c>
      <c r="L77" s="114">
        <v>13821.88</v>
      </c>
    </row>
    <row r="78" spans="1:12" x14ac:dyDescent="0.25">
      <c r="A78" s="112" t="s">
        <v>360</v>
      </c>
      <c r="B78" s="113" t="s">
        <v>361</v>
      </c>
      <c r="C78" s="114">
        <v>0</v>
      </c>
      <c r="D78" s="114">
        <v>0</v>
      </c>
      <c r="E78" s="114">
        <v>0</v>
      </c>
      <c r="F78" s="114">
        <v>0</v>
      </c>
      <c r="G78" s="114">
        <v>553</v>
      </c>
      <c r="H78" s="114">
        <v>553</v>
      </c>
      <c r="I78" s="114">
        <v>2953.84</v>
      </c>
      <c r="J78" s="114">
        <v>2953.84</v>
      </c>
      <c r="K78" s="114">
        <v>0</v>
      </c>
      <c r="L78" s="114">
        <v>0</v>
      </c>
    </row>
    <row r="79" spans="1:12" x14ac:dyDescent="0.25">
      <c r="A79" s="112" t="s">
        <v>571</v>
      </c>
      <c r="B79" s="113" t="s">
        <v>572</v>
      </c>
      <c r="C79" s="114">
        <v>0</v>
      </c>
      <c r="D79" s="114">
        <v>0</v>
      </c>
      <c r="E79" s="114">
        <v>0</v>
      </c>
      <c r="F79" s="114">
        <v>0</v>
      </c>
      <c r="G79" s="114">
        <v>0</v>
      </c>
      <c r="H79" s="114">
        <v>0</v>
      </c>
      <c r="I79" s="114">
        <v>6573.06</v>
      </c>
      <c r="J79" s="114">
        <v>6573.06</v>
      </c>
      <c r="K79" s="114">
        <v>0</v>
      </c>
      <c r="L79" s="114">
        <v>0</v>
      </c>
    </row>
    <row r="80" spans="1:12" x14ac:dyDescent="0.25">
      <c r="A80" s="112" t="s">
        <v>362</v>
      </c>
      <c r="B80" s="113" t="s">
        <v>363</v>
      </c>
      <c r="C80" s="114">
        <v>49577.1</v>
      </c>
      <c r="D80" s="114">
        <v>0</v>
      </c>
      <c r="E80" s="114">
        <v>0</v>
      </c>
      <c r="F80" s="114">
        <v>0</v>
      </c>
      <c r="G80" s="114">
        <v>6210.41</v>
      </c>
      <c r="H80" s="114">
        <v>3105.2</v>
      </c>
      <c r="I80" s="114">
        <v>6791.49</v>
      </c>
      <c r="J80" s="114">
        <v>53263.38</v>
      </c>
      <c r="K80" s="114">
        <v>3105.21</v>
      </c>
      <c r="L80" s="114">
        <v>0</v>
      </c>
    </row>
    <row r="81" spans="1:12" x14ac:dyDescent="0.25">
      <c r="A81" s="112" t="s">
        <v>573</v>
      </c>
      <c r="B81" s="113" t="s">
        <v>574</v>
      </c>
      <c r="C81" s="114">
        <v>0</v>
      </c>
      <c r="D81" s="114">
        <v>0</v>
      </c>
      <c r="E81" s="114">
        <v>0</v>
      </c>
      <c r="F81" s="114">
        <v>0</v>
      </c>
      <c r="G81" s="114">
        <v>0</v>
      </c>
      <c r="H81" s="114">
        <v>0</v>
      </c>
      <c r="I81" s="114">
        <v>40390</v>
      </c>
      <c r="J81" s="114">
        <v>40390</v>
      </c>
      <c r="K81" s="114">
        <v>0</v>
      </c>
      <c r="L81" s="114">
        <v>0</v>
      </c>
    </row>
    <row r="82" spans="1:12" x14ac:dyDescent="0.25">
      <c r="A82" s="112" t="s">
        <v>364</v>
      </c>
      <c r="B82" s="113" t="s">
        <v>365</v>
      </c>
      <c r="C82" s="114">
        <v>0</v>
      </c>
      <c r="D82" s="114">
        <v>73874.27</v>
      </c>
      <c r="E82" s="114">
        <v>0</v>
      </c>
      <c r="F82" s="114">
        <v>73874.27</v>
      </c>
      <c r="G82" s="114">
        <v>9000</v>
      </c>
      <c r="H82" s="114">
        <v>0</v>
      </c>
      <c r="I82" s="114">
        <v>9000</v>
      </c>
      <c r="J82" s="114">
        <v>0</v>
      </c>
      <c r="K82" s="114">
        <v>0</v>
      </c>
      <c r="L82" s="114">
        <v>64874.27</v>
      </c>
    </row>
    <row r="83" spans="1:12" x14ac:dyDescent="0.25">
      <c r="A83" s="112" t="s">
        <v>575</v>
      </c>
      <c r="B83" s="113" t="s">
        <v>576</v>
      </c>
      <c r="C83" s="114">
        <v>0</v>
      </c>
      <c r="D83" s="114">
        <v>22000</v>
      </c>
      <c r="E83" s="114">
        <v>0</v>
      </c>
      <c r="F83" s="114">
        <v>14000</v>
      </c>
      <c r="G83" s="114">
        <v>14000</v>
      </c>
      <c r="H83" s="114">
        <v>0</v>
      </c>
      <c r="I83" s="114">
        <v>22000</v>
      </c>
      <c r="J83" s="114">
        <v>0</v>
      </c>
      <c r="K83" s="114">
        <v>0</v>
      </c>
      <c r="L83" s="114">
        <v>0</v>
      </c>
    </row>
    <row r="84" spans="1:12" x14ac:dyDescent="0.25">
      <c r="A84" s="112" t="s">
        <v>366</v>
      </c>
      <c r="B84" s="113" t="s">
        <v>367</v>
      </c>
      <c r="C84" s="114">
        <v>0</v>
      </c>
      <c r="D84" s="114">
        <v>55000</v>
      </c>
      <c r="E84" s="114">
        <v>0</v>
      </c>
      <c r="F84" s="114">
        <v>37226</v>
      </c>
      <c r="G84" s="114">
        <v>0</v>
      </c>
      <c r="H84" s="114">
        <v>0</v>
      </c>
      <c r="I84" s="114">
        <v>18614</v>
      </c>
      <c r="J84" s="114">
        <v>840</v>
      </c>
      <c r="K84" s="114">
        <v>0</v>
      </c>
      <c r="L84" s="114">
        <v>37226</v>
      </c>
    </row>
    <row r="85" spans="1:12" x14ac:dyDescent="0.25">
      <c r="A85" s="112" t="s">
        <v>368</v>
      </c>
      <c r="B85" s="113" t="s">
        <v>52</v>
      </c>
      <c r="C85" s="114">
        <v>0</v>
      </c>
      <c r="D85" s="114">
        <v>0</v>
      </c>
      <c r="E85" s="114">
        <v>0</v>
      </c>
      <c r="F85" s="114">
        <v>0</v>
      </c>
      <c r="G85" s="114">
        <v>0</v>
      </c>
      <c r="H85" s="114">
        <v>0</v>
      </c>
      <c r="I85" s="114">
        <v>13196.07</v>
      </c>
      <c r="J85" s="114">
        <v>13196.07</v>
      </c>
      <c r="K85" s="114">
        <v>0</v>
      </c>
      <c r="L85" s="114">
        <v>0</v>
      </c>
    </row>
    <row r="86" spans="1:12" x14ac:dyDescent="0.25">
      <c r="A86" s="112" t="s">
        <v>369</v>
      </c>
      <c r="B86" s="113" t="s">
        <v>370</v>
      </c>
      <c r="C86" s="114">
        <v>0</v>
      </c>
      <c r="D86" s="114">
        <v>0</v>
      </c>
      <c r="E86" s="114">
        <v>0</v>
      </c>
      <c r="F86" s="114">
        <v>0</v>
      </c>
      <c r="G86" s="114">
        <v>1118.56</v>
      </c>
      <c r="H86" s="114">
        <v>1671.56</v>
      </c>
      <c r="I86" s="114">
        <v>42709</v>
      </c>
      <c r="J86" s="114">
        <v>43262</v>
      </c>
      <c r="K86" s="114">
        <v>0</v>
      </c>
      <c r="L86" s="114">
        <v>553</v>
      </c>
    </row>
    <row r="87" spans="1:12" x14ac:dyDescent="0.25">
      <c r="A87" s="112" t="s">
        <v>371</v>
      </c>
      <c r="B87" s="113" t="s">
        <v>372</v>
      </c>
      <c r="C87" s="114">
        <v>0</v>
      </c>
      <c r="D87" s="114">
        <v>0</v>
      </c>
      <c r="E87" s="114">
        <v>104.86</v>
      </c>
      <c r="F87" s="114">
        <v>0</v>
      </c>
      <c r="G87" s="114">
        <v>21644.07</v>
      </c>
      <c r="H87" s="114">
        <v>21748.93</v>
      </c>
      <c r="I87" s="114">
        <v>290003.36</v>
      </c>
      <c r="J87" s="114">
        <v>290003.36</v>
      </c>
      <c r="K87" s="114">
        <v>0</v>
      </c>
      <c r="L87" s="114">
        <v>0</v>
      </c>
    </row>
    <row r="88" spans="1:12" x14ac:dyDescent="0.25">
      <c r="A88" s="112" t="s">
        <v>373</v>
      </c>
      <c r="B88" s="113" t="s">
        <v>374</v>
      </c>
      <c r="C88" s="114">
        <v>0</v>
      </c>
      <c r="D88" s="114">
        <v>109068</v>
      </c>
      <c r="E88" s="114">
        <v>0</v>
      </c>
      <c r="F88" s="114">
        <v>109068</v>
      </c>
      <c r="G88" s="114">
        <v>0</v>
      </c>
      <c r="H88" s="114">
        <v>0</v>
      </c>
      <c r="I88" s="114">
        <v>0</v>
      </c>
      <c r="J88" s="114">
        <v>0</v>
      </c>
      <c r="K88" s="114">
        <v>0</v>
      </c>
      <c r="L88" s="114">
        <v>109068</v>
      </c>
    </row>
    <row r="89" spans="1:12" x14ac:dyDescent="0.25">
      <c r="A89" s="112" t="s">
        <v>375</v>
      </c>
      <c r="B89" s="113" t="s">
        <v>376</v>
      </c>
      <c r="C89" s="114">
        <v>0</v>
      </c>
      <c r="D89" s="114">
        <v>10906.8</v>
      </c>
      <c r="E89" s="114">
        <v>0</v>
      </c>
      <c r="F89" s="114">
        <v>10906.8</v>
      </c>
      <c r="G89" s="114">
        <v>0</v>
      </c>
      <c r="H89" s="114">
        <v>0</v>
      </c>
      <c r="I89" s="114">
        <v>0</v>
      </c>
      <c r="J89" s="114">
        <v>0</v>
      </c>
      <c r="K89" s="114">
        <v>0</v>
      </c>
      <c r="L89" s="114">
        <v>10906.8</v>
      </c>
    </row>
    <row r="90" spans="1:12" x14ac:dyDescent="0.25">
      <c r="A90" s="112" t="s">
        <v>377</v>
      </c>
      <c r="B90" s="113" t="s">
        <v>378</v>
      </c>
      <c r="C90" s="114">
        <v>0</v>
      </c>
      <c r="D90" s="114">
        <v>6640.19</v>
      </c>
      <c r="E90" s="114">
        <v>0</v>
      </c>
      <c r="F90" s="114">
        <v>6640.19</v>
      </c>
      <c r="G90" s="114">
        <v>0</v>
      </c>
      <c r="H90" s="114">
        <v>0</v>
      </c>
      <c r="I90" s="114">
        <v>0</v>
      </c>
      <c r="J90" s="114">
        <v>0</v>
      </c>
      <c r="K90" s="114">
        <v>0</v>
      </c>
      <c r="L90" s="114">
        <v>6640.19</v>
      </c>
    </row>
    <row r="91" spans="1:12" x14ac:dyDescent="0.25">
      <c r="A91" s="112" t="s">
        <v>379</v>
      </c>
      <c r="B91" s="113" t="s">
        <v>380</v>
      </c>
      <c r="C91" s="114">
        <v>0</v>
      </c>
      <c r="D91" s="114">
        <v>55917.17</v>
      </c>
      <c r="E91" s="114">
        <v>0</v>
      </c>
      <c r="F91" s="114">
        <v>55917.17</v>
      </c>
      <c r="G91" s="114">
        <v>0</v>
      </c>
      <c r="H91" s="114">
        <v>0</v>
      </c>
      <c r="I91" s="114">
        <v>0</v>
      </c>
      <c r="J91" s="114">
        <v>0</v>
      </c>
      <c r="K91" s="114">
        <v>0</v>
      </c>
      <c r="L91" s="114">
        <v>55917.17</v>
      </c>
    </row>
    <row r="92" spans="1:12" x14ac:dyDescent="0.25">
      <c r="A92" s="112" t="s">
        <v>381</v>
      </c>
      <c r="B92" s="113" t="s">
        <v>382</v>
      </c>
      <c r="C92" s="114">
        <v>0</v>
      </c>
      <c r="D92" s="114">
        <v>30806.2</v>
      </c>
      <c r="E92" s="114">
        <v>0</v>
      </c>
      <c r="F92" s="114">
        <v>30806.2</v>
      </c>
      <c r="G92" s="114">
        <v>0</v>
      </c>
      <c r="H92" s="114">
        <v>0</v>
      </c>
      <c r="I92" s="114">
        <v>0</v>
      </c>
      <c r="J92" s="114">
        <v>0</v>
      </c>
      <c r="K92" s="114">
        <v>0</v>
      </c>
      <c r="L92" s="114">
        <v>30806.2</v>
      </c>
    </row>
    <row r="93" spans="1:12" x14ac:dyDescent="0.25">
      <c r="A93" s="112" t="s">
        <v>383</v>
      </c>
      <c r="B93" s="113" t="s">
        <v>384</v>
      </c>
      <c r="C93" s="114">
        <v>0</v>
      </c>
      <c r="D93" s="114">
        <v>37101.040000000001</v>
      </c>
      <c r="E93" s="114">
        <v>0</v>
      </c>
      <c r="F93" s="114">
        <v>37101.040000000001</v>
      </c>
      <c r="G93" s="114">
        <v>0</v>
      </c>
      <c r="H93" s="114">
        <v>0</v>
      </c>
      <c r="I93" s="114">
        <v>0</v>
      </c>
      <c r="J93" s="114">
        <v>0</v>
      </c>
      <c r="K93" s="114">
        <v>0</v>
      </c>
      <c r="L93" s="114">
        <v>37101.040000000001</v>
      </c>
    </row>
    <row r="94" spans="1:12" x14ac:dyDescent="0.25">
      <c r="A94" s="112" t="s">
        <v>385</v>
      </c>
      <c r="B94" s="113" t="s">
        <v>386</v>
      </c>
      <c r="C94" s="114">
        <v>0</v>
      </c>
      <c r="D94" s="114">
        <v>26492.7</v>
      </c>
      <c r="E94" s="114">
        <v>0</v>
      </c>
      <c r="F94" s="114">
        <v>26492.7</v>
      </c>
      <c r="G94" s="114">
        <v>0</v>
      </c>
      <c r="H94" s="114">
        <v>0</v>
      </c>
      <c r="I94" s="114">
        <v>0</v>
      </c>
      <c r="J94" s="114">
        <v>0</v>
      </c>
      <c r="K94" s="114">
        <v>0</v>
      </c>
      <c r="L94" s="114">
        <v>26492.7</v>
      </c>
    </row>
    <row r="95" spans="1:12" x14ac:dyDescent="0.25">
      <c r="A95" s="112" t="s">
        <v>387</v>
      </c>
      <c r="B95" s="113" t="s">
        <v>388</v>
      </c>
      <c r="C95" s="114">
        <v>0</v>
      </c>
      <c r="D95" s="114">
        <v>24599.03</v>
      </c>
      <c r="E95" s="114">
        <v>0</v>
      </c>
      <c r="F95" s="114">
        <v>24599.03</v>
      </c>
      <c r="G95" s="114">
        <v>0</v>
      </c>
      <c r="H95" s="114">
        <v>0</v>
      </c>
      <c r="I95" s="114">
        <v>0</v>
      </c>
      <c r="J95" s="114">
        <v>0</v>
      </c>
      <c r="K95" s="114">
        <v>0</v>
      </c>
      <c r="L95" s="114">
        <v>24599.03</v>
      </c>
    </row>
    <row r="96" spans="1:12" x14ac:dyDescent="0.25">
      <c r="A96" s="112" t="s">
        <v>389</v>
      </c>
      <c r="B96" s="113" t="s">
        <v>390</v>
      </c>
      <c r="C96" s="114">
        <v>0</v>
      </c>
      <c r="D96" s="114">
        <v>0</v>
      </c>
      <c r="E96" s="114">
        <v>0</v>
      </c>
      <c r="F96" s="114">
        <v>0</v>
      </c>
      <c r="G96" s="114">
        <v>0</v>
      </c>
      <c r="H96" s="114">
        <v>31305.439999999999</v>
      </c>
      <c r="I96" s="114">
        <v>0</v>
      </c>
      <c r="J96" s="114">
        <v>31305.439999999999</v>
      </c>
      <c r="K96" s="114">
        <v>0</v>
      </c>
      <c r="L96" s="114">
        <v>31305.439999999999</v>
      </c>
    </row>
    <row r="97" spans="1:12" x14ac:dyDescent="0.25">
      <c r="A97" s="112" t="s">
        <v>391</v>
      </c>
      <c r="B97" s="113" t="s">
        <v>392</v>
      </c>
      <c r="C97" s="114">
        <v>0</v>
      </c>
      <c r="D97" s="114">
        <v>31305.439999999999</v>
      </c>
      <c r="E97" s="114">
        <v>0</v>
      </c>
      <c r="F97" s="114">
        <v>31305.439999999999</v>
      </c>
      <c r="G97" s="114">
        <v>31305.439999999999</v>
      </c>
      <c r="H97" s="114">
        <v>0</v>
      </c>
      <c r="I97" s="114">
        <v>31305.439999999999</v>
      </c>
      <c r="J97" s="114">
        <v>0</v>
      </c>
      <c r="K97" s="114">
        <v>0</v>
      </c>
      <c r="L97" s="114">
        <v>0</v>
      </c>
    </row>
    <row r="98" spans="1:12" x14ac:dyDescent="0.25">
      <c r="A98" s="112" t="s">
        <v>393</v>
      </c>
      <c r="B98" s="113" t="s">
        <v>394</v>
      </c>
      <c r="C98" s="114">
        <v>-260355</v>
      </c>
      <c r="D98" s="114">
        <v>0</v>
      </c>
      <c r="E98" s="114">
        <v>-224990</v>
      </c>
      <c r="F98" s="114">
        <v>0</v>
      </c>
      <c r="G98" s="114">
        <v>3215</v>
      </c>
      <c r="H98" s="114">
        <v>0</v>
      </c>
      <c r="I98" s="114">
        <v>38580</v>
      </c>
      <c r="J98" s="114">
        <v>0</v>
      </c>
      <c r="K98" s="114">
        <v>-221775</v>
      </c>
      <c r="L98" s="114">
        <v>0</v>
      </c>
    </row>
    <row r="99" spans="1:12" x14ac:dyDescent="0.25">
      <c r="A99" s="112" t="s">
        <v>395</v>
      </c>
      <c r="B99" s="113" t="s">
        <v>396</v>
      </c>
      <c r="C99" s="114">
        <v>0</v>
      </c>
      <c r="D99" s="114">
        <v>2513.06</v>
      </c>
      <c r="E99" s="114">
        <v>0</v>
      </c>
      <c r="F99" s="114">
        <v>1708.39</v>
      </c>
      <c r="G99" s="114">
        <v>110.02</v>
      </c>
      <c r="H99" s="114">
        <v>42.99</v>
      </c>
      <c r="I99" s="114">
        <v>1515.99</v>
      </c>
      <c r="J99" s="114">
        <v>644.29</v>
      </c>
      <c r="K99" s="114">
        <v>0</v>
      </c>
      <c r="L99" s="114">
        <v>1641.36</v>
      </c>
    </row>
    <row r="100" spans="1:12" x14ac:dyDescent="0.25">
      <c r="A100" s="112" t="s">
        <v>397</v>
      </c>
      <c r="B100" s="113" t="s">
        <v>398</v>
      </c>
      <c r="C100" s="114">
        <v>0</v>
      </c>
      <c r="D100" s="114">
        <v>0</v>
      </c>
      <c r="E100" s="114">
        <v>0</v>
      </c>
      <c r="F100" s="114">
        <v>0</v>
      </c>
      <c r="G100" s="114">
        <v>976.31</v>
      </c>
      <c r="H100" s="114">
        <v>976.31</v>
      </c>
      <c r="I100" s="114">
        <v>976.31</v>
      </c>
      <c r="J100" s="114">
        <v>976.31</v>
      </c>
      <c r="K100" s="114">
        <v>0</v>
      </c>
      <c r="L100" s="114">
        <v>0</v>
      </c>
    </row>
    <row r="101" spans="1:12" x14ac:dyDescent="0.25">
      <c r="A101" s="112" t="s">
        <v>577</v>
      </c>
      <c r="B101" s="113" t="s">
        <v>578</v>
      </c>
      <c r="C101" s="114">
        <v>0</v>
      </c>
      <c r="D101" s="114">
        <v>3469.35</v>
      </c>
      <c r="E101" s="114">
        <v>0</v>
      </c>
      <c r="F101" s="114">
        <v>0</v>
      </c>
      <c r="G101" s="114">
        <v>0</v>
      </c>
      <c r="H101" s="114">
        <v>0</v>
      </c>
      <c r="I101" s="114">
        <v>3489.63</v>
      </c>
      <c r="J101" s="114">
        <v>20.28</v>
      </c>
      <c r="K101" s="114">
        <v>0</v>
      </c>
      <c r="L101" s="114">
        <v>0</v>
      </c>
    </row>
    <row r="102" spans="1:12" x14ac:dyDescent="0.25">
      <c r="A102" s="112" t="s">
        <v>579</v>
      </c>
      <c r="B102" s="113" t="s">
        <v>580</v>
      </c>
      <c r="C102" s="114">
        <v>0</v>
      </c>
      <c r="D102" s="114">
        <v>6569.35</v>
      </c>
      <c r="E102" s="114">
        <v>0</v>
      </c>
      <c r="F102" s="114">
        <v>557.27</v>
      </c>
      <c r="G102" s="114">
        <v>559.08000000000004</v>
      </c>
      <c r="H102" s="114">
        <v>1.81</v>
      </c>
      <c r="I102" s="114">
        <v>6708.96</v>
      </c>
      <c r="J102" s="114">
        <v>139.61000000000001</v>
      </c>
      <c r="K102" s="114">
        <v>0</v>
      </c>
      <c r="L102" s="114">
        <v>0</v>
      </c>
    </row>
    <row r="103" spans="1:12" x14ac:dyDescent="0.25">
      <c r="A103" s="112" t="s">
        <v>581</v>
      </c>
      <c r="B103" s="113" t="s">
        <v>582</v>
      </c>
      <c r="C103" s="114">
        <v>0</v>
      </c>
      <c r="D103" s="114">
        <v>0</v>
      </c>
      <c r="E103" s="114">
        <v>0</v>
      </c>
      <c r="F103" s="114">
        <v>-450.02</v>
      </c>
      <c r="G103" s="114">
        <v>0</v>
      </c>
      <c r="H103" s="114">
        <v>450.02</v>
      </c>
      <c r="I103" s="114">
        <v>39777.71</v>
      </c>
      <c r="J103" s="114">
        <v>39777.71</v>
      </c>
      <c r="K103" s="114">
        <v>0</v>
      </c>
      <c r="L103" s="114">
        <v>0</v>
      </c>
    </row>
    <row r="104" spans="1:12" x14ac:dyDescent="0.25">
      <c r="A104" s="112" t="s">
        <v>403</v>
      </c>
      <c r="B104" s="113" t="s">
        <v>404</v>
      </c>
      <c r="C104" s="114">
        <v>0</v>
      </c>
      <c r="D104" s="114">
        <v>18487.11</v>
      </c>
      <c r="E104" s="114">
        <v>0</v>
      </c>
      <c r="F104" s="114">
        <v>12424.15</v>
      </c>
      <c r="G104" s="114">
        <v>1263.6400000000001</v>
      </c>
      <c r="H104" s="114">
        <v>39.229999999999997</v>
      </c>
      <c r="I104" s="114">
        <v>7581.84</v>
      </c>
      <c r="J104" s="114">
        <v>294.47000000000003</v>
      </c>
      <c r="K104" s="114">
        <v>0</v>
      </c>
      <c r="L104" s="114">
        <v>11199.74</v>
      </c>
    </row>
    <row r="105" spans="1:12" x14ac:dyDescent="0.25">
      <c r="A105" s="112" t="s">
        <v>405</v>
      </c>
      <c r="B105" s="113" t="s">
        <v>406</v>
      </c>
      <c r="C105" s="114">
        <v>0</v>
      </c>
      <c r="D105" s="114">
        <v>0</v>
      </c>
      <c r="E105" s="114">
        <v>565.47</v>
      </c>
      <c r="F105" s="114">
        <v>0</v>
      </c>
      <c r="G105" s="114">
        <v>80.23</v>
      </c>
      <c r="H105" s="114">
        <v>0</v>
      </c>
      <c r="I105" s="114">
        <v>645.70000000000005</v>
      </c>
      <c r="J105" s="114">
        <v>0</v>
      </c>
      <c r="K105" s="114">
        <v>645.70000000000005</v>
      </c>
      <c r="L105" s="114">
        <v>0</v>
      </c>
    </row>
    <row r="106" spans="1:12" x14ac:dyDescent="0.25">
      <c r="A106" s="112" t="s">
        <v>407</v>
      </c>
      <c r="B106" s="113" t="s">
        <v>408</v>
      </c>
      <c r="C106" s="114">
        <v>0</v>
      </c>
      <c r="D106" s="114">
        <v>0</v>
      </c>
      <c r="E106" s="114">
        <v>1441.2</v>
      </c>
      <c r="F106" s="114">
        <v>0</v>
      </c>
      <c r="G106" s="114">
        <v>861.9</v>
      </c>
      <c r="H106" s="114">
        <v>0</v>
      </c>
      <c r="I106" s="114">
        <v>2303.1</v>
      </c>
      <c r="J106" s="114">
        <v>0</v>
      </c>
      <c r="K106" s="114">
        <v>2303.1</v>
      </c>
      <c r="L106" s="114">
        <v>0</v>
      </c>
    </row>
    <row r="107" spans="1:12" x14ac:dyDescent="0.25">
      <c r="A107" s="112" t="s">
        <v>409</v>
      </c>
      <c r="B107" s="113" t="s">
        <v>410</v>
      </c>
      <c r="C107" s="114">
        <v>0</v>
      </c>
      <c r="D107" s="114">
        <v>0</v>
      </c>
      <c r="E107" s="114">
        <v>444.08</v>
      </c>
      <c r="F107" s="114">
        <v>0</v>
      </c>
      <c r="G107" s="114">
        <v>55.82</v>
      </c>
      <c r="H107" s="114">
        <v>0</v>
      </c>
      <c r="I107" s="114">
        <v>499.9</v>
      </c>
      <c r="J107" s="114">
        <v>0</v>
      </c>
      <c r="K107" s="114">
        <v>499.9</v>
      </c>
      <c r="L107" s="114">
        <v>0</v>
      </c>
    </row>
    <row r="108" spans="1:12" x14ac:dyDescent="0.25">
      <c r="A108" s="112" t="s">
        <v>411</v>
      </c>
      <c r="B108" s="113" t="s">
        <v>412</v>
      </c>
      <c r="C108" s="114">
        <v>0</v>
      </c>
      <c r="D108" s="114">
        <v>0</v>
      </c>
      <c r="E108" s="114">
        <v>490.79</v>
      </c>
      <c r="F108" s="114">
        <v>0</v>
      </c>
      <c r="G108" s="114">
        <v>60.26</v>
      </c>
      <c r="H108" s="114">
        <v>20.6</v>
      </c>
      <c r="I108" s="114">
        <v>551.04999999999995</v>
      </c>
      <c r="J108" s="114">
        <v>20.6</v>
      </c>
      <c r="K108" s="114">
        <v>530.45000000000005</v>
      </c>
      <c r="L108" s="114">
        <v>0</v>
      </c>
    </row>
    <row r="109" spans="1:12" x14ac:dyDescent="0.25">
      <c r="A109" s="112" t="s">
        <v>413</v>
      </c>
      <c r="B109" s="113" t="s">
        <v>414</v>
      </c>
      <c r="C109" s="114">
        <v>0</v>
      </c>
      <c r="D109" s="114">
        <v>0</v>
      </c>
      <c r="E109" s="114">
        <v>1798.94</v>
      </c>
      <c r="F109" s="114">
        <v>0</v>
      </c>
      <c r="G109" s="114">
        <v>175.06</v>
      </c>
      <c r="H109" s="114">
        <v>31</v>
      </c>
      <c r="I109" s="114">
        <v>1974</v>
      </c>
      <c r="J109" s="114">
        <v>31</v>
      </c>
      <c r="K109" s="114">
        <v>1943</v>
      </c>
      <c r="L109" s="114">
        <v>0</v>
      </c>
    </row>
    <row r="110" spans="1:12" x14ac:dyDescent="0.25">
      <c r="A110" s="112" t="s">
        <v>415</v>
      </c>
      <c r="B110" s="113" t="s">
        <v>416</v>
      </c>
      <c r="C110" s="114">
        <v>0</v>
      </c>
      <c r="D110" s="114">
        <v>0</v>
      </c>
      <c r="E110" s="114">
        <v>1234.75</v>
      </c>
      <c r="F110" s="114">
        <v>0</v>
      </c>
      <c r="G110" s="114">
        <v>66.010000000000005</v>
      </c>
      <c r="H110" s="114">
        <v>40.5</v>
      </c>
      <c r="I110" s="114">
        <v>1300.76</v>
      </c>
      <c r="J110" s="114">
        <v>40.5</v>
      </c>
      <c r="K110" s="114">
        <v>1260.26</v>
      </c>
      <c r="L110" s="114">
        <v>0</v>
      </c>
    </row>
    <row r="111" spans="1:12" x14ac:dyDescent="0.25">
      <c r="A111" s="112" t="s">
        <v>417</v>
      </c>
      <c r="B111" s="113" t="s">
        <v>418</v>
      </c>
      <c r="C111" s="114">
        <v>0</v>
      </c>
      <c r="D111" s="114">
        <v>0</v>
      </c>
      <c r="E111" s="114">
        <v>23.6</v>
      </c>
      <c r="F111" s="114">
        <v>0</v>
      </c>
      <c r="G111" s="114">
        <v>0</v>
      </c>
      <c r="H111" s="114">
        <v>0</v>
      </c>
      <c r="I111" s="114">
        <v>23.6</v>
      </c>
      <c r="J111" s="114">
        <v>0</v>
      </c>
      <c r="K111" s="114">
        <v>23.6</v>
      </c>
      <c r="L111" s="114">
        <v>0</v>
      </c>
    </row>
    <row r="112" spans="1:12" x14ac:dyDescent="0.25">
      <c r="A112" s="112" t="s">
        <v>419</v>
      </c>
      <c r="B112" s="113" t="s">
        <v>420</v>
      </c>
      <c r="C112" s="114">
        <v>0</v>
      </c>
      <c r="D112" s="114">
        <v>0</v>
      </c>
      <c r="E112" s="114">
        <v>170.17</v>
      </c>
      <c r="F112" s="114">
        <v>0</v>
      </c>
      <c r="G112" s="114">
        <v>116.88</v>
      </c>
      <c r="H112" s="114">
        <v>11.8</v>
      </c>
      <c r="I112" s="114">
        <v>287.05</v>
      </c>
      <c r="J112" s="114">
        <v>11.8</v>
      </c>
      <c r="K112" s="114">
        <v>275.25</v>
      </c>
      <c r="L112" s="114">
        <v>0</v>
      </c>
    </row>
    <row r="113" spans="1:12" x14ac:dyDescent="0.25">
      <c r="A113" s="112" t="s">
        <v>421</v>
      </c>
      <c r="B113" s="113" t="s">
        <v>422</v>
      </c>
      <c r="C113" s="114">
        <v>0</v>
      </c>
      <c r="D113" s="114">
        <v>0</v>
      </c>
      <c r="E113" s="114">
        <v>1292.24</v>
      </c>
      <c r="F113" s="114">
        <v>0</v>
      </c>
      <c r="G113" s="114">
        <v>155.4</v>
      </c>
      <c r="H113" s="114">
        <v>31.45</v>
      </c>
      <c r="I113" s="114">
        <v>1447.64</v>
      </c>
      <c r="J113" s="114">
        <v>31.45</v>
      </c>
      <c r="K113" s="114">
        <v>1416.19</v>
      </c>
      <c r="L113" s="114">
        <v>0</v>
      </c>
    </row>
    <row r="114" spans="1:12" x14ac:dyDescent="0.25">
      <c r="A114" s="112" t="s">
        <v>423</v>
      </c>
      <c r="B114" s="113" t="s">
        <v>424</v>
      </c>
      <c r="C114" s="114">
        <v>0</v>
      </c>
      <c r="D114" s="114">
        <v>0</v>
      </c>
      <c r="E114" s="114">
        <v>2492.14</v>
      </c>
      <c r="F114" s="114">
        <v>0</v>
      </c>
      <c r="G114" s="114">
        <v>42.27</v>
      </c>
      <c r="H114" s="114">
        <v>22.2</v>
      </c>
      <c r="I114" s="114">
        <v>2534.41</v>
      </c>
      <c r="J114" s="114">
        <v>22.2</v>
      </c>
      <c r="K114" s="114">
        <v>2512.21</v>
      </c>
      <c r="L114" s="114">
        <v>0</v>
      </c>
    </row>
    <row r="115" spans="1:12" x14ac:dyDescent="0.25">
      <c r="A115" s="112" t="s">
        <v>425</v>
      </c>
      <c r="B115" s="113" t="s">
        <v>426</v>
      </c>
      <c r="C115" s="114">
        <v>0</v>
      </c>
      <c r="D115" s="114">
        <v>0</v>
      </c>
      <c r="E115" s="114">
        <v>1354.73</v>
      </c>
      <c r="F115" s="114">
        <v>0</v>
      </c>
      <c r="G115" s="114">
        <v>1494.32</v>
      </c>
      <c r="H115" s="114">
        <v>0</v>
      </c>
      <c r="I115" s="114">
        <v>2849.05</v>
      </c>
      <c r="J115" s="114">
        <v>0</v>
      </c>
      <c r="K115" s="114">
        <v>2849.05</v>
      </c>
      <c r="L115" s="114">
        <v>0</v>
      </c>
    </row>
    <row r="116" spans="1:12" x14ac:dyDescent="0.25">
      <c r="A116" s="112" t="s">
        <v>427</v>
      </c>
      <c r="B116" s="113" t="s">
        <v>428</v>
      </c>
      <c r="C116" s="114">
        <v>0</v>
      </c>
      <c r="D116" s="114">
        <v>0</v>
      </c>
      <c r="E116" s="114">
        <v>376.95</v>
      </c>
      <c r="F116" s="114">
        <v>0</v>
      </c>
      <c r="G116" s="114">
        <v>11.54</v>
      </c>
      <c r="H116" s="114">
        <v>0</v>
      </c>
      <c r="I116" s="114">
        <v>388.49</v>
      </c>
      <c r="J116" s="114">
        <v>0</v>
      </c>
      <c r="K116" s="114">
        <v>388.49</v>
      </c>
      <c r="L116" s="114">
        <v>0</v>
      </c>
    </row>
    <row r="117" spans="1:12" x14ac:dyDescent="0.25">
      <c r="A117" s="112" t="s">
        <v>431</v>
      </c>
      <c r="B117" s="113" t="s">
        <v>432</v>
      </c>
      <c r="C117" s="114">
        <v>0</v>
      </c>
      <c r="D117" s="114">
        <v>0</v>
      </c>
      <c r="E117" s="114">
        <v>521.15</v>
      </c>
      <c r="F117" s="114">
        <v>0</v>
      </c>
      <c r="G117" s="114">
        <v>35</v>
      </c>
      <c r="H117" s="114">
        <v>0</v>
      </c>
      <c r="I117" s="114">
        <v>556.15</v>
      </c>
      <c r="J117" s="114">
        <v>0</v>
      </c>
      <c r="K117" s="114">
        <v>556.15</v>
      </c>
      <c r="L117" s="114">
        <v>0</v>
      </c>
    </row>
    <row r="118" spans="1:12" x14ac:dyDescent="0.25">
      <c r="A118" s="112" t="s">
        <v>433</v>
      </c>
      <c r="B118" s="113" t="s">
        <v>434</v>
      </c>
      <c r="C118" s="114">
        <v>0</v>
      </c>
      <c r="D118" s="114">
        <v>0</v>
      </c>
      <c r="E118" s="114">
        <v>2215.83</v>
      </c>
      <c r="F118" s="114">
        <v>0</v>
      </c>
      <c r="G118" s="114">
        <v>0</v>
      </c>
      <c r="H118" s="114">
        <v>0</v>
      </c>
      <c r="I118" s="114">
        <v>2215.83</v>
      </c>
      <c r="J118" s="114">
        <v>0</v>
      </c>
      <c r="K118" s="114">
        <v>2215.83</v>
      </c>
      <c r="L118" s="114">
        <v>0</v>
      </c>
    </row>
    <row r="119" spans="1:12" x14ac:dyDescent="0.25">
      <c r="A119" s="112" t="s">
        <v>435</v>
      </c>
      <c r="B119" s="113" t="s">
        <v>436</v>
      </c>
      <c r="C119" s="114">
        <v>0</v>
      </c>
      <c r="D119" s="114">
        <v>0</v>
      </c>
      <c r="E119" s="114">
        <v>315.26</v>
      </c>
      <c r="F119" s="114">
        <v>0</v>
      </c>
      <c r="G119" s="114">
        <v>0</v>
      </c>
      <c r="H119" s="114">
        <v>0</v>
      </c>
      <c r="I119" s="114">
        <v>315.26</v>
      </c>
      <c r="J119" s="114">
        <v>0</v>
      </c>
      <c r="K119" s="114">
        <v>315.26</v>
      </c>
      <c r="L119" s="114">
        <v>0</v>
      </c>
    </row>
    <row r="120" spans="1:12" x14ac:dyDescent="0.25">
      <c r="A120" s="112" t="s">
        <v>437</v>
      </c>
      <c r="B120" s="113" t="s">
        <v>438</v>
      </c>
      <c r="C120" s="114">
        <v>0</v>
      </c>
      <c r="D120" s="114">
        <v>0</v>
      </c>
      <c r="E120" s="114">
        <v>0</v>
      </c>
      <c r="F120" s="114">
        <v>0</v>
      </c>
      <c r="G120" s="114">
        <v>1704</v>
      </c>
      <c r="H120" s="114">
        <v>0</v>
      </c>
      <c r="I120" s="114">
        <v>1704</v>
      </c>
      <c r="J120" s="114">
        <v>0</v>
      </c>
      <c r="K120" s="114">
        <v>1704</v>
      </c>
      <c r="L120" s="114">
        <v>0</v>
      </c>
    </row>
    <row r="121" spans="1:12" x14ac:dyDescent="0.25">
      <c r="A121" s="112" t="s">
        <v>583</v>
      </c>
      <c r="B121" s="113" t="s">
        <v>584</v>
      </c>
      <c r="C121" s="114">
        <v>0</v>
      </c>
      <c r="D121" s="114">
        <v>0</v>
      </c>
      <c r="E121" s="114">
        <v>253.57</v>
      </c>
      <c r="F121" s="114">
        <v>0</v>
      </c>
      <c r="G121" s="114">
        <v>0</v>
      </c>
      <c r="H121" s="114">
        <v>0</v>
      </c>
      <c r="I121" s="114">
        <v>253.57</v>
      </c>
      <c r="J121" s="114">
        <v>0</v>
      </c>
      <c r="K121" s="114">
        <v>253.57</v>
      </c>
      <c r="L121" s="114">
        <v>0</v>
      </c>
    </row>
    <row r="122" spans="1:12" x14ac:dyDescent="0.25">
      <c r="A122" s="112" t="s">
        <v>585</v>
      </c>
      <c r="B122" s="113" t="s">
        <v>586</v>
      </c>
      <c r="C122" s="114">
        <v>0</v>
      </c>
      <c r="D122" s="114">
        <v>0</v>
      </c>
      <c r="E122" s="114">
        <v>4505</v>
      </c>
      <c r="F122" s="114">
        <v>0</v>
      </c>
      <c r="G122" s="114">
        <v>0</v>
      </c>
      <c r="H122" s="114">
        <v>0</v>
      </c>
      <c r="I122" s="114">
        <v>4505</v>
      </c>
      <c r="J122" s="114">
        <v>0</v>
      </c>
      <c r="K122" s="114">
        <v>4505</v>
      </c>
      <c r="L122" s="114">
        <v>0</v>
      </c>
    </row>
    <row r="123" spans="1:12" x14ac:dyDescent="0.25">
      <c r="A123" s="112" t="s">
        <v>439</v>
      </c>
      <c r="B123" s="113" t="s">
        <v>440</v>
      </c>
      <c r="C123" s="114">
        <v>0</v>
      </c>
      <c r="D123" s="114">
        <v>0</v>
      </c>
      <c r="E123" s="114">
        <v>150.66</v>
      </c>
      <c r="F123" s="114">
        <v>0</v>
      </c>
      <c r="G123" s="114">
        <v>0</v>
      </c>
      <c r="H123" s="114">
        <v>0</v>
      </c>
      <c r="I123" s="114">
        <v>150.66</v>
      </c>
      <c r="J123" s="114">
        <v>0</v>
      </c>
      <c r="K123" s="114">
        <v>150.66</v>
      </c>
      <c r="L123" s="114">
        <v>0</v>
      </c>
    </row>
    <row r="124" spans="1:12" x14ac:dyDescent="0.25">
      <c r="A124" s="112" t="s">
        <v>441</v>
      </c>
      <c r="B124" s="113" t="s">
        <v>442</v>
      </c>
      <c r="C124" s="114">
        <v>0</v>
      </c>
      <c r="D124" s="114">
        <v>0</v>
      </c>
      <c r="E124" s="114">
        <v>1536.64</v>
      </c>
      <c r="F124" s="114">
        <v>0</v>
      </c>
      <c r="G124" s="114">
        <v>492.68</v>
      </c>
      <c r="H124" s="114">
        <v>0</v>
      </c>
      <c r="I124" s="114">
        <v>2029.32</v>
      </c>
      <c r="J124" s="114">
        <v>0</v>
      </c>
      <c r="K124" s="114">
        <v>2029.32</v>
      </c>
      <c r="L124" s="114">
        <v>0</v>
      </c>
    </row>
    <row r="125" spans="1:12" x14ac:dyDescent="0.25">
      <c r="A125" s="112" t="s">
        <v>443</v>
      </c>
      <c r="B125" s="113" t="s">
        <v>444</v>
      </c>
      <c r="C125" s="114">
        <v>0</v>
      </c>
      <c r="D125" s="114">
        <v>0</v>
      </c>
      <c r="E125" s="114">
        <v>588850.97</v>
      </c>
      <c r="F125" s="114">
        <v>0</v>
      </c>
      <c r="G125" s="114">
        <v>44279.3</v>
      </c>
      <c r="H125" s="114">
        <v>0</v>
      </c>
      <c r="I125" s="114">
        <v>633130.27</v>
      </c>
      <c r="J125" s="114">
        <v>0</v>
      </c>
      <c r="K125" s="114">
        <v>633130.27</v>
      </c>
      <c r="L125" s="114">
        <v>0</v>
      </c>
    </row>
    <row r="126" spans="1:12" x14ac:dyDescent="0.25">
      <c r="A126" s="112" t="s">
        <v>445</v>
      </c>
      <c r="B126" s="113" t="s">
        <v>446</v>
      </c>
      <c r="C126" s="114">
        <v>0</v>
      </c>
      <c r="D126" s="114">
        <v>0</v>
      </c>
      <c r="E126" s="114">
        <v>6639.18</v>
      </c>
      <c r="F126" s="114">
        <v>0</v>
      </c>
      <c r="G126" s="114">
        <v>101.63</v>
      </c>
      <c r="H126" s="114">
        <v>0</v>
      </c>
      <c r="I126" s="114">
        <v>6740.81</v>
      </c>
      <c r="J126" s="114">
        <v>0</v>
      </c>
      <c r="K126" s="114">
        <v>6740.81</v>
      </c>
      <c r="L126" s="114">
        <v>0</v>
      </c>
    </row>
    <row r="127" spans="1:12" x14ac:dyDescent="0.25">
      <c r="A127" s="112" t="s">
        <v>587</v>
      </c>
      <c r="B127" s="113" t="s">
        <v>588</v>
      </c>
      <c r="C127" s="114">
        <v>0</v>
      </c>
      <c r="D127" s="114">
        <v>0</v>
      </c>
      <c r="E127" s="114">
        <v>0</v>
      </c>
      <c r="F127" s="114">
        <v>0</v>
      </c>
      <c r="G127" s="114">
        <v>0</v>
      </c>
      <c r="H127" s="114">
        <v>0</v>
      </c>
      <c r="I127" s="114">
        <v>0</v>
      </c>
      <c r="J127" s="114">
        <v>0</v>
      </c>
      <c r="K127" s="114">
        <v>0</v>
      </c>
      <c r="L127" s="114">
        <v>0</v>
      </c>
    </row>
    <row r="128" spans="1:12" x14ac:dyDescent="0.25">
      <c r="A128" s="112" t="s">
        <v>449</v>
      </c>
      <c r="B128" s="113" t="s">
        <v>450</v>
      </c>
      <c r="C128" s="114">
        <v>0</v>
      </c>
      <c r="D128" s="114">
        <v>0</v>
      </c>
      <c r="E128" s="114">
        <v>3875.93</v>
      </c>
      <c r="F128" s="114">
        <v>0</v>
      </c>
      <c r="G128" s="114">
        <v>309.86</v>
      </c>
      <c r="H128" s="114">
        <v>0</v>
      </c>
      <c r="I128" s="114">
        <v>4185.79</v>
      </c>
      <c r="J128" s="114">
        <v>0</v>
      </c>
      <c r="K128" s="114">
        <v>4185.79</v>
      </c>
      <c r="L128" s="114">
        <v>0</v>
      </c>
    </row>
    <row r="129" spans="1:12" x14ac:dyDescent="0.25">
      <c r="A129" s="112" t="s">
        <v>451</v>
      </c>
      <c r="B129" s="113" t="s">
        <v>452</v>
      </c>
      <c r="C129" s="114">
        <v>0</v>
      </c>
      <c r="D129" s="114">
        <v>0</v>
      </c>
      <c r="E129" s="114">
        <v>185.07</v>
      </c>
      <c r="F129" s="114">
        <v>0</v>
      </c>
      <c r="G129" s="114">
        <v>0</v>
      </c>
      <c r="H129" s="114">
        <v>0</v>
      </c>
      <c r="I129" s="114">
        <v>183.67</v>
      </c>
      <c r="J129" s="114">
        <v>-1.4</v>
      </c>
      <c r="K129" s="114">
        <v>185.07</v>
      </c>
      <c r="L129" s="114">
        <v>0</v>
      </c>
    </row>
    <row r="130" spans="1:12" x14ac:dyDescent="0.25">
      <c r="A130" s="112" t="s">
        <v>453</v>
      </c>
      <c r="B130" s="113" t="s">
        <v>454</v>
      </c>
      <c r="C130" s="114">
        <v>0</v>
      </c>
      <c r="D130" s="114">
        <v>0</v>
      </c>
      <c r="E130" s="114">
        <v>132.08000000000001</v>
      </c>
      <c r="F130" s="114">
        <v>0</v>
      </c>
      <c r="G130" s="114">
        <v>0</v>
      </c>
      <c r="H130" s="114">
        <v>0</v>
      </c>
      <c r="I130" s="114">
        <v>132.08000000000001</v>
      </c>
      <c r="J130" s="114">
        <v>0</v>
      </c>
      <c r="K130" s="114">
        <v>132.08000000000001</v>
      </c>
      <c r="L130" s="114">
        <v>0</v>
      </c>
    </row>
    <row r="131" spans="1:12" x14ac:dyDescent="0.25">
      <c r="A131" s="112" t="s">
        <v>589</v>
      </c>
      <c r="B131" s="113" t="s">
        <v>590</v>
      </c>
      <c r="C131" s="114">
        <v>0</v>
      </c>
      <c r="D131" s="114">
        <v>0</v>
      </c>
      <c r="E131" s="114">
        <v>68</v>
      </c>
      <c r="F131" s="114">
        <v>0</v>
      </c>
      <c r="G131" s="114">
        <v>0</v>
      </c>
      <c r="H131" s="114">
        <v>0</v>
      </c>
      <c r="I131" s="114">
        <v>68</v>
      </c>
      <c r="J131" s="114">
        <v>0</v>
      </c>
      <c r="K131" s="114">
        <v>68</v>
      </c>
      <c r="L131" s="114">
        <v>0</v>
      </c>
    </row>
    <row r="132" spans="1:12" x14ac:dyDescent="0.25">
      <c r="A132" s="112" t="s">
        <v>455</v>
      </c>
      <c r="B132" s="113" t="s">
        <v>456</v>
      </c>
      <c r="C132" s="114">
        <v>0</v>
      </c>
      <c r="D132" s="114">
        <v>0</v>
      </c>
      <c r="E132" s="114">
        <v>2542.84</v>
      </c>
      <c r="F132" s="114">
        <v>0</v>
      </c>
      <c r="G132" s="114">
        <v>1174.6199999999999</v>
      </c>
      <c r="H132" s="114">
        <v>0</v>
      </c>
      <c r="I132" s="114">
        <v>3717.46</v>
      </c>
      <c r="J132" s="114">
        <v>0</v>
      </c>
      <c r="K132" s="114">
        <v>3717.46</v>
      </c>
      <c r="L132" s="114">
        <v>0</v>
      </c>
    </row>
    <row r="133" spans="1:12" x14ac:dyDescent="0.25">
      <c r="A133" s="112" t="s">
        <v>457</v>
      </c>
      <c r="B133" s="113" t="s">
        <v>458</v>
      </c>
      <c r="C133" s="114">
        <v>0</v>
      </c>
      <c r="D133" s="114">
        <v>0</v>
      </c>
      <c r="E133" s="114">
        <v>8628.66</v>
      </c>
      <c r="F133" s="114">
        <v>0</v>
      </c>
      <c r="G133" s="114">
        <v>587.70000000000005</v>
      </c>
      <c r="H133" s="114">
        <v>0</v>
      </c>
      <c r="I133" s="114">
        <v>9216.36</v>
      </c>
      <c r="J133" s="114">
        <v>0</v>
      </c>
      <c r="K133" s="114">
        <v>9216.36</v>
      </c>
      <c r="L133" s="114">
        <v>0</v>
      </c>
    </row>
    <row r="134" spans="1:12" x14ac:dyDescent="0.25">
      <c r="A134" s="112" t="s">
        <v>459</v>
      </c>
      <c r="B134" s="113" t="s">
        <v>460</v>
      </c>
      <c r="C134" s="114">
        <v>0</v>
      </c>
      <c r="D134" s="114">
        <v>0</v>
      </c>
      <c r="E134" s="114">
        <v>966.93</v>
      </c>
      <c r="F134" s="114">
        <v>0</v>
      </c>
      <c r="G134" s="114">
        <v>97.6</v>
      </c>
      <c r="H134" s="114">
        <v>0</v>
      </c>
      <c r="I134" s="114">
        <v>1064.53</v>
      </c>
      <c r="J134" s="114">
        <v>0</v>
      </c>
      <c r="K134" s="114">
        <v>1064.53</v>
      </c>
      <c r="L134" s="114">
        <v>0</v>
      </c>
    </row>
    <row r="135" spans="1:12" x14ac:dyDescent="0.25">
      <c r="A135" s="112" t="s">
        <v>591</v>
      </c>
      <c r="B135" s="113" t="s">
        <v>592</v>
      </c>
      <c r="C135" s="114">
        <v>0</v>
      </c>
      <c r="D135" s="114">
        <v>0</v>
      </c>
      <c r="E135" s="114">
        <v>169.64</v>
      </c>
      <c r="F135" s="114">
        <v>0</v>
      </c>
      <c r="G135" s="114">
        <v>0</v>
      </c>
      <c r="H135" s="114">
        <v>0</v>
      </c>
      <c r="I135" s="114">
        <v>169.64</v>
      </c>
      <c r="J135" s="114">
        <v>0</v>
      </c>
      <c r="K135" s="114">
        <v>169.64</v>
      </c>
      <c r="L135" s="114">
        <v>0</v>
      </c>
    </row>
    <row r="136" spans="1:12" x14ac:dyDescent="0.25">
      <c r="A136" s="112" t="s">
        <v>461</v>
      </c>
      <c r="B136" s="113" t="s">
        <v>462</v>
      </c>
      <c r="C136" s="114">
        <v>0</v>
      </c>
      <c r="D136" s="114">
        <v>0</v>
      </c>
      <c r="E136" s="114">
        <v>0</v>
      </c>
      <c r="F136" s="114">
        <v>0</v>
      </c>
      <c r="G136" s="114">
        <v>976.31</v>
      </c>
      <c r="H136" s="114">
        <v>0</v>
      </c>
      <c r="I136" s="114">
        <v>976.31</v>
      </c>
      <c r="J136" s="114">
        <v>0</v>
      </c>
      <c r="K136" s="114">
        <v>976.31</v>
      </c>
      <c r="L136" s="114">
        <v>0</v>
      </c>
    </row>
    <row r="137" spans="1:12" x14ac:dyDescent="0.25">
      <c r="A137" s="112" t="s">
        <v>463</v>
      </c>
      <c r="B137" s="113" t="s">
        <v>464</v>
      </c>
      <c r="C137" s="114">
        <v>0</v>
      </c>
      <c r="D137" s="114">
        <v>0</v>
      </c>
      <c r="E137" s="114">
        <v>510.15</v>
      </c>
      <c r="F137" s="114">
        <v>0</v>
      </c>
      <c r="G137" s="114">
        <v>0</v>
      </c>
      <c r="H137" s="114">
        <v>0</v>
      </c>
      <c r="I137" s="114">
        <v>510.15</v>
      </c>
      <c r="J137" s="114">
        <v>0</v>
      </c>
      <c r="K137" s="114">
        <v>510.15</v>
      </c>
      <c r="L137" s="114">
        <v>0</v>
      </c>
    </row>
    <row r="138" spans="1:12" x14ac:dyDescent="0.25">
      <c r="A138" s="112" t="s">
        <v>465</v>
      </c>
      <c r="B138" s="113" t="s">
        <v>466</v>
      </c>
      <c r="C138" s="114">
        <v>0</v>
      </c>
      <c r="D138" s="114">
        <v>0</v>
      </c>
      <c r="E138" s="114">
        <v>15937.71</v>
      </c>
      <c r="F138" s="114">
        <v>0</v>
      </c>
      <c r="G138" s="114">
        <v>1251</v>
      </c>
      <c r="H138" s="114">
        <v>0</v>
      </c>
      <c r="I138" s="114">
        <v>17188.71</v>
      </c>
      <c r="J138" s="114">
        <v>0</v>
      </c>
      <c r="K138" s="114">
        <v>17188.71</v>
      </c>
      <c r="L138" s="114">
        <v>0</v>
      </c>
    </row>
    <row r="139" spans="1:12" x14ac:dyDescent="0.25">
      <c r="A139" s="112" t="s">
        <v>467</v>
      </c>
      <c r="B139" s="113" t="s">
        <v>468</v>
      </c>
      <c r="C139" s="114">
        <v>0</v>
      </c>
      <c r="D139" s="114">
        <v>0</v>
      </c>
      <c r="E139" s="114">
        <v>4765.1099999999997</v>
      </c>
      <c r="F139" s="114">
        <v>0</v>
      </c>
      <c r="G139" s="114">
        <v>377</v>
      </c>
      <c r="H139" s="114">
        <v>0</v>
      </c>
      <c r="I139" s="114">
        <v>5142.1099999999997</v>
      </c>
      <c r="J139" s="114">
        <v>0</v>
      </c>
      <c r="K139" s="114">
        <v>5142.1099999999997</v>
      </c>
      <c r="L139" s="114">
        <v>0</v>
      </c>
    </row>
    <row r="140" spans="1:12" x14ac:dyDescent="0.25">
      <c r="A140" s="112" t="s">
        <v>469</v>
      </c>
      <c r="B140" s="113" t="s">
        <v>470</v>
      </c>
      <c r="C140" s="114">
        <v>0</v>
      </c>
      <c r="D140" s="114">
        <v>0</v>
      </c>
      <c r="E140" s="114">
        <v>2605</v>
      </c>
      <c r="F140" s="114">
        <v>0</v>
      </c>
      <c r="G140" s="114">
        <v>384</v>
      </c>
      <c r="H140" s="114">
        <v>0</v>
      </c>
      <c r="I140" s="114">
        <v>2989</v>
      </c>
      <c r="J140" s="114">
        <v>0</v>
      </c>
      <c r="K140" s="114">
        <v>2989</v>
      </c>
      <c r="L140" s="114">
        <v>0</v>
      </c>
    </row>
    <row r="141" spans="1:12" x14ac:dyDescent="0.25">
      <c r="A141" s="112" t="s">
        <v>471</v>
      </c>
      <c r="B141" s="113" t="s">
        <v>472</v>
      </c>
      <c r="C141" s="114">
        <v>0</v>
      </c>
      <c r="D141" s="114">
        <v>0</v>
      </c>
      <c r="E141" s="114">
        <v>1500</v>
      </c>
      <c r="F141" s="114">
        <v>0</v>
      </c>
      <c r="G141" s="114">
        <v>0</v>
      </c>
      <c r="H141" s="114">
        <v>0</v>
      </c>
      <c r="I141" s="114">
        <v>1500</v>
      </c>
      <c r="J141" s="114">
        <v>0</v>
      </c>
      <c r="K141" s="114">
        <v>1500</v>
      </c>
      <c r="L141" s="114">
        <v>0</v>
      </c>
    </row>
    <row r="142" spans="1:12" x14ac:dyDescent="0.25">
      <c r="A142" s="112" t="s">
        <v>473</v>
      </c>
      <c r="B142" s="113" t="s">
        <v>474</v>
      </c>
      <c r="C142" s="114">
        <v>0</v>
      </c>
      <c r="D142" s="114">
        <v>0</v>
      </c>
      <c r="E142" s="114">
        <v>181.53</v>
      </c>
      <c r="F142" s="114">
        <v>0</v>
      </c>
      <c r="G142" s="114">
        <v>43.14</v>
      </c>
      <c r="H142" s="114">
        <v>0</v>
      </c>
      <c r="I142" s="114">
        <v>224.67</v>
      </c>
      <c r="J142" s="114">
        <v>0</v>
      </c>
      <c r="K142" s="114">
        <v>224.67</v>
      </c>
      <c r="L142" s="114">
        <v>0</v>
      </c>
    </row>
    <row r="143" spans="1:12" x14ac:dyDescent="0.25">
      <c r="A143" s="112" t="s">
        <v>477</v>
      </c>
      <c r="B143" s="113" t="s">
        <v>478</v>
      </c>
      <c r="C143" s="114">
        <v>0</v>
      </c>
      <c r="D143" s="114">
        <v>0</v>
      </c>
      <c r="E143" s="114">
        <v>114176.54</v>
      </c>
      <c r="F143" s="114">
        <v>0</v>
      </c>
      <c r="G143" s="114">
        <v>10211.16</v>
      </c>
      <c r="H143" s="114">
        <v>0</v>
      </c>
      <c r="I143" s="114">
        <v>124387.7</v>
      </c>
      <c r="J143" s="114">
        <v>0</v>
      </c>
      <c r="K143" s="114">
        <v>124387.7</v>
      </c>
      <c r="L143" s="114">
        <v>0</v>
      </c>
    </row>
    <row r="144" spans="1:12" x14ac:dyDescent="0.25">
      <c r="A144" s="112" t="s">
        <v>479</v>
      </c>
      <c r="B144" s="113" t="s">
        <v>480</v>
      </c>
      <c r="C144" s="114">
        <v>0</v>
      </c>
      <c r="D144" s="114">
        <v>0</v>
      </c>
      <c r="E144" s="114">
        <v>0</v>
      </c>
      <c r="F144" s="114">
        <v>0</v>
      </c>
      <c r="G144" s="114">
        <v>2200.38</v>
      </c>
      <c r="H144" s="114">
        <v>1607.3</v>
      </c>
      <c r="I144" s="114">
        <v>2200.38</v>
      </c>
      <c r="J144" s="114">
        <v>1607.3</v>
      </c>
      <c r="K144" s="114">
        <v>593.08000000000004</v>
      </c>
      <c r="L144" s="114">
        <v>0</v>
      </c>
    </row>
    <row r="145" spans="1:12" x14ac:dyDescent="0.25">
      <c r="A145" s="112" t="s">
        <v>481</v>
      </c>
      <c r="B145" s="113" t="s">
        <v>482</v>
      </c>
      <c r="C145" s="114">
        <v>0</v>
      </c>
      <c r="D145" s="114">
        <v>0</v>
      </c>
      <c r="E145" s="114">
        <v>39739.379999999997</v>
      </c>
      <c r="F145" s="114">
        <v>0</v>
      </c>
      <c r="G145" s="114">
        <v>3523.62</v>
      </c>
      <c r="H145" s="114">
        <v>0</v>
      </c>
      <c r="I145" s="114">
        <v>43263</v>
      </c>
      <c r="J145" s="114">
        <v>0</v>
      </c>
      <c r="K145" s="114">
        <v>43263</v>
      </c>
      <c r="L145" s="114">
        <v>0</v>
      </c>
    </row>
    <row r="146" spans="1:12" x14ac:dyDescent="0.25">
      <c r="A146" s="112" t="s">
        <v>483</v>
      </c>
      <c r="B146" s="113" t="s">
        <v>484</v>
      </c>
      <c r="C146" s="114">
        <v>0</v>
      </c>
      <c r="D146" s="114">
        <v>0</v>
      </c>
      <c r="E146" s="114">
        <v>0</v>
      </c>
      <c r="F146" s="114">
        <v>0</v>
      </c>
      <c r="G146" s="114">
        <v>753.23</v>
      </c>
      <c r="H146" s="114">
        <v>565.70000000000005</v>
      </c>
      <c r="I146" s="114">
        <v>753.23</v>
      </c>
      <c r="J146" s="114">
        <v>565.70000000000005</v>
      </c>
      <c r="K146" s="114">
        <v>187.53</v>
      </c>
      <c r="L146" s="114">
        <v>0</v>
      </c>
    </row>
    <row r="147" spans="1:12" x14ac:dyDescent="0.25">
      <c r="A147" s="112" t="s">
        <v>485</v>
      </c>
      <c r="B147" s="113" t="s">
        <v>486</v>
      </c>
      <c r="C147" s="114">
        <v>0</v>
      </c>
      <c r="D147" s="114">
        <v>0</v>
      </c>
      <c r="E147" s="114">
        <v>1445.86</v>
      </c>
      <c r="F147" s="114">
        <v>0</v>
      </c>
      <c r="G147" s="114">
        <v>42.99</v>
      </c>
      <c r="H147" s="114">
        <v>0</v>
      </c>
      <c r="I147" s="114">
        <v>1488.85</v>
      </c>
      <c r="J147" s="114">
        <v>0</v>
      </c>
      <c r="K147" s="114">
        <v>1488.85</v>
      </c>
      <c r="L147" s="114">
        <v>0</v>
      </c>
    </row>
    <row r="148" spans="1:12" x14ac:dyDescent="0.25">
      <c r="A148" s="112" t="s">
        <v>487</v>
      </c>
      <c r="B148" s="113" t="s">
        <v>488</v>
      </c>
      <c r="C148" s="114">
        <v>0</v>
      </c>
      <c r="D148" s="114">
        <v>0</v>
      </c>
      <c r="E148" s="114">
        <v>5577.15</v>
      </c>
      <c r="F148" s="114">
        <v>0</v>
      </c>
      <c r="G148" s="114">
        <v>434.7</v>
      </c>
      <c r="H148" s="114">
        <v>0</v>
      </c>
      <c r="I148" s="114">
        <v>6011.85</v>
      </c>
      <c r="J148" s="114">
        <v>0</v>
      </c>
      <c r="K148" s="114">
        <v>6011.85</v>
      </c>
      <c r="L148" s="114">
        <v>0</v>
      </c>
    </row>
    <row r="149" spans="1:12" x14ac:dyDescent="0.25">
      <c r="A149" s="112" t="s">
        <v>489</v>
      </c>
      <c r="B149" s="113" t="s">
        <v>490</v>
      </c>
      <c r="C149" s="114">
        <v>0</v>
      </c>
      <c r="D149" s="114">
        <v>0</v>
      </c>
      <c r="E149" s="114">
        <v>542.03</v>
      </c>
      <c r="F149" s="114">
        <v>0</v>
      </c>
      <c r="G149" s="114">
        <v>553</v>
      </c>
      <c r="H149" s="114">
        <v>0</v>
      </c>
      <c r="I149" s="114">
        <v>1095.03</v>
      </c>
      <c r="J149" s="114">
        <v>0</v>
      </c>
      <c r="K149" s="114">
        <v>1095.03</v>
      </c>
      <c r="L149" s="114">
        <v>0</v>
      </c>
    </row>
    <row r="150" spans="1:12" x14ac:dyDescent="0.25">
      <c r="A150" s="112" t="s">
        <v>491</v>
      </c>
      <c r="B150" s="113" t="s">
        <v>492</v>
      </c>
      <c r="C150" s="114">
        <v>0</v>
      </c>
      <c r="D150" s="114">
        <v>0</v>
      </c>
      <c r="E150" s="114">
        <v>1858.81</v>
      </c>
      <c r="F150" s="114">
        <v>0</v>
      </c>
      <c r="G150" s="114">
        <v>0</v>
      </c>
      <c r="H150" s="114">
        <v>0</v>
      </c>
      <c r="I150" s="114">
        <v>1858.81</v>
      </c>
      <c r="J150" s="114">
        <v>0</v>
      </c>
      <c r="K150" s="114">
        <v>1858.81</v>
      </c>
      <c r="L150" s="114">
        <v>0</v>
      </c>
    </row>
    <row r="151" spans="1:12" x14ac:dyDescent="0.25">
      <c r="A151" s="112" t="s">
        <v>493</v>
      </c>
      <c r="B151" s="113" t="s">
        <v>494</v>
      </c>
      <c r="C151" s="114">
        <v>0</v>
      </c>
      <c r="D151" s="114">
        <v>0</v>
      </c>
      <c r="E151" s="114">
        <v>9055.68</v>
      </c>
      <c r="F151" s="114">
        <v>0</v>
      </c>
      <c r="G151" s="114">
        <v>0</v>
      </c>
      <c r="H151" s="114">
        <v>0</v>
      </c>
      <c r="I151" s="114">
        <v>9055.68</v>
      </c>
      <c r="J151" s="114">
        <v>0</v>
      </c>
      <c r="K151" s="114">
        <v>9055.68</v>
      </c>
      <c r="L151" s="114">
        <v>0</v>
      </c>
    </row>
    <row r="152" spans="1:12" x14ac:dyDescent="0.25">
      <c r="A152" s="112" t="s">
        <v>495</v>
      </c>
      <c r="B152" s="113" t="s">
        <v>496</v>
      </c>
      <c r="C152" s="114">
        <v>0</v>
      </c>
      <c r="D152" s="114">
        <v>0</v>
      </c>
      <c r="E152" s="114">
        <v>239.09</v>
      </c>
      <c r="F152" s="114">
        <v>0</v>
      </c>
      <c r="G152" s="114">
        <v>115</v>
      </c>
      <c r="H152" s="114">
        <v>0</v>
      </c>
      <c r="I152" s="114">
        <v>354.09</v>
      </c>
      <c r="J152" s="114">
        <v>0</v>
      </c>
      <c r="K152" s="114">
        <v>354.09</v>
      </c>
      <c r="L152" s="114">
        <v>0</v>
      </c>
    </row>
    <row r="153" spans="1:12" x14ac:dyDescent="0.25">
      <c r="A153" s="112" t="s">
        <v>593</v>
      </c>
      <c r="B153" s="113" t="s">
        <v>594</v>
      </c>
      <c r="C153" s="114">
        <v>0</v>
      </c>
      <c r="D153" s="114">
        <v>0</v>
      </c>
      <c r="E153" s="114">
        <v>1470</v>
      </c>
      <c r="F153" s="114">
        <v>0</v>
      </c>
      <c r="G153" s="114">
        <v>0</v>
      </c>
      <c r="H153" s="114">
        <v>0</v>
      </c>
      <c r="I153" s="114">
        <v>1470</v>
      </c>
      <c r="J153" s="114">
        <v>0</v>
      </c>
      <c r="K153" s="114">
        <v>1470</v>
      </c>
      <c r="L153" s="114">
        <v>0</v>
      </c>
    </row>
    <row r="154" spans="1:12" x14ac:dyDescent="0.25">
      <c r="A154" s="112" t="s">
        <v>497</v>
      </c>
      <c r="B154" s="113" t="s">
        <v>498</v>
      </c>
      <c r="C154" s="114">
        <v>0</v>
      </c>
      <c r="D154" s="114">
        <v>0</v>
      </c>
      <c r="E154" s="114">
        <v>1.43</v>
      </c>
      <c r="F154" s="114">
        <v>0</v>
      </c>
      <c r="G154" s="114">
        <v>0.2</v>
      </c>
      <c r="H154" s="114">
        <v>0</v>
      </c>
      <c r="I154" s="114">
        <v>1.63</v>
      </c>
      <c r="J154" s="114">
        <v>0</v>
      </c>
      <c r="K154" s="114">
        <v>1.63</v>
      </c>
      <c r="L154" s="114">
        <v>0</v>
      </c>
    </row>
    <row r="155" spans="1:12" x14ac:dyDescent="0.25">
      <c r="A155" s="112" t="s">
        <v>499</v>
      </c>
      <c r="B155" s="113" t="s">
        <v>500</v>
      </c>
      <c r="C155" s="114">
        <v>0</v>
      </c>
      <c r="D155" s="114">
        <v>0</v>
      </c>
      <c r="E155" s="114">
        <v>927.39</v>
      </c>
      <c r="F155" s="114">
        <v>0</v>
      </c>
      <c r="G155" s="114">
        <v>558.36</v>
      </c>
      <c r="H155" s="114">
        <v>0</v>
      </c>
      <c r="I155" s="114">
        <v>1485.75</v>
      </c>
      <c r="J155" s="114">
        <v>0</v>
      </c>
      <c r="K155" s="114">
        <v>1485.75</v>
      </c>
      <c r="L155" s="114">
        <v>0</v>
      </c>
    </row>
    <row r="156" spans="1:12" x14ac:dyDescent="0.25">
      <c r="A156" s="112" t="s">
        <v>501</v>
      </c>
      <c r="B156" s="113" t="s">
        <v>502</v>
      </c>
      <c r="C156" s="114">
        <v>0</v>
      </c>
      <c r="D156" s="114">
        <v>0</v>
      </c>
      <c r="E156" s="114">
        <v>2065.08</v>
      </c>
      <c r="F156" s="114">
        <v>0</v>
      </c>
      <c r="G156" s="114">
        <v>0</v>
      </c>
      <c r="H156" s="114">
        <v>0</v>
      </c>
      <c r="I156" s="114">
        <v>2065.08</v>
      </c>
      <c r="J156" s="114">
        <v>0</v>
      </c>
      <c r="K156" s="114">
        <v>2065.08</v>
      </c>
      <c r="L156" s="114">
        <v>0</v>
      </c>
    </row>
    <row r="157" spans="1:12" x14ac:dyDescent="0.25">
      <c r="A157" s="112" t="s">
        <v>503</v>
      </c>
      <c r="B157" s="113" t="s">
        <v>504</v>
      </c>
      <c r="C157" s="114">
        <v>0</v>
      </c>
      <c r="D157" s="114">
        <v>0</v>
      </c>
      <c r="E157" s="114">
        <v>0</v>
      </c>
      <c r="F157" s="114">
        <v>0</v>
      </c>
      <c r="G157" s="114">
        <v>196.2</v>
      </c>
      <c r="H157" s="114">
        <v>0</v>
      </c>
      <c r="I157" s="114">
        <v>363.96</v>
      </c>
      <c r="J157" s="114">
        <v>167.76</v>
      </c>
      <c r="K157" s="114">
        <v>196.2</v>
      </c>
      <c r="L157" s="114">
        <v>0</v>
      </c>
    </row>
    <row r="158" spans="1:12" x14ac:dyDescent="0.25">
      <c r="A158" s="112" t="s">
        <v>505</v>
      </c>
      <c r="B158" s="113" t="s">
        <v>506</v>
      </c>
      <c r="C158" s="114">
        <v>0</v>
      </c>
      <c r="D158" s="114">
        <v>0</v>
      </c>
      <c r="E158" s="114">
        <v>610.03</v>
      </c>
      <c r="F158" s="114">
        <v>0</v>
      </c>
      <c r="G158" s="114">
        <v>0</v>
      </c>
      <c r="H158" s="114">
        <v>0</v>
      </c>
      <c r="I158" s="114">
        <v>610.03</v>
      </c>
      <c r="J158" s="114">
        <v>0</v>
      </c>
      <c r="K158" s="114">
        <v>610.03</v>
      </c>
      <c r="L158" s="114">
        <v>0</v>
      </c>
    </row>
    <row r="159" spans="1:12" x14ac:dyDescent="0.25">
      <c r="A159" s="112" t="s">
        <v>507</v>
      </c>
      <c r="B159" s="113" t="s">
        <v>508</v>
      </c>
      <c r="C159" s="114">
        <v>0</v>
      </c>
      <c r="D159" s="114">
        <v>0</v>
      </c>
      <c r="E159" s="114">
        <v>0</v>
      </c>
      <c r="F159" s="114">
        <v>0</v>
      </c>
      <c r="G159" s="114">
        <v>64.44</v>
      </c>
      <c r="H159" s="114">
        <v>0</v>
      </c>
      <c r="I159" s="114">
        <v>64.44</v>
      </c>
      <c r="J159" s="114">
        <v>0</v>
      </c>
      <c r="K159" s="114">
        <v>64.44</v>
      </c>
      <c r="L159" s="114">
        <v>0</v>
      </c>
    </row>
    <row r="160" spans="1:12" x14ac:dyDescent="0.25">
      <c r="A160" s="112" t="s">
        <v>509</v>
      </c>
      <c r="B160" s="113" t="s">
        <v>510</v>
      </c>
      <c r="C160" s="114">
        <v>0</v>
      </c>
      <c r="D160" s="114">
        <v>0</v>
      </c>
      <c r="E160" s="114">
        <v>0</v>
      </c>
      <c r="F160" s="114">
        <v>0</v>
      </c>
      <c r="G160" s="114">
        <v>184.56</v>
      </c>
      <c r="H160" s="114">
        <v>184.56</v>
      </c>
      <c r="I160" s="114">
        <v>184.56</v>
      </c>
      <c r="J160" s="114">
        <v>184.56</v>
      </c>
      <c r="K160" s="114">
        <v>0</v>
      </c>
      <c r="L160" s="114">
        <v>0</v>
      </c>
    </row>
    <row r="161" spans="1:12" x14ac:dyDescent="0.25">
      <c r="A161" s="112" t="s">
        <v>511</v>
      </c>
      <c r="B161" s="113" t="s">
        <v>512</v>
      </c>
      <c r="C161" s="114">
        <v>0</v>
      </c>
      <c r="D161" s="114">
        <v>0</v>
      </c>
      <c r="E161" s="114">
        <v>90.13</v>
      </c>
      <c r="F161" s="114">
        <v>0</v>
      </c>
      <c r="G161" s="114">
        <v>0</v>
      </c>
      <c r="H161" s="114">
        <v>0</v>
      </c>
      <c r="I161" s="114">
        <v>90.13</v>
      </c>
      <c r="J161" s="114">
        <v>0</v>
      </c>
      <c r="K161" s="114">
        <v>90.13</v>
      </c>
      <c r="L161" s="114">
        <v>0</v>
      </c>
    </row>
    <row r="162" spans="1:12" x14ac:dyDescent="0.25">
      <c r="A162" s="112" t="s">
        <v>595</v>
      </c>
      <c r="B162" s="113" t="s">
        <v>596</v>
      </c>
      <c r="C162" s="114">
        <v>0</v>
      </c>
      <c r="D162" s="114">
        <v>0</v>
      </c>
      <c r="E162" s="114">
        <v>4.7300000000000004</v>
      </c>
      <c r="F162" s="114">
        <v>0</v>
      </c>
      <c r="G162" s="114">
        <v>0</v>
      </c>
      <c r="H162" s="114">
        <v>0</v>
      </c>
      <c r="I162" s="114">
        <v>4.7300000000000004</v>
      </c>
      <c r="J162" s="114">
        <v>0</v>
      </c>
      <c r="K162" s="114">
        <v>4.7300000000000004</v>
      </c>
      <c r="L162" s="114">
        <v>0</v>
      </c>
    </row>
    <row r="163" spans="1:12" x14ac:dyDescent="0.25">
      <c r="A163" s="112" t="s">
        <v>515</v>
      </c>
      <c r="B163" s="113" t="s">
        <v>516</v>
      </c>
      <c r="C163" s="114">
        <v>0</v>
      </c>
      <c r="D163" s="114">
        <v>0</v>
      </c>
      <c r="E163" s="114">
        <v>496.54</v>
      </c>
      <c r="F163" s="114">
        <v>0</v>
      </c>
      <c r="G163" s="114">
        <v>45.13</v>
      </c>
      <c r="H163" s="114">
        <v>0</v>
      </c>
      <c r="I163" s="114">
        <v>541.66999999999996</v>
      </c>
      <c r="J163" s="114">
        <v>0</v>
      </c>
      <c r="K163" s="114">
        <v>541.66999999999996</v>
      </c>
      <c r="L163" s="114">
        <v>0</v>
      </c>
    </row>
    <row r="164" spans="1:12" x14ac:dyDescent="0.25">
      <c r="A164" s="112" t="s">
        <v>519</v>
      </c>
      <c r="B164" s="113" t="s">
        <v>520</v>
      </c>
      <c r="C164" s="114">
        <v>0</v>
      </c>
      <c r="D164" s="114">
        <v>0</v>
      </c>
      <c r="E164" s="114">
        <v>20133.37</v>
      </c>
      <c r="F164" s="114">
        <v>0</v>
      </c>
      <c r="G164" s="114">
        <v>1863.09</v>
      </c>
      <c r="H164" s="114">
        <v>0</v>
      </c>
      <c r="I164" s="114">
        <v>21996.46</v>
      </c>
      <c r="J164" s="114">
        <v>0</v>
      </c>
      <c r="K164" s="114">
        <v>21996.46</v>
      </c>
      <c r="L164" s="114">
        <v>0</v>
      </c>
    </row>
    <row r="165" spans="1:12" x14ac:dyDescent="0.25">
      <c r="A165" s="112" t="s">
        <v>521</v>
      </c>
      <c r="B165" s="113" t="s">
        <v>522</v>
      </c>
      <c r="C165" s="114">
        <v>0</v>
      </c>
      <c r="D165" s="114">
        <v>0</v>
      </c>
      <c r="E165" s="114">
        <v>14044.69</v>
      </c>
      <c r="F165" s="114">
        <v>0</v>
      </c>
      <c r="G165" s="114">
        <v>1276.69</v>
      </c>
      <c r="H165" s="114">
        <v>0</v>
      </c>
      <c r="I165" s="114">
        <v>15321.38</v>
      </c>
      <c r="J165" s="114">
        <v>0</v>
      </c>
      <c r="K165" s="114">
        <v>15321.38</v>
      </c>
      <c r="L165" s="114">
        <v>0</v>
      </c>
    </row>
    <row r="166" spans="1:12" x14ac:dyDescent="0.25">
      <c r="A166" s="112" t="s">
        <v>523</v>
      </c>
      <c r="B166" s="113" t="s">
        <v>524</v>
      </c>
      <c r="C166" s="114">
        <v>0</v>
      </c>
      <c r="D166" s="114">
        <v>0</v>
      </c>
      <c r="E166" s="114">
        <v>7493.75</v>
      </c>
      <c r="F166" s="114">
        <v>0</v>
      </c>
      <c r="G166" s="114">
        <v>681.22</v>
      </c>
      <c r="H166" s="114">
        <v>0</v>
      </c>
      <c r="I166" s="114">
        <v>8174.97</v>
      </c>
      <c r="J166" s="114">
        <v>0</v>
      </c>
      <c r="K166" s="114">
        <v>8174.97</v>
      </c>
      <c r="L166" s="114">
        <v>0</v>
      </c>
    </row>
    <row r="167" spans="1:12" x14ac:dyDescent="0.25">
      <c r="A167" s="112" t="s">
        <v>525</v>
      </c>
      <c r="B167" s="113" t="s">
        <v>526</v>
      </c>
      <c r="C167" s="114">
        <v>0</v>
      </c>
      <c r="D167" s="114">
        <v>0</v>
      </c>
      <c r="E167" s="114">
        <v>926.31</v>
      </c>
      <c r="F167" s="114">
        <v>0</v>
      </c>
      <c r="G167" s="114">
        <v>84.25</v>
      </c>
      <c r="H167" s="114">
        <v>0</v>
      </c>
      <c r="I167" s="114">
        <v>1010.56</v>
      </c>
      <c r="J167" s="114">
        <v>0</v>
      </c>
      <c r="K167" s="114">
        <v>1010.56</v>
      </c>
      <c r="L167" s="114">
        <v>0</v>
      </c>
    </row>
    <row r="168" spans="1:12" x14ac:dyDescent="0.25">
      <c r="A168" s="112" t="s">
        <v>527</v>
      </c>
      <c r="B168" s="113" t="s">
        <v>528</v>
      </c>
      <c r="C168" s="114">
        <v>0</v>
      </c>
      <c r="D168" s="114">
        <v>0</v>
      </c>
      <c r="E168" s="114">
        <v>10402.799999999999</v>
      </c>
      <c r="F168" s="114">
        <v>0</v>
      </c>
      <c r="G168" s="114">
        <v>1668.97</v>
      </c>
      <c r="H168" s="114">
        <v>0</v>
      </c>
      <c r="I168" s="114">
        <v>12071.77</v>
      </c>
      <c r="J168" s="114">
        <v>0</v>
      </c>
      <c r="K168" s="114">
        <v>12071.77</v>
      </c>
      <c r="L168" s="114">
        <v>0</v>
      </c>
    </row>
    <row r="169" spans="1:12" x14ac:dyDescent="0.25">
      <c r="A169" s="112" t="s">
        <v>529</v>
      </c>
      <c r="B169" s="113" t="s">
        <v>530</v>
      </c>
      <c r="C169" s="114">
        <v>0</v>
      </c>
      <c r="D169" s="114">
        <v>0</v>
      </c>
      <c r="E169" s="114">
        <v>2299.5300000000002</v>
      </c>
      <c r="F169" s="114">
        <v>0</v>
      </c>
      <c r="G169" s="114">
        <v>211.66</v>
      </c>
      <c r="H169" s="114">
        <v>0</v>
      </c>
      <c r="I169" s="114">
        <v>2511.19</v>
      </c>
      <c r="J169" s="114">
        <v>0</v>
      </c>
      <c r="K169" s="114">
        <v>2511.19</v>
      </c>
      <c r="L169" s="114">
        <v>0</v>
      </c>
    </row>
    <row r="170" spans="1:12" x14ac:dyDescent="0.25">
      <c r="A170" s="112" t="s">
        <v>597</v>
      </c>
      <c r="B170" s="113" t="s">
        <v>598</v>
      </c>
      <c r="C170" s="114">
        <v>0</v>
      </c>
      <c r="D170" s="114">
        <v>0</v>
      </c>
      <c r="E170" s="114">
        <v>20.28</v>
      </c>
      <c r="F170" s="114">
        <v>0</v>
      </c>
      <c r="G170" s="114">
        <v>0</v>
      </c>
      <c r="H170" s="114">
        <v>0</v>
      </c>
      <c r="I170" s="114">
        <v>20.28</v>
      </c>
      <c r="J170" s="114">
        <v>0</v>
      </c>
      <c r="K170" s="114">
        <v>20.28</v>
      </c>
      <c r="L170" s="114">
        <v>0</v>
      </c>
    </row>
    <row r="171" spans="1:12" x14ac:dyDescent="0.25">
      <c r="A171" s="112" t="s">
        <v>599</v>
      </c>
      <c r="B171" s="113" t="s">
        <v>600</v>
      </c>
      <c r="C171" s="114">
        <v>0</v>
      </c>
      <c r="D171" s="114">
        <v>0</v>
      </c>
      <c r="E171" s="114">
        <v>137.80000000000001</v>
      </c>
      <c r="F171" s="114">
        <v>0</v>
      </c>
      <c r="G171" s="114">
        <v>1.81</v>
      </c>
      <c r="H171" s="114">
        <v>0</v>
      </c>
      <c r="I171" s="114">
        <v>139.61000000000001</v>
      </c>
      <c r="J171" s="114">
        <v>0</v>
      </c>
      <c r="K171" s="114">
        <v>139.61000000000001</v>
      </c>
      <c r="L171" s="114">
        <v>0</v>
      </c>
    </row>
    <row r="172" spans="1:12" x14ac:dyDescent="0.25">
      <c r="A172" s="112" t="s">
        <v>531</v>
      </c>
      <c r="B172" s="113" t="s">
        <v>532</v>
      </c>
      <c r="C172" s="114">
        <v>0</v>
      </c>
      <c r="D172" s="114">
        <v>0</v>
      </c>
      <c r="E172" s="114">
        <v>255.24</v>
      </c>
      <c r="F172" s="114">
        <v>0</v>
      </c>
      <c r="G172" s="114">
        <v>39.229999999999997</v>
      </c>
      <c r="H172" s="114">
        <v>0</v>
      </c>
      <c r="I172" s="114">
        <v>294.47000000000003</v>
      </c>
      <c r="J172" s="114">
        <v>0</v>
      </c>
      <c r="K172" s="114">
        <v>294.47000000000003</v>
      </c>
      <c r="L172" s="114">
        <v>0</v>
      </c>
    </row>
    <row r="173" spans="1:12" x14ac:dyDescent="0.25">
      <c r="A173" s="112" t="s">
        <v>601</v>
      </c>
      <c r="B173" s="113" t="s">
        <v>602</v>
      </c>
      <c r="C173" s="114">
        <v>0</v>
      </c>
      <c r="D173" s="114">
        <v>0</v>
      </c>
      <c r="E173" s="114">
        <v>1852.32</v>
      </c>
      <c r="F173" s="114">
        <v>0</v>
      </c>
      <c r="G173" s="114">
        <v>0</v>
      </c>
      <c r="H173" s="114">
        <v>0</v>
      </c>
      <c r="I173" s="114">
        <v>1852.32</v>
      </c>
      <c r="J173" s="114">
        <v>0</v>
      </c>
      <c r="K173" s="114">
        <v>1852.32</v>
      </c>
      <c r="L173" s="114">
        <v>0</v>
      </c>
    </row>
    <row r="174" spans="1:12" x14ac:dyDescent="0.25">
      <c r="A174" s="112" t="s">
        <v>533</v>
      </c>
      <c r="B174" s="113" t="s">
        <v>534</v>
      </c>
      <c r="C174" s="114">
        <v>0</v>
      </c>
      <c r="D174" s="114">
        <v>0</v>
      </c>
      <c r="E174" s="114">
        <v>3107.92</v>
      </c>
      <c r="F174" s="114">
        <v>0</v>
      </c>
      <c r="G174" s="114">
        <v>538.53</v>
      </c>
      <c r="H174" s="114">
        <v>0</v>
      </c>
      <c r="I174" s="114">
        <v>3646.45</v>
      </c>
      <c r="J174" s="114">
        <v>0</v>
      </c>
      <c r="K174" s="114">
        <v>3646.45</v>
      </c>
      <c r="L174" s="114">
        <v>0</v>
      </c>
    </row>
    <row r="175" spans="1:12" x14ac:dyDescent="0.25">
      <c r="A175" s="112" t="s">
        <v>535</v>
      </c>
      <c r="B175" s="113" t="s">
        <v>536</v>
      </c>
      <c r="C175" s="114">
        <v>0</v>
      </c>
      <c r="D175" s="114">
        <v>0</v>
      </c>
      <c r="E175" s="114">
        <v>0</v>
      </c>
      <c r="F175" s="114">
        <v>0</v>
      </c>
      <c r="G175" s="114">
        <v>2932.9</v>
      </c>
      <c r="H175" s="114">
        <v>0</v>
      </c>
      <c r="I175" s="114">
        <v>2932.9</v>
      </c>
      <c r="J175" s="114">
        <v>0</v>
      </c>
      <c r="K175" s="114">
        <v>2932.9</v>
      </c>
      <c r="L175" s="114">
        <v>0</v>
      </c>
    </row>
    <row r="176" spans="1:12" x14ac:dyDescent="0.25">
      <c r="A176" s="112" t="s">
        <v>537</v>
      </c>
      <c r="B176" s="113" t="s">
        <v>538</v>
      </c>
      <c r="C176" s="114">
        <v>0</v>
      </c>
      <c r="D176" s="114">
        <v>0</v>
      </c>
      <c r="E176" s="114">
        <v>0</v>
      </c>
      <c r="F176" s="114">
        <v>532.64</v>
      </c>
      <c r="G176" s="114">
        <v>0</v>
      </c>
      <c r="H176" s="114">
        <v>49.05</v>
      </c>
      <c r="I176" s="114">
        <v>0</v>
      </c>
      <c r="J176" s="114">
        <v>581.69000000000005</v>
      </c>
      <c r="K176" s="114">
        <v>0</v>
      </c>
      <c r="L176" s="114">
        <v>581.69000000000005</v>
      </c>
    </row>
    <row r="177" spans="1:12" x14ac:dyDescent="0.25">
      <c r="A177" s="112" t="s">
        <v>539</v>
      </c>
      <c r="B177" s="113" t="s">
        <v>540</v>
      </c>
      <c r="C177" s="114">
        <v>0</v>
      </c>
      <c r="D177" s="114">
        <v>0</v>
      </c>
      <c r="E177" s="114">
        <v>0</v>
      </c>
      <c r="F177" s="114">
        <v>29416</v>
      </c>
      <c r="G177" s="114">
        <v>0</v>
      </c>
      <c r="H177" s="114">
        <v>7000</v>
      </c>
      <c r="I177" s="114">
        <v>0</v>
      </c>
      <c r="J177" s="114">
        <v>36416</v>
      </c>
      <c r="K177" s="114">
        <v>0</v>
      </c>
      <c r="L177" s="114">
        <v>36416</v>
      </c>
    </row>
    <row r="178" spans="1:12" x14ac:dyDescent="0.25">
      <c r="A178" s="112" t="s">
        <v>603</v>
      </c>
      <c r="B178" s="113" t="s">
        <v>604</v>
      </c>
      <c r="C178" s="114">
        <v>0</v>
      </c>
      <c r="D178" s="114">
        <v>0</v>
      </c>
      <c r="E178" s="114">
        <v>0</v>
      </c>
      <c r="F178" s="114">
        <v>138</v>
      </c>
      <c r="G178" s="114">
        <v>0</v>
      </c>
      <c r="H178" s="114">
        <v>0</v>
      </c>
      <c r="I178" s="114">
        <v>0</v>
      </c>
      <c r="J178" s="114">
        <v>138</v>
      </c>
      <c r="K178" s="114">
        <v>0</v>
      </c>
      <c r="L178" s="114">
        <v>138</v>
      </c>
    </row>
    <row r="179" spans="1:12" x14ac:dyDescent="0.25">
      <c r="A179" s="112" t="s">
        <v>541</v>
      </c>
      <c r="B179" s="113" t="s">
        <v>542</v>
      </c>
      <c r="C179" s="114">
        <v>0</v>
      </c>
      <c r="D179" s="114">
        <v>0</v>
      </c>
      <c r="E179" s="114">
        <v>0</v>
      </c>
      <c r="F179" s="114">
        <v>517744.05</v>
      </c>
      <c r="G179" s="114">
        <v>0</v>
      </c>
      <c r="H179" s="114">
        <v>53926.53</v>
      </c>
      <c r="I179" s="114">
        <v>0</v>
      </c>
      <c r="J179" s="114">
        <v>571670.57999999996</v>
      </c>
      <c r="K179" s="114">
        <v>0</v>
      </c>
      <c r="L179" s="114">
        <v>571670.57999999996</v>
      </c>
    </row>
    <row r="180" spans="1:12" x14ac:dyDescent="0.25">
      <c r="A180" s="112" t="s">
        <v>543</v>
      </c>
      <c r="B180" s="113" t="s">
        <v>544</v>
      </c>
      <c r="C180" s="114">
        <v>0</v>
      </c>
      <c r="D180" s="114">
        <v>0</v>
      </c>
      <c r="E180" s="114">
        <v>0</v>
      </c>
      <c r="F180" s="114">
        <v>91932.43</v>
      </c>
      <c r="G180" s="114">
        <v>0</v>
      </c>
      <c r="H180" s="114">
        <v>11579.85</v>
      </c>
      <c r="I180" s="114">
        <v>0</v>
      </c>
      <c r="J180" s="114">
        <v>103512.28</v>
      </c>
      <c r="K180" s="114">
        <v>0</v>
      </c>
      <c r="L180" s="114">
        <v>103512.28</v>
      </c>
    </row>
    <row r="181" spans="1:12" x14ac:dyDescent="0.25">
      <c r="A181" s="112" t="s">
        <v>545</v>
      </c>
      <c r="B181" s="113" t="s">
        <v>546</v>
      </c>
      <c r="C181" s="114">
        <v>0</v>
      </c>
      <c r="D181" s="114">
        <v>0</v>
      </c>
      <c r="E181" s="114">
        <v>0</v>
      </c>
      <c r="F181" s="114">
        <v>198271.78</v>
      </c>
      <c r="G181" s="114">
        <v>0</v>
      </c>
      <c r="H181" s="114">
        <v>16031.88</v>
      </c>
      <c r="I181" s="114">
        <v>0</v>
      </c>
      <c r="J181" s="114">
        <v>214303.66</v>
      </c>
      <c r="K181" s="114">
        <v>0</v>
      </c>
      <c r="L181" s="114">
        <v>214303.66</v>
      </c>
    </row>
    <row r="182" spans="1:12" x14ac:dyDescent="0.25">
      <c r="A182" s="112" t="s">
        <v>547</v>
      </c>
      <c r="B182" s="113" t="s">
        <v>548</v>
      </c>
      <c r="C182" s="114">
        <v>0</v>
      </c>
      <c r="D182" s="114">
        <v>0</v>
      </c>
      <c r="E182" s="114">
        <v>0</v>
      </c>
      <c r="F182" s="114">
        <v>1848</v>
      </c>
      <c r="G182" s="114">
        <v>0</v>
      </c>
      <c r="H182" s="114">
        <v>0</v>
      </c>
      <c r="I182" s="114">
        <v>0</v>
      </c>
      <c r="J182" s="114">
        <v>1848</v>
      </c>
      <c r="K182" s="114">
        <v>0</v>
      </c>
      <c r="L182" s="114">
        <v>1848</v>
      </c>
    </row>
    <row r="183" spans="1:12" x14ac:dyDescent="0.25">
      <c r="A183" s="112" t="s">
        <v>549</v>
      </c>
      <c r="B183" s="113" t="s">
        <v>550</v>
      </c>
      <c r="C183" s="114">
        <v>0</v>
      </c>
      <c r="D183" s="114">
        <v>0</v>
      </c>
      <c r="E183" s="114">
        <v>0</v>
      </c>
      <c r="F183" s="114">
        <v>750</v>
      </c>
      <c r="G183" s="114">
        <v>300</v>
      </c>
      <c r="H183" s="114">
        <v>750</v>
      </c>
      <c r="I183" s="114">
        <v>300</v>
      </c>
      <c r="J183" s="114">
        <v>1500</v>
      </c>
      <c r="K183" s="114">
        <v>0</v>
      </c>
      <c r="L183" s="114">
        <v>1200</v>
      </c>
    </row>
    <row r="184" spans="1:12" x14ac:dyDescent="0.25">
      <c r="A184" s="112" t="s">
        <v>553</v>
      </c>
      <c r="B184" s="113" t="s">
        <v>554</v>
      </c>
      <c r="C184" s="114">
        <v>0</v>
      </c>
      <c r="D184" s="114">
        <v>0</v>
      </c>
      <c r="E184" s="114">
        <v>0</v>
      </c>
      <c r="F184" s="114">
        <v>20000</v>
      </c>
      <c r="G184" s="114">
        <v>0</v>
      </c>
      <c r="H184" s="114">
        <v>0</v>
      </c>
      <c r="I184" s="114">
        <v>0</v>
      </c>
      <c r="J184" s="114">
        <v>20000</v>
      </c>
      <c r="K184" s="114">
        <v>0</v>
      </c>
      <c r="L184" s="114">
        <v>20000</v>
      </c>
    </row>
    <row r="185" spans="1:12" x14ac:dyDescent="0.25">
      <c r="A185" s="112" t="s">
        <v>555</v>
      </c>
      <c r="B185" s="113" t="s">
        <v>556</v>
      </c>
      <c r="C185" s="114">
        <v>0</v>
      </c>
      <c r="D185" s="114">
        <v>0</v>
      </c>
      <c r="E185" s="114">
        <v>0</v>
      </c>
      <c r="F185" s="114">
        <v>10906.93</v>
      </c>
      <c r="G185" s="114">
        <v>194.71</v>
      </c>
      <c r="H185" s="114">
        <v>0</v>
      </c>
      <c r="I185" s="114">
        <v>194.71</v>
      </c>
      <c r="J185" s="114">
        <v>10906.93</v>
      </c>
      <c r="K185" s="114">
        <v>0</v>
      </c>
      <c r="L185" s="114">
        <v>10712.22</v>
      </c>
    </row>
    <row r="186" spans="1:12" x14ac:dyDescent="0.25">
      <c r="A186" s="112" t="s">
        <v>557</v>
      </c>
      <c r="B186" s="113" t="s">
        <v>558</v>
      </c>
      <c r="C186" s="114">
        <v>0</v>
      </c>
      <c r="D186" s="114">
        <v>0</v>
      </c>
      <c r="E186" s="114">
        <v>0</v>
      </c>
      <c r="F186" s="114">
        <v>1.63</v>
      </c>
      <c r="G186" s="114">
        <v>0</v>
      </c>
      <c r="H186" s="114">
        <v>0.17</v>
      </c>
      <c r="I186" s="114">
        <v>-0.21</v>
      </c>
      <c r="J186" s="114">
        <v>1.59</v>
      </c>
      <c r="K186" s="114">
        <v>0</v>
      </c>
      <c r="L186" s="114">
        <v>1.8</v>
      </c>
    </row>
    <row r="187" spans="1:12" x14ac:dyDescent="0.25">
      <c r="A187" s="112" t="s">
        <v>605</v>
      </c>
      <c r="B187" s="113" t="s">
        <v>606</v>
      </c>
      <c r="C187" s="114">
        <v>0</v>
      </c>
      <c r="D187" s="114">
        <v>0</v>
      </c>
      <c r="E187" s="114">
        <v>0</v>
      </c>
      <c r="F187" s="114">
        <v>6573.06</v>
      </c>
      <c r="G187" s="114">
        <v>0</v>
      </c>
      <c r="H187" s="114">
        <v>0</v>
      </c>
      <c r="I187" s="114">
        <v>0</v>
      </c>
      <c r="J187" s="114">
        <v>6573.06</v>
      </c>
      <c r="K187" s="114">
        <v>0</v>
      </c>
      <c r="L187" s="114">
        <v>6573.06</v>
      </c>
    </row>
    <row r="188" spans="1:12" x14ac:dyDescent="0.25">
      <c r="A188" s="112" t="s">
        <v>559</v>
      </c>
      <c r="B188" s="113" t="s">
        <v>560</v>
      </c>
      <c r="C188" s="114">
        <v>0</v>
      </c>
      <c r="D188" s="114">
        <v>0</v>
      </c>
      <c r="E188" s="114">
        <v>0</v>
      </c>
      <c r="F188" s="114">
        <v>434.08</v>
      </c>
      <c r="G188" s="114">
        <v>0</v>
      </c>
      <c r="H188" s="114">
        <v>0</v>
      </c>
      <c r="I188" s="114">
        <v>0</v>
      </c>
      <c r="J188" s="114">
        <v>434.08</v>
      </c>
      <c r="K188" s="114">
        <v>0</v>
      </c>
      <c r="L188" s="114">
        <v>434.08</v>
      </c>
    </row>
    <row r="189" spans="1:12" x14ac:dyDescent="0.25">
      <c r="A189" s="112" t="s">
        <v>561</v>
      </c>
      <c r="B189" s="113" t="s">
        <v>562</v>
      </c>
      <c r="C189" s="114">
        <v>0</v>
      </c>
      <c r="D189" s="114">
        <v>0</v>
      </c>
      <c r="E189" s="114">
        <v>0</v>
      </c>
      <c r="F189" s="114">
        <v>147</v>
      </c>
      <c r="G189" s="114">
        <v>0</v>
      </c>
      <c r="H189" s="114">
        <v>6210.41</v>
      </c>
      <c r="I189" s="114">
        <v>0</v>
      </c>
      <c r="J189" s="114">
        <v>6357.41</v>
      </c>
      <c r="K189" s="114">
        <v>0</v>
      </c>
      <c r="L189" s="114">
        <v>6357.41</v>
      </c>
    </row>
    <row r="190" spans="1:12" x14ac:dyDescent="0.25">
      <c r="A190" s="112" t="s">
        <v>563</v>
      </c>
      <c r="B190" s="113" t="s">
        <v>564</v>
      </c>
      <c r="C190" s="114">
        <v>0</v>
      </c>
      <c r="D190" s="114">
        <v>0</v>
      </c>
      <c r="E190" s="114">
        <v>0</v>
      </c>
      <c r="F190" s="114">
        <v>2289.14</v>
      </c>
      <c r="G190" s="114">
        <v>0</v>
      </c>
      <c r="H190" s="114">
        <v>0</v>
      </c>
      <c r="I190" s="114">
        <v>0</v>
      </c>
      <c r="J190" s="114">
        <v>2289.14</v>
      </c>
      <c r="K190" s="114">
        <v>0</v>
      </c>
      <c r="L190" s="114">
        <v>2289.14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L124"/>
  <sheetViews>
    <sheetView workbookViewId="0">
      <selection activeCell="B2" sqref="B2"/>
    </sheetView>
  </sheetViews>
  <sheetFormatPr defaultColWidth="9.140625" defaultRowHeight="15" x14ac:dyDescent="0.25"/>
  <cols>
    <col min="1" max="1" width="16.140625" style="112" customWidth="1"/>
    <col min="2" max="2" width="46.7109375" style="113" customWidth="1"/>
    <col min="3" max="3" width="15.28515625" style="114" customWidth="1"/>
    <col min="4" max="4" width="15.28515625" style="114" bestFit="1" customWidth="1"/>
    <col min="5" max="5" width="15.140625" style="114" customWidth="1"/>
    <col min="6" max="7" width="15.28515625" style="114" bestFit="1" customWidth="1"/>
    <col min="8" max="8" width="15.28515625" style="114" customWidth="1"/>
    <col min="9" max="11" width="15.28515625" style="114" bestFit="1" customWidth="1"/>
    <col min="12" max="12" width="14.85546875" style="114" customWidth="1"/>
    <col min="13" max="16384" width="9.140625" style="108"/>
  </cols>
  <sheetData>
    <row r="1" spans="1:12" ht="22.5" x14ac:dyDescent="0.25">
      <c r="A1" s="118" t="s">
        <v>181</v>
      </c>
      <c r="B1" s="119" t="s">
        <v>182</v>
      </c>
      <c r="C1" s="120" t="s">
        <v>161</v>
      </c>
      <c r="D1" s="120" t="s">
        <v>162</v>
      </c>
      <c r="E1" s="120" t="s">
        <v>163</v>
      </c>
      <c r="F1" s="120" t="s">
        <v>164</v>
      </c>
      <c r="G1" s="120" t="s">
        <v>165</v>
      </c>
      <c r="H1" s="120" t="s">
        <v>166</v>
      </c>
      <c r="I1" s="120" t="s">
        <v>167</v>
      </c>
      <c r="J1" s="120" t="s">
        <v>168</v>
      </c>
      <c r="K1" s="120" t="s">
        <v>169</v>
      </c>
      <c r="L1" s="120" t="s">
        <v>170</v>
      </c>
    </row>
    <row r="2" spans="1:12" x14ac:dyDescent="0.25">
      <c r="A2" s="109" t="s">
        <v>607</v>
      </c>
      <c r="B2" s="110" t="s">
        <v>608</v>
      </c>
      <c r="C2" s="111">
        <v>25980.799999999999</v>
      </c>
      <c r="D2" s="111">
        <v>0</v>
      </c>
      <c r="E2" s="111">
        <v>25980.799999999999</v>
      </c>
      <c r="F2" s="111">
        <v>0</v>
      </c>
      <c r="G2" s="111">
        <v>0</v>
      </c>
      <c r="H2" s="111">
        <v>0</v>
      </c>
      <c r="I2" s="111">
        <v>0</v>
      </c>
      <c r="J2" s="111">
        <v>0</v>
      </c>
      <c r="K2" s="111">
        <v>25980.799999999999</v>
      </c>
      <c r="L2" s="111">
        <v>0</v>
      </c>
    </row>
    <row r="3" spans="1:12" x14ac:dyDescent="0.25">
      <c r="A3" s="109" t="s">
        <v>609</v>
      </c>
      <c r="B3" s="110" t="s">
        <v>134</v>
      </c>
      <c r="C3" s="111">
        <v>12126.66</v>
      </c>
      <c r="D3" s="111">
        <v>0</v>
      </c>
      <c r="E3" s="111">
        <v>12126.66</v>
      </c>
      <c r="F3" s="111">
        <v>0</v>
      </c>
      <c r="G3" s="111">
        <v>0</v>
      </c>
      <c r="H3" s="111">
        <v>0</v>
      </c>
      <c r="I3" s="111">
        <v>0</v>
      </c>
      <c r="J3" s="111">
        <v>0</v>
      </c>
      <c r="K3" s="111">
        <v>12126.66</v>
      </c>
      <c r="L3" s="111">
        <v>0</v>
      </c>
    </row>
    <row r="4" spans="1:12" x14ac:dyDescent="0.25">
      <c r="A4" s="109" t="s">
        <v>610</v>
      </c>
      <c r="B4" s="110" t="s">
        <v>28</v>
      </c>
      <c r="C4" s="111">
        <v>163499.4</v>
      </c>
      <c r="D4" s="111">
        <v>0</v>
      </c>
      <c r="E4" s="111">
        <v>163499.4</v>
      </c>
      <c r="F4" s="111">
        <v>0</v>
      </c>
      <c r="G4" s="111">
        <v>0</v>
      </c>
      <c r="H4" s="111">
        <v>0</v>
      </c>
      <c r="I4" s="111">
        <v>0</v>
      </c>
      <c r="J4" s="111">
        <v>0</v>
      </c>
      <c r="K4" s="111">
        <v>163499.4</v>
      </c>
      <c r="L4" s="111">
        <v>0</v>
      </c>
    </row>
    <row r="5" spans="1:12" x14ac:dyDescent="0.25">
      <c r="A5" s="109" t="s">
        <v>611</v>
      </c>
      <c r="B5" s="110" t="s">
        <v>612</v>
      </c>
      <c r="C5" s="111">
        <v>164270.87</v>
      </c>
      <c r="D5" s="111">
        <v>0</v>
      </c>
      <c r="E5" s="111">
        <v>209196.72</v>
      </c>
      <c r="F5" s="111">
        <v>0</v>
      </c>
      <c r="G5" s="111">
        <v>0</v>
      </c>
      <c r="H5" s="111">
        <v>0</v>
      </c>
      <c r="I5" s="111">
        <v>62312.74</v>
      </c>
      <c r="J5" s="111">
        <v>17386.89</v>
      </c>
      <c r="K5" s="111">
        <v>209196.72</v>
      </c>
      <c r="L5" s="111">
        <v>0</v>
      </c>
    </row>
    <row r="6" spans="1:12" x14ac:dyDescent="0.25">
      <c r="A6" s="109" t="s">
        <v>613</v>
      </c>
      <c r="B6" s="110" t="s">
        <v>614</v>
      </c>
      <c r="C6" s="111">
        <v>3500</v>
      </c>
      <c r="D6" s="111">
        <v>0</v>
      </c>
      <c r="E6" s="111">
        <v>3500</v>
      </c>
      <c r="F6" s="111">
        <v>0</v>
      </c>
      <c r="G6" s="111">
        <v>0</v>
      </c>
      <c r="H6" s="111">
        <v>0</v>
      </c>
      <c r="I6" s="111">
        <v>0</v>
      </c>
      <c r="J6" s="111">
        <v>0</v>
      </c>
      <c r="K6" s="111">
        <v>3500</v>
      </c>
      <c r="L6" s="111">
        <v>0</v>
      </c>
    </row>
    <row r="7" spans="1:12" x14ac:dyDescent="0.25">
      <c r="A7" s="109" t="s">
        <v>615</v>
      </c>
      <c r="B7" s="110" t="s">
        <v>616</v>
      </c>
      <c r="C7" s="111">
        <v>90003.69</v>
      </c>
      <c r="D7" s="111">
        <v>0</v>
      </c>
      <c r="E7" s="111">
        <v>90003.69</v>
      </c>
      <c r="F7" s="111">
        <v>0</v>
      </c>
      <c r="G7" s="111">
        <v>0</v>
      </c>
      <c r="H7" s="111">
        <v>0</v>
      </c>
      <c r="I7" s="111">
        <v>0</v>
      </c>
      <c r="J7" s="111">
        <v>0</v>
      </c>
      <c r="K7" s="111">
        <v>90003.69</v>
      </c>
      <c r="L7" s="111">
        <v>0</v>
      </c>
    </row>
    <row r="8" spans="1:12" x14ac:dyDescent="0.25">
      <c r="A8" s="109" t="s">
        <v>617</v>
      </c>
      <c r="B8" s="110" t="s">
        <v>27</v>
      </c>
      <c r="C8" s="111">
        <v>34418</v>
      </c>
      <c r="D8" s="111">
        <v>0</v>
      </c>
      <c r="E8" s="111">
        <v>34418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34418</v>
      </c>
      <c r="L8" s="111">
        <v>0</v>
      </c>
    </row>
    <row r="9" spans="1:12" x14ac:dyDescent="0.25">
      <c r="A9" s="109" t="s">
        <v>618</v>
      </c>
      <c r="B9" s="110" t="s">
        <v>235</v>
      </c>
      <c r="C9" s="111">
        <v>57700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4612.74</v>
      </c>
      <c r="J9" s="111">
        <v>62312.74</v>
      </c>
      <c r="K9" s="111">
        <v>0</v>
      </c>
      <c r="L9" s="111">
        <v>0</v>
      </c>
    </row>
    <row r="10" spans="1:12" x14ac:dyDescent="0.25">
      <c r="A10" s="109" t="s">
        <v>722</v>
      </c>
      <c r="B10" s="110" t="s">
        <v>568</v>
      </c>
      <c r="C10" s="111">
        <v>0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  <c r="L10" s="111">
        <v>0</v>
      </c>
    </row>
    <row r="11" spans="1:12" x14ac:dyDescent="0.25">
      <c r="A11" s="109" t="s">
        <v>619</v>
      </c>
      <c r="B11" s="110" t="s">
        <v>620</v>
      </c>
      <c r="C11" s="111">
        <v>365190.03</v>
      </c>
      <c r="D11" s="111">
        <v>0</v>
      </c>
      <c r="E11" s="111">
        <v>366030.03</v>
      </c>
      <c r="F11" s="111">
        <v>0</v>
      </c>
      <c r="G11" s="111">
        <v>0</v>
      </c>
      <c r="H11" s="111">
        <v>0</v>
      </c>
      <c r="I11" s="111">
        <v>840</v>
      </c>
      <c r="J11" s="111">
        <v>0</v>
      </c>
      <c r="K11" s="111">
        <v>366030.03</v>
      </c>
      <c r="L11" s="111">
        <v>0</v>
      </c>
    </row>
    <row r="12" spans="1:12" x14ac:dyDescent="0.25">
      <c r="A12" s="109" t="s">
        <v>621</v>
      </c>
      <c r="B12" s="110" t="s">
        <v>622</v>
      </c>
      <c r="C12" s="111">
        <v>0</v>
      </c>
      <c r="D12" s="111">
        <v>25980.799999999999</v>
      </c>
      <c r="E12" s="111">
        <v>0</v>
      </c>
      <c r="F12" s="111">
        <v>25980.799999999999</v>
      </c>
      <c r="G12" s="111">
        <v>0</v>
      </c>
      <c r="H12" s="111">
        <v>0</v>
      </c>
      <c r="I12" s="111">
        <v>0</v>
      </c>
      <c r="J12" s="111">
        <v>0</v>
      </c>
      <c r="K12" s="111">
        <v>0</v>
      </c>
      <c r="L12" s="111">
        <v>25980.799999999999</v>
      </c>
    </row>
    <row r="13" spans="1:12" x14ac:dyDescent="0.25">
      <c r="A13" s="109" t="s">
        <v>623</v>
      </c>
      <c r="B13" s="110" t="s">
        <v>624</v>
      </c>
      <c r="C13" s="111">
        <v>0</v>
      </c>
      <c r="D13" s="111">
        <v>505.28</v>
      </c>
      <c r="E13" s="111">
        <v>0</v>
      </c>
      <c r="F13" s="111">
        <v>1431.59</v>
      </c>
      <c r="G13" s="111">
        <v>0</v>
      </c>
      <c r="H13" s="111">
        <v>84.25</v>
      </c>
      <c r="I13" s="111">
        <v>0</v>
      </c>
      <c r="J13" s="111">
        <v>1010.56</v>
      </c>
      <c r="K13" s="111">
        <v>0</v>
      </c>
      <c r="L13" s="111">
        <v>1515.84</v>
      </c>
    </row>
    <row r="14" spans="1:12" x14ac:dyDescent="0.25">
      <c r="A14" s="109" t="s">
        <v>625</v>
      </c>
      <c r="B14" s="110" t="s">
        <v>243</v>
      </c>
      <c r="C14" s="111">
        <v>0</v>
      </c>
      <c r="D14" s="111">
        <v>53952.04</v>
      </c>
      <c r="E14" s="111">
        <v>0</v>
      </c>
      <c r="F14" s="111">
        <v>61445.79</v>
      </c>
      <c r="G14" s="111">
        <v>0</v>
      </c>
      <c r="H14" s="111">
        <v>681.22</v>
      </c>
      <c r="I14" s="111">
        <v>0</v>
      </c>
      <c r="J14" s="111">
        <v>8174.97</v>
      </c>
      <c r="K14" s="111">
        <v>0</v>
      </c>
      <c r="L14" s="111">
        <v>62127.01</v>
      </c>
    </row>
    <row r="15" spans="1:12" x14ac:dyDescent="0.25">
      <c r="A15" s="109" t="s">
        <v>626</v>
      </c>
      <c r="B15" s="110" t="s">
        <v>627</v>
      </c>
      <c r="C15" s="111">
        <v>0</v>
      </c>
      <c r="D15" s="111">
        <v>151838.35999999999</v>
      </c>
      <c r="E15" s="111">
        <v>0</v>
      </c>
      <c r="F15" s="111">
        <v>159599.01</v>
      </c>
      <c r="G15" s="111">
        <v>0</v>
      </c>
      <c r="H15" s="111">
        <v>1495.72</v>
      </c>
      <c r="I15" s="111">
        <v>17386.89</v>
      </c>
      <c r="J15" s="111">
        <v>26643.26</v>
      </c>
      <c r="K15" s="111">
        <v>0</v>
      </c>
      <c r="L15" s="111">
        <v>161094.73000000001</v>
      </c>
    </row>
    <row r="16" spans="1:12" x14ac:dyDescent="0.25">
      <c r="A16" s="109" t="s">
        <v>628</v>
      </c>
      <c r="B16" s="110" t="s">
        <v>251</v>
      </c>
      <c r="C16" s="111">
        <v>0</v>
      </c>
      <c r="D16" s="111">
        <v>1083.3499999999999</v>
      </c>
      <c r="E16" s="111">
        <v>0</v>
      </c>
      <c r="F16" s="111">
        <v>1579.89</v>
      </c>
      <c r="G16" s="111">
        <v>0</v>
      </c>
      <c r="H16" s="111">
        <v>45.13</v>
      </c>
      <c r="I16" s="111">
        <v>0</v>
      </c>
      <c r="J16" s="111">
        <v>541.66999999999996</v>
      </c>
      <c r="K16" s="111">
        <v>0</v>
      </c>
      <c r="L16" s="111">
        <v>1625.02</v>
      </c>
    </row>
    <row r="17" spans="1:12" x14ac:dyDescent="0.25">
      <c r="A17" s="109" t="s">
        <v>629</v>
      </c>
      <c r="B17" s="110" t="s">
        <v>630</v>
      </c>
      <c r="C17" s="111">
        <v>0</v>
      </c>
      <c r="D17" s="111">
        <v>37665.82</v>
      </c>
      <c r="E17" s="111">
        <v>0</v>
      </c>
      <c r="F17" s="111">
        <v>55752.02</v>
      </c>
      <c r="G17" s="111">
        <v>0</v>
      </c>
      <c r="H17" s="111">
        <v>1644.06</v>
      </c>
      <c r="I17" s="111">
        <v>0</v>
      </c>
      <c r="J17" s="111">
        <v>19730.259999999998</v>
      </c>
      <c r="K17" s="111">
        <v>0</v>
      </c>
      <c r="L17" s="111">
        <v>57396.08</v>
      </c>
    </row>
    <row r="18" spans="1:12" x14ac:dyDescent="0.25">
      <c r="A18" s="109" t="s">
        <v>632</v>
      </c>
      <c r="B18" s="110" t="s">
        <v>633</v>
      </c>
      <c r="C18" s="111">
        <v>178.53</v>
      </c>
      <c r="D18" s="111">
        <v>0</v>
      </c>
      <c r="E18" s="111">
        <v>0</v>
      </c>
      <c r="F18" s="111">
        <v>0</v>
      </c>
      <c r="G18" s="111">
        <v>157.55000000000001</v>
      </c>
      <c r="H18" s="111">
        <v>0</v>
      </c>
      <c r="I18" s="111">
        <v>157.55000000000001</v>
      </c>
      <c r="J18" s="111">
        <v>178.53</v>
      </c>
      <c r="K18" s="111">
        <v>157.55000000000001</v>
      </c>
      <c r="L18" s="111">
        <v>0</v>
      </c>
    </row>
    <row r="19" spans="1:12" x14ac:dyDescent="0.25">
      <c r="A19" s="109" t="s">
        <v>634</v>
      </c>
      <c r="B19" s="110" t="s">
        <v>48</v>
      </c>
      <c r="C19" s="111">
        <v>0</v>
      </c>
      <c r="D19" s="111">
        <v>0</v>
      </c>
      <c r="E19" s="111">
        <v>1848</v>
      </c>
      <c r="F19" s="111">
        <v>0</v>
      </c>
      <c r="G19" s="111">
        <v>0</v>
      </c>
      <c r="H19" s="111">
        <v>1704</v>
      </c>
      <c r="I19" s="111">
        <v>1848</v>
      </c>
      <c r="J19" s="111">
        <v>1704</v>
      </c>
      <c r="K19" s="111">
        <v>144</v>
      </c>
      <c r="L19" s="111">
        <v>0</v>
      </c>
    </row>
    <row r="20" spans="1:12" x14ac:dyDescent="0.25">
      <c r="A20" s="109" t="s">
        <v>635</v>
      </c>
      <c r="B20" s="110" t="s">
        <v>109</v>
      </c>
      <c r="C20" s="111">
        <v>2900</v>
      </c>
      <c r="D20" s="111">
        <v>0</v>
      </c>
      <c r="E20" s="111">
        <v>3650</v>
      </c>
      <c r="F20" s="111">
        <v>0</v>
      </c>
      <c r="G20" s="111">
        <v>750</v>
      </c>
      <c r="H20" s="111">
        <v>300</v>
      </c>
      <c r="I20" s="111">
        <v>1500</v>
      </c>
      <c r="J20" s="111">
        <v>300</v>
      </c>
      <c r="K20" s="111">
        <v>4100</v>
      </c>
      <c r="L20" s="111">
        <v>0</v>
      </c>
    </row>
    <row r="21" spans="1:12" x14ac:dyDescent="0.25">
      <c r="A21" s="109" t="s">
        <v>636</v>
      </c>
      <c r="B21" s="110" t="s">
        <v>281</v>
      </c>
      <c r="C21" s="111">
        <v>0</v>
      </c>
      <c r="D21" s="111">
        <v>0</v>
      </c>
      <c r="E21" s="111">
        <v>30.8</v>
      </c>
      <c r="F21" s="111">
        <v>0</v>
      </c>
      <c r="G21" s="111">
        <v>35092.69</v>
      </c>
      <c r="H21" s="111">
        <v>35123.49</v>
      </c>
      <c r="I21" s="111">
        <v>599282.92000000004</v>
      </c>
      <c r="J21" s="111">
        <v>599282.92000000004</v>
      </c>
      <c r="K21" s="111">
        <v>0</v>
      </c>
      <c r="L21" s="111">
        <v>0</v>
      </c>
    </row>
    <row r="22" spans="1:12" x14ac:dyDescent="0.25">
      <c r="A22" s="109" t="s">
        <v>637</v>
      </c>
      <c r="B22" s="110" t="s">
        <v>638</v>
      </c>
      <c r="C22" s="111">
        <v>279857.11</v>
      </c>
      <c r="D22" s="111">
        <v>0</v>
      </c>
      <c r="E22" s="111">
        <v>255060.71</v>
      </c>
      <c r="F22" s="111">
        <v>0</v>
      </c>
      <c r="G22" s="111">
        <v>56694.03</v>
      </c>
      <c r="H22" s="111">
        <v>65939.69</v>
      </c>
      <c r="I22" s="111">
        <v>889107.89</v>
      </c>
      <c r="J22" s="111">
        <v>923149.95</v>
      </c>
      <c r="K22" s="111">
        <v>245815.05</v>
      </c>
      <c r="L22" s="111">
        <v>0</v>
      </c>
    </row>
    <row r="23" spans="1:12" x14ac:dyDescent="0.25">
      <c r="A23" s="109" t="s">
        <v>639</v>
      </c>
      <c r="B23" s="110" t="s">
        <v>640</v>
      </c>
      <c r="C23" s="111">
        <v>768.87</v>
      </c>
      <c r="D23" s="111">
        <v>0</v>
      </c>
      <c r="E23" s="111">
        <v>1397.13</v>
      </c>
      <c r="F23" s="111">
        <v>0</v>
      </c>
      <c r="G23" s="111">
        <v>66174.990000000005</v>
      </c>
      <c r="H23" s="111">
        <v>64804.67</v>
      </c>
      <c r="I23" s="111">
        <v>731702.45</v>
      </c>
      <c r="J23" s="111">
        <v>729703.87</v>
      </c>
      <c r="K23" s="111">
        <v>2767.45</v>
      </c>
      <c r="L23" s="111">
        <v>0</v>
      </c>
    </row>
    <row r="24" spans="1:12" x14ac:dyDescent="0.25">
      <c r="A24" s="109" t="s">
        <v>641</v>
      </c>
      <c r="B24" s="110" t="s">
        <v>642</v>
      </c>
      <c r="C24" s="111">
        <v>658.65</v>
      </c>
      <c r="D24" s="111">
        <v>0</v>
      </c>
      <c r="E24" s="111">
        <v>666.82</v>
      </c>
      <c r="F24" s="111">
        <v>0</v>
      </c>
      <c r="G24" s="111">
        <v>264.29000000000002</v>
      </c>
      <c r="H24" s="111">
        <v>682.66</v>
      </c>
      <c r="I24" s="111">
        <v>7124.2</v>
      </c>
      <c r="J24" s="111">
        <v>7534.4</v>
      </c>
      <c r="K24" s="111">
        <v>248.45</v>
      </c>
      <c r="L24" s="111">
        <v>0</v>
      </c>
    </row>
    <row r="25" spans="1:12" x14ac:dyDescent="0.25">
      <c r="A25" s="109" t="s">
        <v>643</v>
      </c>
      <c r="B25" s="110" t="s">
        <v>295</v>
      </c>
      <c r="C25" s="111">
        <v>-25136.66</v>
      </c>
      <c r="D25" s="111">
        <v>0</v>
      </c>
      <c r="E25" s="111">
        <v>-25056.36</v>
      </c>
      <c r="F25" s="111">
        <v>0</v>
      </c>
      <c r="G25" s="111">
        <v>103693.1</v>
      </c>
      <c r="H25" s="111">
        <v>103838.39999999999</v>
      </c>
      <c r="I25" s="111">
        <v>1156893.24</v>
      </c>
      <c r="J25" s="111">
        <v>1156958.24</v>
      </c>
      <c r="K25" s="111">
        <v>-25201.66</v>
      </c>
      <c r="L25" s="111">
        <v>0</v>
      </c>
    </row>
    <row r="26" spans="1:12" x14ac:dyDescent="0.25">
      <c r="A26" s="109" t="s">
        <v>644</v>
      </c>
      <c r="B26" s="110" t="s">
        <v>645</v>
      </c>
      <c r="C26" s="111">
        <v>0</v>
      </c>
      <c r="D26" s="111">
        <v>0</v>
      </c>
      <c r="E26" s="111">
        <v>0</v>
      </c>
      <c r="F26" s="111">
        <v>0</v>
      </c>
      <c r="G26" s="111">
        <v>46850</v>
      </c>
      <c r="H26" s="111">
        <v>46850</v>
      </c>
      <c r="I26" s="111">
        <v>642335</v>
      </c>
      <c r="J26" s="111">
        <v>642335</v>
      </c>
      <c r="K26" s="111">
        <v>0</v>
      </c>
      <c r="L26" s="111">
        <v>0</v>
      </c>
    </row>
    <row r="27" spans="1:12" x14ac:dyDescent="0.25">
      <c r="A27" s="109" t="s">
        <v>646</v>
      </c>
      <c r="B27" s="110" t="s">
        <v>647</v>
      </c>
      <c r="C27" s="111">
        <v>35804.67</v>
      </c>
      <c r="D27" s="111">
        <v>0</v>
      </c>
      <c r="E27" s="111">
        <v>35828.07</v>
      </c>
      <c r="F27" s="111">
        <v>0</v>
      </c>
      <c r="G27" s="111">
        <v>22317.59</v>
      </c>
      <c r="H27" s="111">
        <v>32950.78</v>
      </c>
      <c r="I27" s="111">
        <v>192560.18</v>
      </c>
      <c r="J27" s="111">
        <v>203169.97</v>
      </c>
      <c r="K27" s="111">
        <v>25194.880000000001</v>
      </c>
      <c r="L27" s="111">
        <v>0</v>
      </c>
    </row>
    <row r="28" spans="1:12" x14ac:dyDescent="0.25">
      <c r="A28" s="109" t="s">
        <v>648</v>
      </c>
      <c r="B28" s="110" t="s">
        <v>303</v>
      </c>
      <c r="C28" s="111">
        <v>0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5991.75</v>
      </c>
      <c r="J28" s="111">
        <v>5991.75</v>
      </c>
      <c r="K28" s="111">
        <v>0</v>
      </c>
      <c r="L28" s="111">
        <v>0</v>
      </c>
    </row>
    <row r="29" spans="1:12" x14ac:dyDescent="0.25">
      <c r="A29" s="109" t="s">
        <v>649</v>
      </c>
      <c r="B29" s="110" t="s">
        <v>650</v>
      </c>
      <c r="C29" s="111">
        <v>383.58</v>
      </c>
      <c r="D29" s="111">
        <v>0</v>
      </c>
      <c r="E29" s="111">
        <v>2480.5700000000002</v>
      </c>
      <c r="F29" s="111">
        <v>0</v>
      </c>
      <c r="G29" s="111">
        <v>0</v>
      </c>
      <c r="H29" s="111">
        <v>2408.42</v>
      </c>
      <c r="I29" s="111">
        <v>0</v>
      </c>
      <c r="J29" s="111">
        <v>311.43</v>
      </c>
      <c r="K29" s="111">
        <v>72.150000000000006</v>
      </c>
      <c r="L29" s="111">
        <v>0</v>
      </c>
    </row>
    <row r="30" spans="1:12" x14ac:dyDescent="0.25">
      <c r="A30" s="109" t="s">
        <v>651</v>
      </c>
      <c r="B30" s="110" t="s">
        <v>652</v>
      </c>
      <c r="C30" s="111">
        <v>0</v>
      </c>
      <c r="D30" s="111">
        <v>191944.56</v>
      </c>
      <c r="E30" s="111">
        <v>0</v>
      </c>
      <c r="F30" s="111">
        <v>170709.38</v>
      </c>
      <c r="G30" s="111">
        <v>57517.69</v>
      </c>
      <c r="H30" s="111">
        <v>45955.12</v>
      </c>
      <c r="I30" s="111">
        <v>749216.78</v>
      </c>
      <c r="J30" s="111">
        <v>716419.03</v>
      </c>
      <c r="K30" s="111">
        <v>0</v>
      </c>
      <c r="L30" s="111">
        <v>159146.81</v>
      </c>
    </row>
    <row r="31" spans="1:12" x14ac:dyDescent="0.25">
      <c r="A31" s="109" t="s">
        <v>653</v>
      </c>
      <c r="B31" s="110" t="s">
        <v>654</v>
      </c>
      <c r="C31" s="111">
        <v>0</v>
      </c>
      <c r="D31" s="111">
        <v>2173</v>
      </c>
      <c r="E31" s="111">
        <v>0</v>
      </c>
      <c r="F31" s="111">
        <v>2173</v>
      </c>
      <c r="G31" s="111">
        <v>2173</v>
      </c>
      <c r="H31" s="111">
        <v>2953.61</v>
      </c>
      <c r="I31" s="111">
        <v>2173</v>
      </c>
      <c r="J31" s="111">
        <v>2953.61</v>
      </c>
      <c r="K31" s="111">
        <v>0</v>
      </c>
      <c r="L31" s="111">
        <v>2953.61</v>
      </c>
    </row>
    <row r="32" spans="1:12" x14ac:dyDescent="0.25">
      <c r="A32" s="109" t="s">
        <v>655</v>
      </c>
      <c r="B32" s="110" t="s">
        <v>656</v>
      </c>
      <c r="C32" s="111">
        <v>0</v>
      </c>
      <c r="D32" s="111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1837</v>
      </c>
      <c r="J32" s="111">
        <v>1837</v>
      </c>
      <c r="K32" s="111">
        <v>0</v>
      </c>
      <c r="L32" s="111">
        <v>0</v>
      </c>
    </row>
    <row r="33" spans="1:12" x14ac:dyDescent="0.25">
      <c r="A33" s="109" t="s">
        <v>658</v>
      </c>
      <c r="B33" s="110" t="s">
        <v>329</v>
      </c>
      <c r="C33" s="111">
        <v>0</v>
      </c>
      <c r="D33" s="111">
        <v>7977.28</v>
      </c>
      <c r="E33" s="111">
        <v>0</v>
      </c>
      <c r="F33" s="111">
        <v>8135.55</v>
      </c>
      <c r="G33" s="111">
        <v>18833.490000000002</v>
      </c>
      <c r="H33" s="111">
        <v>19069.78</v>
      </c>
      <c r="I33" s="111">
        <v>234508.53</v>
      </c>
      <c r="J33" s="111">
        <v>234903.09</v>
      </c>
      <c r="K33" s="111">
        <v>0</v>
      </c>
      <c r="L33" s="111">
        <v>8371.84</v>
      </c>
    </row>
    <row r="34" spans="1:12" x14ac:dyDescent="0.25">
      <c r="A34" s="109" t="s">
        <v>659</v>
      </c>
      <c r="B34" s="110" t="s">
        <v>660</v>
      </c>
      <c r="C34" s="111">
        <v>250.21</v>
      </c>
      <c r="D34" s="111">
        <v>0</v>
      </c>
      <c r="E34" s="111">
        <v>152.22999999999999</v>
      </c>
      <c r="F34" s="111">
        <v>0</v>
      </c>
      <c r="G34" s="111">
        <v>324.19</v>
      </c>
      <c r="H34" s="111">
        <v>152.22999999999999</v>
      </c>
      <c r="I34" s="111">
        <v>2704.02</v>
      </c>
      <c r="J34" s="111">
        <v>2630.04</v>
      </c>
      <c r="K34" s="111">
        <v>324.19</v>
      </c>
      <c r="L34" s="111">
        <v>0</v>
      </c>
    </row>
    <row r="35" spans="1:12" x14ac:dyDescent="0.25">
      <c r="A35" s="109" t="s">
        <v>661</v>
      </c>
      <c r="B35" s="110" t="s">
        <v>662</v>
      </c>
      <c r="C35" s="111">
        <v>0</v>
      </c>
      <c r="D35" s="111">
        <v>5313.11</v>
      </c>
      <c r="E35" s="111">
        <v>0</v>
      </c>
      <c r="F35" s="111">
        <v>4650.6499999999996</v>
      </c>
      <c r="G35" s="111">
        <v>4650.6499999999996</v>
      </c>
      <c r="H35" s="111">
        <v>4866.21</v>
      </c>
      <c r="I35" s="111">
        <v>60193.45</v>
      </c>
      <c r="J35" s="111">
        <v>59746.55</v>
      </c>
      <c r="K35" s="111">
        <v>0</v>
      </c>
      <c r="L35" s="111">
        <v>4866.21</v>
      </c>
    </row>
    <row r="36" spans="1:12" x14ac:dyDescent="0.25">
      <c r="A36" s="109" t="s">
        <v>663</v>
      </c>
      <c r="B36" s="110" t="s">
        <v>664</v>
      </c>
      <c r="C36" s="111">
        <v>0</v>
      </c>
      <c r="D36" s="111">
        <v>1322</v>
      </c>
      <c r="E36" s="111">
        <v>0</v>
      </c>
      <c r="F36" s="111">
        <v>-6541.33</v>
      </c>
      <c r="G36" s="111">
        <v>2290.61</v>
      </c>
      <c r="H36" s="111">
        <v>2932.9</v>
      </c>
      <c r="I36" s="111">
        <v>10153.94</v>
      </c>
      <c r="J36" s="111">
        <v>2932.9</v>
      </c>
      <c r="K36" s="111">
        <v>0</v>
      </c>
      <c r="L36" s="111">
        <v>-5899.04</v>
      </c>
    </row>
    <row r="37" spans="1:12" x14ac:dyDescent="0.25">
      <c r="A37" s="109" t="s">
        <v>665</v>
      </c>
      <c r="B37" s="110" t="s">
        <v>341</v>
      </c>
      <c r="C37" s="111">
        <v>0</v>
      </c>
      <c r="D37" s="111">
        <v>929.95</v>
      </c>
      <c r="E37" s="111">
        <v>0</v>
      </c>
      <c r="F37" s="111">
        <v>563.41</v>
      </c>
      <c r="G37" s="111">
        <v>893.41</v>
      </c>
      <c r="H37" s="111">
        <v>983.51</v>
      </c>
      <c r="I37" s="111">
        <v>12116.02</v>
      </c>
      <c r="J37" s="111">
        <v>11839.58</v>
      </c>
      <c r="K37" s="111">
        <v>0</v>
      </c>
      <c r="L37" s="111">
        <v>653.51</v>
      </c>
    </row>
    <row r="38" spans="1:12" x14ac:dyDescent="0.25">
      <c r="A38" s="109" t="s">
        <v>666</v>
      </c>
      <c r="B38" s="110" t="s">
        <v>667</v>
      </c>
      <c r="C38" s="111">
        <v>0</v>
      </c>
      <c r="D38" s="111">
        <v>6141.25</v>
      </c>
      <c r="E38" s="111">
        <v>0</v>
      </c>
      <c r="F38" s="111">
        <v>15002.85</v>
      </c>
      <c r="G38" s="111">
        <v>45942.79</v>
      </c>
      <c r="H38" s="111">
        <v>44761.82</v>
      </c>
      <c r="I38" s="111">
        <v>544495.55000000005</v>
      </c>
      <c r="J38" s="111">
        <v>552176.18000000005</v>
      </c>
      <c r="K38" s="111">
        <v>0</v>
      </c>
      <c r="L38" s="111">
        <v>13821.88</v>
      </c>
    </row>
    <row r="39" spans="1:12" x14ac:dyDescent="0.25">
      <c r="A39" s="109" t="s">
        <v>668</v>
      </c>
      <c r="B39" s="110" t="s">
        <v>361</v>
      </c>
      <c r="C39" s="111">
        <v>0</v>
      </c>
      <c r="D39" s="111">
        <v>0</v>
      </c>
      <c r="E39" s="111">
        <v>0</v>
      </c>
      <c r="F39" s="111">
        <v>0</v>
      </c>
      <c r="G39" s="111">
        <v>553</v>
      </c>
      <c r="H39" s="111">
        <v>553</v>
      </c>
      <c r="I39" s="111">
        <v>2953.84</v>
      </c>
      <c r="J39" s="111">
        <v>2953.84</v>
      </c>
      <c r="K39" s="111">
        <v>0</v>
      </c>
      <c r="L39" s="111">
        <v>0</v>
      </c>
    </row>
    <row r="40" spans="1:12" x14ac:dyDescent="0.25">
      <c r="A40" s="109" t="s">
        <v>669</v>
      </c>
      <c r="B40" s="110" t="s">
        <v>670</v>
      </c>
      <c r="C40" s="111">
        <v>49577.1</v>
      </c>
      <c r="D40" s="111">
        <v>0</v>
      </c>
      <c r="E40" s="111">
        <v>0</v>
      </c>
      <c r="F40" s="111">
        <v>0</v>
      </c>
      <c r="G40" s="111">
        <v>6210.41</v>
      </c>
      <c r="H40" s="111">
        <v>3105.2</v>
      </c>
      <c r="I40" s="111">
        <v>53754.55</v>
      </c>
      <c r="J40" s="111">
        <v>100226.44</v>
      </c>
      <c r="K40" s="111">
        <v>3105.21</v>
      </c>
      <c r="L40" s="111">
        <v>0</v>
      </c>
    </row>
    <row r="41" spans="1:12" x14ac:dyDescent="0.25">
      <c r="A41" s="109" t="s">
        <v>671</v>
      </c>
      <c r="B41" s="110" t="s">
        <v>672</v>
      </c>
      <c r="C41" s="111">
        <v>0</v>
      </c>
      <c r="D41" s="111">
        <v>95874.27</v>
      </c>
      <c r="E41" s="111">
        <v>0</v>
      </c>
      <c r="F41" s="111">
        <v>87874.27</v>
      </c>
      <c r="G41" s="111">
        <v>23000</v>
      </c>
      <c r="H41" s="111">
        <v>0</v>
      </c>
      <c r="I41" s="111">
        <v>31000</v>
      </c>
      <c r="J41" s="111">
        <v>0</v>
      </c>
      <c r="K41" s="111">
        <v>0</v>
      </c>
      <c r="L41" s="111">
        <v>64874.27</v>
      </c>
    </row>
    <row r="42" spans="1:12" x14ac:dyDescent="0.25">
      <c r="A42" s="109" t="s">
        <v>673</v>
      </c>
      <c r="B42" s="110" t="s">
        <v>674</v>
      </c>
      <c r="C42" s="111">
        <v>0</v>
      </c>
      <c r="D42" s="111">
        <v>55000</v>
      </c>
      <c r="E42" s="111">
        <v>0</v>
      </c>
      <c r="F42" s="111">
        <v>37226</v>
      </c>
      <c r="G42" s="111">
        <v>0</v>
      </c>
      <c r="H42" s="111">
        <v>0</v>
      </c>
      <c r="I42" s="111">
        <v>18614</v>
      </c>
      <c r="J42" s="111">
        <v>840</v>
      </c>
      <c r="K42" s="111">
        <v>0</v>
      </c>
      <c r="L42" s="111">
        <v>37226</v>
      </c>
    </row>
    <row r="43" spans="1:12" x14ac:dyDescent="0.25">
      <c r="A43" s="109" t="s">
        <v>675</v>
      </c>
      <c r="B43" s="110" t="s">
        <v>52</v>
      </c>
      <c r="C43" s="111">
        <v>0</v>
      </c>
      <c r="D43" s="111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13196.07</v>
      </c>
      <c r="J43" s="111">
        <v>13196.07</v>
      </c>
      <c r="K43" s="111">
        <v>0</v>
      </c>
      <c r="L43" s="111">
        <v>0</v>
      </c>
    </row>
    <row r="44" spans="1:12" x14ac:dyDescent="0.25">
      <c r="A44" s="109" t="s">
        <v>676</v>
      </c>
      <c r="B44" s="110" t="s">
        <v>370</v>
      </c>
      <c r="C44" s="111">
        <v>0</v>
      </c>
      <c r="D44" s="111">
        <v>0</v>
      </c>
      <c r="E44" s="111">
        <v>0</v>
      </c>
      <c r="F44" s="111">
        <v>0</v>
      </c>
      <c r="G44" s="111">
        <v>1118.56</v>
      </c>
      <c r="H44" s="111">
        <v>1671.56</v>
      </c>
      <c r="I44" s="111">
        <v>42709</v>
      </c>
      <c r="J44" s="111">
        <v>43262</v>
      </c>
      <c r="K44" s="111">
        <v>0</v>
      </c>
      <c r="L44" s="111">
        <v>553</v>
      </c>
    </row>
    <row r="45" spans="1:12" x14ac:dyDescent="0.25">
      <c r="A45" s="109" t="s">
        <v>677</v>
      </c>
      <c r="B45" s="110" t="s">
        <v>372</v>
      </c>
      <c r="C45" s="111">
        <v>0</v>
      </c>
      <c r="D45" s="111">
        <v>0</v>
      </c>
      <c r="E45" s="111">
        <v>104.86</v>
      </c>
      <c r="F45" s="111">
        <v>0</v>
      </c>
      <c r="G45" s="111">
        <v>21644.07</v>
      </c>
      <c r="H45" s="111">
        <v>21748.93</v>
      </c>
      <c r="I45" s="111">
        <v>290003.36</v>
      </c>
      <c r="J45" s="111">
        <v>290003.36</v>
      </c>
      <c r="K45" s="111">
        <v>0</v>
      </c>
      <c r="L45" s="111">
        <v>0</v>
      </c>
    </row>
    <row r="46" spans="1:12" x14ac:dyDescent="0.25">
      <c r="A46" s="109" t="s">
        <v>678</v>
      </c>
      <c r="B46" s="110" t="s">
        <v>374</v>
      </c>
      <c r="C46" s="111">
        <v>0</v>
      </c>
      <c r="D46" s="111">
        <v>109068</v>
      </c>
      <c r="E46" s="111">
        <v>0</v>
      </c>
      <c r="F46" s="111">
        <v>109068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  <c r="L46" s="111">
        <v>109068</v>
      </c>
    </row>
    <row r="47" spans="1:12" x14ac:dyDescent="0.25">
      <c r="A47" s="109" t="s">
        <v>679</v>
      </c>
      <c r="B47" s="110" t="s">
        <v>376</v>
      </c>
      <c r="C47" s="111">
        <v>0</v>
      </c>
      <c r="D47" s="111">
        <v>10906.8</v>
      </c>
      <c r="E47" s="111">
        <v>0</v>
      </c>
      <c r="F47" s="111">
        <v>10906.8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10906.8</v>
      </c>
    </row>
    <row r="48" spans="1:12" x14ac:dyDescent="0.25">
      <c r="A48" s="109" t="s">
        <v>680</v>
      </c>
      <c r="B48" s="110" t="s">
        <v>681</v>
      </c>
      <c r="C48" s="111">
        <v>0</v>
      </c>
      <c r="D48" s="111">
        <v>181556.33</v>
      </c>
      <c r="E48" s="111">
        <v>0</v>
      </c>
      <c r="F48" s="111">
        <v>181556.33</v>
      </c>
      <c r="G48" s="111">
        <v>0</v>
      </c>
      <c r="H48" s="111">
        <v>31305.439999999999</v>
      </c>
      <c r="I48" s="111">
        <v>0</v>
      </c>
      <c r="J48" s="111">
        <v>31305.439999999999</v>
      </c>
      <c r="K48" s="111">
        <v>0</v>
      </c>
      <c r="L48" s="111">
        <v>212861.77</v>
      </c>
    </row>
    <row r="49" spans="1:12" x14ac:dyDescent="0.25">
      <c r="A49" s="109" t="s">
        <v>682</v>
      </c>
      <c r="B49" s="110" t="s">
        <v>392</v>
      </c>
      <c r="C49" s="111">
        <v>0</v>
      </c>
      <c r="D49" s="111">
        <v>31305.439999999999</v>
      </c>
      <c r="E49" s="111">
        <v>0</v>
      </c>
      <c r="F49" s="111">
        <v>31305.439999999999</v>
      </c>
      <c r="G49" s="111">
        <v>31305.439999999999</v>
      </c>
      <c r="H49" s="111">
        <v>0</v>
      </c>
      <c r="I49" s="111">
        <v>31305.439999999999</v>
      </c>
      <c r="J49" s="111">
        <v>0</v>
      </c>
      <c r="K49" s="111">
        <v>0</v>
      </c>
      <c r="L49" s="111">
        <v>0</v>
      </c>
    </row>
    <row r="50" spans="1:12" x14ac:dyDescent="0.25">
      <c r="A50" s="109" t="s">
        <v>683</v>
      </c>
      <c r="B50" s="110" t="s">
        <v>684</v>
      </c>
      <c r="C50" s="111">
        <v>-260355</v>
      </c>
      <c r="D50" s="111">
        <v>0</v>
      </c>
      <c r="E50" s="111">
        <v>-224990</v>
      </c>
      <c r="F50" s="111">
        <v>0</v>
      </c>
      <c r="G50" s="111">
        <v>3215</v>
      </c>
      <c r="H50" s="111">
        <v>0</v>
      </c>
      <c r="I50" s="111">
        <v>38580</v>
      </c>
      <c r="J50" s="111">
        <v>0</v>
      </c>
      <c r="K50" s="111">
        <v>-221775</v>
      </c>
      <c r="L50" s="111">
        <v>0</v>
      </c>
    </row>
    <row r="51" spans="1:12" x14ac:dyDescent="0.25">
      <c r="A51" s="109" t="s">
        <v>685</v>
      </c>
      <c r="B51" s="110" t="s">
        <v>396</v>
      </c>
      <c r="C51" s="111">
        <v>0</v>
      </c>
      <c r="D51" s="111">
        <v>2513.06</v>
      </c>
      <c r="E51" s="111">
        <v>0</v>
      </c>
      <c r="F51" s="111">
        <v>1708.39</v>
      </c>
      <c r="G51" s="111">
        <v>110.02</v>
      </c>
      <c r="H51" s="111">
        <v>42.99</v>
      </c>
      <c r="I51" s="111">
        <v>1515.99</v>
      </c>
      <c r="J51" s="111">
        <v>644.29</v>
      </c>
      <c r="K51" s="111">
        <v>0</v>
      </c>
      <c r="L51" s="111">
        <v>1641.36</v>
      </c>
    </row>
    <row r="52" spans="1:12" x14ac:dyDescent="0.25">
      <c r="A52" s="109" t="s">
        <v>686</v>
      </c>
      <c r="B52" s="110" t="s">
        <v>687</v>
      </c>
      <c r="C52" s="111">
        <v>0</v>
      </c>
      <c r="D52" s="111">
        <v>0</v>
      </c>
      <c r="E52" s="111">
        <v>0</v>
      </c>
      <c r="F52" s="111">
        <v>0</v>
      </c>
      <c r="G52" s="111">
        <v>976.31</v>
      </c>
      <c r="H52" s="111">
        <v>976.31</v>
      </c>
      <c r="I52" s="111">
        <v>976.31</v>
      </c>
      <c r="J52" s="111">
        <v>976.31</v>
      </c>
      <c r="K52" s="111">
        <v>0</v>
      </c>
      <c r="L52" s="111">
        <v>0</v>
      </c>
    </row>
    <row r="53" spans="1:12" x14ac:dyDescent="0.25">
      <c r="A53" s="109" t="s">
        <v>688</v>
      </c>
      <c r="B53" s="110" t="s">
        <v>689</v>
      </c>
      <c r="C53" s="111">
        <v>0</v>
      </c>
      <c r="D53" s="111">
        <v>28525.81</v>
      </c>
      <c r="E53" s="111">
        <v>0</v>
      </c>
      <c r="F53" s="111">
        <v>12531.4</v>
      </c>
      <c r="G53" s="111">
        <v>1822.72</v>
      </c>
      <c r="H53" s="111">
        <v>491.06</v>
      </c>
      <c r="I53" s="111">
        <v>57558.14</v>
      </c>
      <c r="J53" s="111">
        <v>40232.07</v>
      </c>
      <c r="K53" s="111">
        <v>0</v>
      </c>
      <c r="L53" s="111">
        <v>11199.74</v>
      </c>
    </row>
    <row r="54" spans="1:12" x14ac:dyDescent="0.25">
      <c r="A54" s="109" t="s">
        <v>690</v>
      </c>
      <c r="B54" s="110" t="s">
        <v>691</v>
      </c>
      <c r="C54" s="111">
        <v>0</v>
      </c>
      <c r="D54" s="111">
        <v>0</v>
      </c>
      <c r="E54" s="111">
        <v>19646.53</v>
      </c>
      <c r="F54" s="111">
        <v>0</v>
      </c>
      <c r="G54" s="111">
        <v>4858.6899999999996</v>
      </c>
      <c r="H54" s="111">
        <v>157.55000000000001</v>
      </c>
      <c r="I54" s="111">
        <v>24505.22</v>
      </c>
      <c r="J54" s="111">
        <v>157.55000000000001</v>
      </c>
      <c r="K54" s="111">
        <v>24347.67</v>
      </c>
      <c r="L54" s="111">
        <v>0</v>
      </c>
    </row>
    <row r="55" spans="1:12" x14ac:dyDescent="0.25">
      <c r="A55" s="109" t="s">
        <v>692</v>
      </c>
      <c r="B55" s="110" t="s">
        <v>442</v>
      </c>
      <c r="C55" s="111">
        <v>0</v>
      </c>
      <c r="D55" s="111">
        <v>0</v>
      </c>
      <c r="E55" s="111">
        <v>1536.64</v>
      </c>
      <c r="F55" s="111">
        <v>0</v>
      </c>
      <c r="G55" s="111">
        <v>492.68</v>
      </c>
      <c r="H55" s="111">
        <v>0</v>
      </c>
      <c r="I55" s="111">
        <v>2029.32</v>
      </c>
      <c r="J55" s="111">
        <v>0</v>
      </c>
      <c r="K55" s="111">
        <v>2029.32</v>
      </c>
      <c r="L55" s="111">
        <v>0</v>
      </c>
    </row>
    <row r="56" spans="1:12" x14ac:dyDescent="0.25">
      <c r="A56" s="109" t="s">
        <v>693</v>
      </c>
      <c r="B56" s="110" t="s">
        <v>694</v>
      </c>
      <c r="C56" s="111">
        <v>0</v>
      </c>
      <c r="D56" s="111">
        <v>0</v>
      </c>
      <c r="E56" s="111">
        <v>588850.97</v>
      </c>
      <c r="F56" s="111">
        <v>0</v>
      </c>
      <c r="G56" s="111">
        <v>44279.3</v>
      </c>
      <c r="H56" s="111">
        <v>0</v>
      </c>
      <c r="I56" s="111">
        <v>633130.27</v>
      </c>
      <c r="J56" s="111">
        <v>0</v>
      </c>
      <c r="K56" s="111">
        <v>633130.27</v>
      </c>
      <c r="L56" s="111">
        <v>0</v>
      </c>
    </row>
    <row r="57" spans="1:12" x14ac:dyDescent="0.25">
      <c r="A57" s="109" t="s">
        <v>695</v>
      </c>
      <c r="B57" s="110" t="s">
        <v>446</v>
      </c>
      <c r="C57" s="111">
        <v>0</v>
      </c>
      <c r="D57" s="111">
        <v>0</v>
      </c>
      <c r="E57" s="111">
        <v>6639.18</v>
      </c>
      <c r="F57" s="111">
        <v>0</v>
      </c>
      <c r="G57" s="111">
        <v>101.63</v>
      </c>
      <c r="H57" s="111">
        <v>0</v>
      </c>
      <c r="I57" s="111">
        <v>6740.81</v>
      </c>
      <c r="J57" s="111">
        <v>0</v>
      </c>
      <c r="K57" s="111">
        <v>6740.81</v>
      </c>
      <c r="L57" s="111">
        <v>0</v>
      </c>
    </row>
    <row r="58" spans="1:12" x14ac:dyDescent="0.25">
      <c r="A58" s="109" t="s">
        <v>697</v>
      </c>
      <c r="B58" s="110" t="s">
        <v>456</v>
      </c>
      <c r="C58" s="111">
        <v>0</v>
      </c>
      <c r="D58" s="111">
        <v>0</v>
      </c>
      <c r="E58" s="111">
        <v>42068.65</v>
      </c>
      <c r="F58" s="111">
        <v>0</v>
      </c>
      <c r="G58" s="111">
        <v>5201.2299999999996</v>
      </c>
      <c r="H58" s="111">
        <v>0</v>
      </c>
      <c r="I58" s="111">
        <v>47268.480000000003</v>
      </c>
      <c r="J58" s="111">
        <v>-1.4</v>
      </c>
      <c r="K58" s="111">
        <v>47269.88</v>
      </c>
      <c r="L58" s="111">
        <v>0</v>
      </c>
    </row>
    <row r="59" spans="1:12" x14ac:dyDescent="0.25">
      <c r="A59" s="109" t="s">
        <v>698</v>
      </c>
      <c r="B59" s="110" t="s">
        <v>478</v>
      </c>
      <c r="C59" s="111">
        <v>0</v>
      </c>
      <c r="D59" s="111">
        <v>0</v>
      </c>
      <c r="E59" s="111">
        <v>114176.54</v>
      </c>
      <c r="F59" s="111">
        <v>0</v>
      </c>
      <c r="G59" s="111">
        <v>12411.54</v>
      </c>
      <c r="H59" s="111">
        <v>1607.3</v>
      </c>
      <c r="I59" s="111">
        <v>126588.08</v>
      </c>
      <c r="J59" s="111">
        <v>1607.3</v>
      </c>
      <c r="K59" s="111">
        <v>124980.78</v>
      </c>
      <c r="L59" s="111">
        <v>0</v>
      </c>
    </row>
    <row r="60" spans="1:12" x14ac:dyDescent="0.25">
      <c r="A60" s="109" t="s">
        <v>699</v>
      </c>
      <c r="B60" s="110" t="s">
        <v>482</v>
      </c>
      <c r="C60" s="111">
        <v>0</v>
      </c>
      <c r="D60" s="111">
        <v>0</v>
      </c>
      <c r="E60" s="111">
        <v>39739.379999999997</v>
      </c>
      <c r="F60" s="111">
        <v>0</v>
      </c>
      <c r="G60" s="111">
        <v>4276.8500000000004</v>
      </c>
      <c r="H60" s="111">
        <v>565.70000000000005</v>
      </c>
      <c r="I60" s="111">
        <v>44016.23</v>
      </c>
      <c r="J60" s="111">
        <v>565.70000000000005</v>
      </c>
      <c r="K60" s="111">
        <v>43450.53</v>
      </c>
      <c r="L60" s="111">
        <v>0</v>
      </c>
    </row>
    <row r="61" spans="1:12" x14ac:dyDescent="0.25">
      <c r="A61" s="109" t="s">
        <v>700</v>
      </c>
      <c r="B61" s="110" t="s">
        <v>486</v>
      </c>
      <c r="C61" s="111">
        <v>0</v>
      </c>
      <c r="D61" s="111">
        <v>0</v>
      </c>
      <c r="E61" s="111">
        <v>7023.01</v>
      </c>
      <c r="F61" s="111">
        <v>0</v>
      </c>
      <c r="G61" s="111">
        <v>477.69</v>
      </c>
      <c r="H61" s="111">
        <v>0</v>
      </c>
      <c r="I61" s="111">
        <v>7500.7</v>
      </c>
      <c r="J61" s="111">
        <v>0</v>
      </c>
      <c r="K61" s="111">
        <v>7500.7</v>
      </c>
      <c r="L61" s="111">
        <v>0</v>
      </c>
    </row>
    <row r="62" spans="1:12" x14ac:dyDescent="0.25">
      <c r="A62" s="109" t="s">
        <v>701</v>
      </c>
      <c r="B62" s="110" t="s">
        <v>490</v>
      </c>
      <c r="C62" s="111">
        <v>0</v>
      </c>
      <c r="D62" s="111">
        <v>0</v>
      </c>
      <c r="E62" s="111">
        <v>542.03</v>
      </c>
      <c r="F62" s="111">
        <v>0</v>
      </c>
      <c r="G62" s="111">
        <v>553</v>
      </c>
      <c r="H62" s="111">
        <v>0</v>
      </c>
      <c r="I62" s="111">
        <v>1095.03</v>
      </c>
      <c r="J62" s="111">
        <v>0</v>
      </c>
      <c r="K62" s="111">
        <v>1095.03</v>
      </c>
      <c r="L62" s="111">
        <v>0</v>
      </c>
    </row>
    <row r="63" spans="1:12" x14ac:dyDescent="0.25">
      <c r="A63" s="109" t="s">
        <v>702</v>
      </c>
      <c r="B63" s="110" t="s">
        <v>492</v>
      </c>
      <c r="C63" s="111">
        <v>0</v>
      </c>
      <c r="D63" s="111">
        <v>0</v>
      </c>
      <c r="E63" s="111">
        <v>1858.81</v>
      </c>
      <c r="F63" s="111">
        <v>0</v>
      </c>
      <c r="G63" s="111">
        <v>0</v>
      </c>
      <c r="H63" s="111">
        <v>0</v>
      </c>
      <c r="I63" s="111">
        <v>1858.81</v>
      </c>
      <c r="J63" s="111">
        <v>0</v>
      </c>
      <c r="K63" s="111">
        <v>1858.81</v>
      </c>
      <c r="L63" s="111">
        <v>0</v>
      </c>
    </row>
    <row r="64" spans="1:12" x14ac:dyDescent="0.25">
      <c r="A64" s="109" t="s">
        <v>703</v>
      </c>
      <c r="B64" s="110" t="s">
        <v>494</v>
      </c>
      <c r="C64" s="111">
        <v>0</v>
      </c>
      <c r="D64" s="111">
        <v>0</v>
      </c>
      <c r="E64" s="111">
        <v>9055.68</v>
      </c>
      <c r="F64" s="111">
        <v>0</v>
      </c>
      <c r="G64" s="111">
        <v>0</v>
      </c>
      <c r="H64" s="111">
        <v>0</v>
      </c>
      <c r="I64" s="111">
        <v>9055.68</v>
      </c>
      <c r="J64" s="111">
        <v>0</v>
      </c>
      <c r="K64" s="111">
        <v>9055.68</v>
      </c>
      <c r="L64" s="111">
        <v>0</v>
      </c>
    </row>
    <row r="65" spans="1:12" x14ac:dyDescent="0.25">
      <c r="A65" s="109" t="s">
        <v>704</v>
      </c>
      <c r="B65" s="110" t="s">
        <v>496</v>
      </c>
      <c r="C65" s="111">
        <v>0</v>
      </c>
      <c r="D65" s="111">
        <v>0</v>
      </c>
      <c r="E65" s="111">
        <v>239.09</v>
      </c>
      <c r="F65" s="111">
        <v>0</v>
      </c>
      <c r="G65" s="111">
        <v>115</v>
      </c>
      <c r="H65" s="111">
        <v>0</v>
      </c>
      <c r="I65" s="111">
        <v>354.09</v>
      </c>
      <c r="J65" s="111">
        <v>0</v>
      </c>
      <c r="K65" s="111">
        <v>354.09</v>
      </c>
      <c r="L65" s="111">
        <v>0</v>
      </c>
    </row>
    <row r="66" spans="1:12" x14ac:dyDescent="0.25">
      <c r="A66" s="109" t="s">
        <v>705</v>
      </c>
      <c r="B66" s="110" t="s">
        <v>594</v>
      </c>
      <c r="C66" s="111">
        <v>0</v>
      </c>
      <c r="D66" s="111">
        <v>0</v>
      </c>
      <c r="E66" s="111">
        <v>5168.79</v>
      </c>
      <c r="F66" s="111">
        <v>0</v>
      </c>
      <c r="G66" s="111">
        <v>1003.76</v>
      </c>
      <c r="H66" s="111">
        <v>184.56</v>
      </c>
      <c r="I66" s="111">
        <v>6340.31</v>
      </c>
      <c r="J66" s="111">
        <v>352.32</v>
      </c>
      <c r="K66" s="111">
        <v>5987.99</v>
      </c>
      <c r="L66" s="111">
        <v>0</v>
      </c>
    </row>
    <row r="67" spans="1:12" x14ac:dyDescent="0.25">
      <c r="A67" s="109" t="s">
        <v>706</v>
      </c>
      <c r="B67" s="110" t="s">
        <v>707</v>
      </c>
      <c r="C67" s="111">
        <v>0</v>
      </c>
      <c r="D67" s="111">
        <v>0</v>
      </c>
      <c r="E67" s="111">
        <v>43094.66</v>
      </c>
      <c r="F67" s="111">
        <v>0</v>
      </c>
      <c r="G67" s="111">
        <v>3950.38</v>
      </c>
      <c r="H67" s="111">
        <v>0</v>
      </c>
      <c r="I67" s="111">
        <v>47045.04</v>
      </c>
      <c r="J67" s="111">
        <v>0</v>
      </c>
      <c r="K67" s="111">
        <v>47045.04</v>
      </c>
      <c r="L67" s="111">
        <v>0</v>
      </c>
    </row>
    <row r="68" spans="1:12" x14ac:dyDescent="0.25">
      <c r="A68" s="109" t="s">
        <v>708</v>
      </c>
      <c r="B68" s="110" t="s">
        <v>709</v>
      </c>
      <c r="C68" s="111">
        <v>0</v>
      </c>
      <c r="D68" s="111">
        <v>0</v>
      </c>
      <c r="E68" s="111">
        <v>14967.97</v>
      </c>
      <c r="F68" s="111">
        <v>0</v>
      </c>
      <c r="G68" s="111">
        <v>1921.67</v>
      </c>
      <c r="H68" s="111">
        <v>0</v>
      </c>
      <c r="I68" s="111">
        <v>16889.64</v>
      </c>
      <c r="J68" s="111">
        <v>0</v>
      </c>
      <c r="K68" s="111">
        <v>16889.64</v>
      </c>
      <c r="L68" s="111">
        <v>0</v>
      </c>
    </row>
    <row r="69" spans="1:12" x14ac:dyDescent="0.25">
      <c r="A69" s="109" t="s">
        <v>710</v>
      </c>
      <c r="B69" s="110" t="s">
        <v>711</v>
      </c>
      <c r="C69" s="111">
        <v>0</v>
      </c>
      <c r="D69" s="111">
        <v>0</v>
      </c>
      <c r="E69" s="111">
        <v>3107.92</v>
      </c>
      <c r="F69" s="111">
        <v>0</v>
      </c>
      <c r="G69" s="111">
        <v>538.53</v>
      </c>
      <c r="H69" s="111">
        <v>0</v>
      </c>
      <c r="I69" s="111">
        <v>3646.45</v>
      </c>
      <c r="J69" s="111">
        <v>0</v>
      </c>
      <c r="K69" s="111">
        <v>3646.45</v>
      </c>
      <c r="L69" s="111">
        <v>0</v>
      </c>
    </row>
    <row r="70" spans="1:12" x14ac:dyDescent="0.25">
      <c r="A70" s="109" t="s">
        <v>712</v>
      </c>
      <c r="B70" s="110" t="s">
        <v>536</v>
      </c>
      <c r="C70" s="111">
        <v>0</v>
      </c>
      <c r="D70" s="111">
        <v>0</v>
      </c>
      <c r="E70" s="111">
        <v>0</v>
      </c>
      <c r="F70" s="111">
        <v>0</v>
      </c>
      <c r="G70" s="111">
        <v>2932.9</v>
      </c>
      <c r="H70" s="111">
        <v>0</v>
      </c>
      <c r="I70" s="111">
        <v>2932.9</v>
      </c>
      <c r="J70" s="111">
        <v>0</v>
      </c>
      <c r="K70" s="111">
        <v>2932.9</v>
      </c>
      <c r="L70" s="111">
        <v>0</v>
      </c>
    </row>
    <row r="71" spans="1:12" x14ac:dyDescent="0.25">
      <c r="A71" s="109" t="s">
        <v>713</v>
      </c>
      <c r="B71" s="110" t="s">
        <v>540</v>
      </c>
      <c r="C71" s="111">
        <v>0</v>
      </c>
      <c r="D71" s="111">
        <v>0</v>
      </c>
      <c r="E71" s="111">
        <v>0</v>
      </c>
      <c r="F71" s="111">
        <v>30086.639999999999</v>
      </c>
      <c r="G71" s="111">
        <v>0</v>
      </c>
      <c r="H71" s="111">
        <v>7049.05</v>
      </c>
      <c r="I71" s="111">
        <v>0</v>
      </c>
      <c r="J71" s="111">
        <v>37135.69</v>
      </c>
      <c r="K71" s="111">
        <v>0</v>
      </c>
      <c r="L71" s="111">
        <v>37135.69</v>
      </c>
    </row>
    <row r="72" spans="1:12" x14ac:dyDescent="0.25">
      <c r="A72" s="109" t="s">
        <v>714</v>
      </c>
      <c r="B72" s="110" t="s">
        <v>715</v>
      </c>
      <c r="C72" s="111">
        <v>0</v>
      </c>
      <c r="D72" s="111">
        <v>0</v>
      </c>
      <c r="E72" s="111">
        <v>0</v>
      </c>
      <c r="F72" s="111">
        <v>807948.26</v>
      </c>
      <c r="G72" s="111">
        <v>0</v>
      </c>
      <c r="H72" s="111">
        <v>81538.259999999995</v>
      </c>
      <c r="I72" s="111">
        <v>0</v>
      </c>
      <c r="J72" s="111">
        <v>889486.52</v>
      </c>
      <c r="K72" s="111">
        <v>0</v>
      </c>
      <c r="L72" s="111">
        <v>889486.52</v>
      </c>
    </row>
    <row r="73" spans="1:12" x14ac:dyDescent="0.25">
      <c r="A73" s="109" t="s">
        <v>716</v>
      </c>
      <c r="B73" s="110" t="s">
        <v>717</v>
      </c>
      <c r="C73" s="111">
        <v>0</v>
      </c>
      <c r="D73" s="111">
        <v>0</v>
      </c>
      <c r="E73" s="111">
        <v>0</v>
      </c>
      <c r="F73" s="111">
        <v>1848</v>
      </c>
      <c r="G73" s="111">
        <v>0</v>
      </c>
      <c r="H73" s="111">
        <v>0</v>
      </c>
      <c r="I73" s="111">
        <v>0</v>
      </c>
      <c r="J73" s="111">
        <v>1848</v>
      </c>
      <c r="K73" s="111">
        <v>0</v>
      </c>
      <c r="L73" s="111">
        <v>1848</v>
      </c>
    </row>
    <row r="74" spans="1:12" x14ac:dyDescent="0.25">
      <c r="A74" s="109" t="s">
        <v>718</v>
      </c>
      <c r="B74" s="110" t="s">
        <v>550</v>
      </c>
      <c r="C74" s="111">
        <v>0</v>
      </c>
      <c r="D74" s="111">
        <v>0</v>
      </c>
      <c r="E74" s="111">
        <v>0</v>
      </c>
      <c r="F74" s="111">
        <v>750</v>
      </c>
      <c r="G74" s="111">
        <v>300</v>
      </c>
      <c r="H74" s="111">
        <v>750</v>
      </c>
      <c r="I74" s="111">
        <v>300</v>
      </c>
      <c r="J74" s="111">
        <v>1500</v>
      </c>
      <c r="K74" s="111">
        <v>0</v>
      </c>
      <c r="L74" s="111">
        <v>1200</v>
      </c>
    </row>
    <row r="75" spans="1:12" x14ac:dyDescent="0.25">
      <c r="A75" s="109" t="s">
        <v>720</v>
      </c>
      <c r="B75" s="110" t="s">
        <v>554</v>
      </c>
      <c r="C75" s="111">
        <v>0</v>
      </c>
      <c r="D75" s="111">
        <v>0</v>
      </c>
      <c r="E75" s="111">
        <v>0</v>
      </c>
      <c r="F75" s="111">
        <v>20000</v>
      </c>
      <c r="G75" s="111">
        <v>0</v>
      </c>
      <c r="H75" s="111">
        <v>0</v>
      </c>
      <c r="I75" s="111">
        <v>0</v>
      </c>
      <c r="J75" s="111">
        <v>20000</v>
      </c>
      <c r="K75" s="111">
        <v>0</v>
      </c>
      <c r="L75" s="111">
        <v>20000</v>
      </c>
    </row>
    <row r="76" spans="1:12" x14ac:dyDescent="0.25">
      <c r="A76" s="109" t="s">
        <v>721</v>
      </c>
      <c r="B76" s="110" t="s">
        <v>556</v>
      </c>
      <c r="C76" s="111">
        <v>0</v>
      </c>
      <c r="D76" s="111">
        <v>0</v>
      </c>
      <c r="E76" s="111">
        <v>0</v>
      </c>
      <c r="F76" s="111">
        <v>20351.84</v>
      </c>
      <c r="G76" s="111">
        <v>194.71</v>
      </c>
      <c r="H76" s="111">
        <v>6210.58</v>
      </c>
      <c r="I76" s="111">
        <v>194.5</v>
      </c>
      <c r="J76" s="111">
        <v>26562.21</v>
      </c>
      <c r="K76" s="111">
        <v>0</v>
      </c>
      <c r="L76" s="111">
        <v>26367.71</v>
      </c>
    </row>
    <row r="77" spans="1:12" x14ac:dyDescent="0.25">
      <c r="A77" s="109"/>
      <c r="B77" s="110"/>
      <c r="C77" s="111"/>
      <c r="D77" s="111"/>
      <c r="E77" s="111"/>
      <c r="F77" s="111"/>
      <c r="G77" s="111"/>
      <c r="H77" s="111"/>
      <c r="I77" s="111"/>
      <c r="J77" s="111"/>
      <c r="K77" s="111"/>
      <c r="L77" s="111"/>
    </row>
    <row r="78" spans="1:12" x14ac:dyDescent="0.25">
      <c r="A78" s="109"/>
      <c r="B78" s="110"/>
      <c r="C78" s="111"/>
      <c r="D78" s="111"/>
      <c r="E78" s="111"/>
      <c r="F78" s="111"/>
      <c r="G78" s="111"/>
      <c r="H78" s="111"/>
      <c r="I78" s="111"/>
      <c r="J78" s="111"/>
      <c r="K78" s="111"/>
      <c r="L78" s="111"/>
    </row>
    <row r="79" spans="1:12" x14ac:dyDescent="0.25">
      <c r="A79" s="109"/>
      <c r="B79" s="110"/>
      <c r="C79" s="111"/>
      <c r="D79" s="111"/>
      <c r="E79" s="111"/>
      <c r="F79" s="111"/>
      <c r="G79" s="111"/>
      <c r="H79" s="111"/>
      <c r="I79" s="111"/>
      <c r="J79" s="111"/>
      <c r="K79" s="111"/>
      <c r="L79" s="111"/>
    </row>
    <row r="80" spans="1:12" x14ac:dyDescent="0.25">
      <c r="A80" s="109"/>
      <c r="B80" s="110"/>
      <c r="C80" s="111"/>
      <c r="D80" s="111"/>
      <c r="E80" s="111"/>
      <c r="F80" s="111"/>
      <c r="G80" s="111"/>
      <c r="H80" s="111"/>
      <c r="I80" s="111"/>
      <c r="J80" s="111"/>
      <c r="K80" s="111"/>
      <c r="L80" s="111"/>
    </row>
    <row r="81" spans="1:12" x14ac:dyDescent="0.25">
      <c r="A81" s="109"/>
      <c r="B81" s="110"/>
      <c r="C81" s="111"/>
      <c r="D81" s="111"/>
      <c r="E81" s="111"/>
      <c r="F81" s="111"/>
      <c r="G81" s="111"/>
      <c r="H81" s="111"/>
      <c r="I81" s="111"/>
      <c r="J81" s="111"/>
      <c r="K81" s="111"/>
      <c r="L81" s="111"/>
    </row>
    <row r="82" spans="1:12" x14ac:dyDescent="0.25">
      <c r="A82" s="109"/>
      <c r="B82" s="110"/>
      <c r="C82" s="111"/>
      <c r="D82" s="111"/>
      <c r="E82" s="111"/>
      <c r="F82" s="111"/>
      <c r="G82" s="111"/>
      <c r="H82" s="111"/>
      <c r="I82" s="111"/>
      <c r="J82" s="111"/>
      <c r="K82" s="111"/>
      <c r="L82" s="111"/>
    </row>
    <row r="83" spans="1:12" x14ac:dyDescent="0.25">
      <c r="A83" s="109"/>
      <c r="B83" s="110"/>
      <c r="C83" s="111"/>
      <c r="D83" s="111"/>
      <c r="E83" s="111"/>
      <c r="F83" s="111"/>
      <c r="G83" s="111"/>
      <c r="H83" s="111"/>
      <c r="I83" s="111"/>
      <c r="J83" s="111"/>
      <c r="K83" s="111"/>
      <c r="L83" s="111"/>
    </row>
    <row r="84" spans="1:12" x14ac:dyDescent="0.25">
      <c r="A84" s="109"/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</row>
    <row r="85" spans="1:12" x14ac:dyDescent="0.25">
      <c r="A85" s="109"/>
      <c r="B85" s="110"/>
      <c r="C85" s="111"/>
      <c r="D85" s="111"/>
      <c r="E85" s="111"/>
      <c r="F85" s="111"/>
      <c r="G85" s="111"/>
      <c r="H85" s="111"/>
      <c r="I85" s="111"/>
      <c r="J85" s="111"/>
      <c r="K85" s="111"/>
      <c r="L85" s="111"/>
    </row>
    <row r="86" spans="1:12" x14ac:dyDescent="0.25">
      <c r="A86" s="109"/>
      <c r="B86" s="110"/>
      <c r="C86" s="111"/>
      <c r="D86" s="111"/>
      <c r="E86" s="111"/>
      <c r="F86" s="111"/>
      <c r="G86" s="111"/>
      <c r="H86" s="111"/>
      <c r="I86" s="111"/>
      <c r="J86" s="111"/>
      <c r="K86" s="111"/>
      <c r="L86" s="111"/>
    </row>
    <row r="87" spans="1:12" x14ac:dyDescent="0.25">
      <c r="A87" s="109"/>
      <c r="B87" s="110"/>
      <c r="C87" s="111"/>
      <c r="D87" s="111"/>
      <c r="E87" s="111"/>
      <c r="F87" s="111"/>
      <c r="G87" s="111"/>
      <c r="H87" s="111"/>
      <c r="I87" s="111"/>
      <c r="J87" s="111"/>
      <c r="K87" s="111"/>
      <c r="L87" s="111"/>
    </row>
    <row r="88" spans="1:12" x14ac:dyDescent="0.25">
      <c r="A88" s="109"/>
      <c r="B88" s="110"/>
      <c r="C88" s="111"/>
      <c r="D88" s="111"/>
      <c r="E88" s="111"/>
      <c r="F88" s="111"/>
      <c r="G88" s="111"/>
      <c r="H88" s="111"/>
      <c r="I88" s="111"/>
      <c r="J88" s="111"/>
      <c r="K88" s="111"/>
      <c r="L88" s="111"/>
    </row>
    <row r="89" spans="1:12" x14ac:dyDescent="0.25">
      <c r="A89" s="109"/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</row>
    <row r="90" spans="1:12" x14ac:dyDescent="0.25">
      <c r="A90" s="109"/>
      <c r="B90" s="110"/>
      <c r="C90" s="111"/>
      <c r="D90" s="111"/>
      <c r="E90" s="111"/>
      <c r="F90" s="111"/>
      <c r="G90" s="111"/>
      <c r="H90" s="111"/>
      <c r="I90" s="111"/>
      <c r="J90" s="111"/>
      <c r="K90" s="111"/>
      <c r="L90" s="111"/>
    </row>
    <row r="91" spans="1:12" x14ac:dyDescent="0.25">
      <c r="A91" s="109"/>
      <c r="B91" s="110"/>
      <c r="C91" s="111"/>
      <c r="D91" s="111"/>
      <c r="E91" s="111"/>
      <c r="F91" s="111"/>
      <c r="G91" s="111"/>
      <c r="H91" s="111"/>
      <c r="I91" s="111"/>
      <c r="J91" s="111"/>
      <c r="K91" s="111"/>
      <c r="L91" s="111"/>
    </row>
    <row r="92" spans="1:12" x14ac:dyDescent="0.25">
      <c r="A92" s="109"/>
      <c r="B92" s="110"/>
      <c r="C92" s="111"/>
      <c r="D92" s="111"/>
      <c r="E92" s="111"/>
      <c r="F92" s="111"/>
      <c r="G92" s="111"/>
      <c r="H92" s="111"/>
      <c r="I92" s="111"/>
      <c r="J92" s="111"/>
      <c r="K92" s="111"/>
      <c r="L92" s="111"/>
    </row>
    <row r="93" spans="1:12" x14ac:dyDescent="0.25">
      <c r="A93" s="109"/>
      <c r="B93" s="110"/>
      <c r="C93" s="111"/>
      <c r="D93" s="111"/>
      <c r="E93" s="111"/>
      <c r="F93" s="111"/>
      <c r="G93" s="111"/>
      <c r="H93" s="111"/>
      <c r="I93" s="111"/>
      <c r="J93" s="111"/>
      <c r="K93" s="111"/>
      <c r="L93" s="111"/>
    </row>
    <row r="94" spans="1:12" x14ac:dyDescent="0.25">
      <c r="A94" s="109"/>
      <c r="B94" s="110"/>
      <c r="C94" s="111"/>
      <c r="D94" s="111"/>
      <c r="E94" s="111"/>
      <c r="F94" s="111"/>
      <c r="G94" s="111"/>
      <c r="H94" s="111"/>
      <c r="I94" s="111"/>
      <c r="J94" s="111"/>
      <c r="K94" s="111"/>
      <c r="L94" s="111"/>
    </row>
    <row r="95" spans="1:12" x14ac:dyDescent="0.25">
      <c r="A95" s="109"/>
      <c r="B95" s="110"/>
      <c r="C95" s="111"/>
      <c r="D95" s="111"/>
      <c r="E95" s="111"/>
      <c r="F95" s="111"/>
      <c r="G95" s="111"/>
      <c r="H95" s="111"/>
      <c r="I95" s="111"/>
      <c r="J95" s="111"/>
      <c r="K95" s="111"/>
      <c r="L95" s="111"/>
    </row>
    <row r="96" spans="1:12" x14ac:dyDescent="0.25">
      <c r="A96" s="109"/>
      <c r="B96" s="110"/>
      <c r="C96" s="111"/>
      <c r="D96" s="111"/>
      <c r="E96" s="111"/>
      <c r="F96" s="111"/>
      <c r="G96" s="111"/>
      <c r="H96" s="111"/>
      <c r="I96" s="111"/>
      <c r="J96" s="111"/>
      <c r="K96" s="111"/>
      <c r="L96" s="111"/>
    </row>
    <row r="97" spans="1:12" x14ac:dyDescent="0.25">
      <c r="A97" s="109"/>
      <c r="B97" s="110"/>
      <c r="C97" s="111"/>
      <c r="D97" s="111"/>
      <c r="E97" s="111"/>
      <c r="F97" s="111"/>
      <c r="G97" s="111"/>
      <c r="H97" s="111"/>
      <c r="I97" s="111"/>
      <c r="J97" s="111"/>
      <c r="K97" s="111"/>
      <c r="L97" s="111"/>
    </row>
    <row r="98" spans="1:12" x14ac:dyDescent="0.25">
      <c r="A98" s="109"/>
      <c r="B98" s="110"/>
      <c r="C98" s="111"/>
      <c r="D98" s="111"/>
      <c r="E98" s="111"/>
      <c r="F98" s="111"/>
      <c r="G98" s="111"/>
      <c r="H98" s="111"/>
      <c r="I98" s="111"/>
      <c r="J98" s="111"/>
      <c r="K98" s="111"/>
      <c r="L98" s="111"/>
    </row>
    <row r="99" spans="1:12" x14ac:dyDescent="0.25">
      <c r="A99" s="109"/>
      <c r="B99" s="110"/>
      <c r="C99" s="111"/>
      <c r="D99" s="111"/>
      <c r="E99" s="111"/>
      <c r="F99" s="111"/>
      <c r="G99" s="111"/>
      <c r="H99" s="111"/>
      <c r="I99" s="111"/>
      <c r="J99" s="111"/>
      <c r="K99" s="111"/>
      <c r="L99" s="111"/>
    </row>
    <row r="100" spans="1:12" x14ac:dyDescent="0.25">
      <c r="A100" s="109"/>
      <c r="B100" s="110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</row>
    <row r="101" spans="1:12" x14ac:dyDescent="0.25">
      <c r="A101" s="109"/>
      <c r="B101" s="110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</row>
    <row r="102" spans="1:12" x14ac:dyDescent="0.25">
      <c r="A102" s="109"/>
      <c r="B102" s="110"/>
      <c r="C102" s="111"/>
      <c r="D102" s="111"/>
      <c r="E102" s="111"/>
      <c r="F102" s="111"/>
      <c r="G102" s="111"/>
      <c r="H102" s="111"/>
      <c r="I102" s="111"/>
      <c r="J102" s="111"/>
      <c r="K102" s="111"/>
      <c r="L102" s="111"/>
    </row>
    <row r="103" spans="1:12" x14ac:dyDescent="0.25">
      <c r="A103" s="109"/>
      <c r="B103" s="110"/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</row>
    <row r="104" spans="1:12" x14ac:dyDescent="0.25">
      <c r="A104" s="109"/>
      <c r="B104" s="110"/>
      <c r="C104" s="111"/>
      <c r="D104" s="111"/>
      <c r="E104" s="111"/>
      <c r="F104" s="111"/>
      <c r="G104" s="111"/>
      <c r="H104" s="111"/>
      <c r="I104" s="111"/>
      <c r="J104" s="111"/>
      <c r="K104" s="111"/>
      <c r="L104" s="111"/>
    </row>
    <row r="105" spans="1:12" x14ac:dyDescent="0.25">
      <c r="A105" s="109"/>
      <c r="B105" s="110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</row>
    <row r="106" spans="1:12" x14ac:dyDescent="0.25">
      <c r="A106" s="109"/>
      <c r="B106" s="110"/>
      <c r="C106" s="111"/>
      <c r="D106" s="111"/>
      <c r="E106" s="111"/>
      <c r="F106" s="111"/>
      <c r="G106" s="111"/>
      <c r="H106" s="111"/>
      <c r="I106" s="111"/>
      <c r="J106" s="111"/>
      <c r="K106" s="111"/>
      <c r="L106" s="111"/>
    </row>
    <row r="107" spans="1:12" x14ac:dyDescent="0.25">
      <c r="A107" s="109"/>
      <c r="B107" s="110"/>
      <c r="C107" s="111"/>
      <c r="D107" s="111"/>
      <c r="E107" s="111"/>
      <c r="F107" s="111"/>
      <c r="G107" s="111"/>
      <c r="H107" s="111"/>
      <c r="I107" s="111"/>
      <c r="J107" s="111"/>
      <c r="K107" s="111"/>
      <c r="L107" s="111"/>
    </row>
    <row r="108" spans="1:12" x14ac:dyDescent="0.25">
      <c r="A108" s="109"/>
      <c r="B108" s="110"/>
      <c r="C108" s="111"/>
      <c r="D108" s="111"/>
      <c r="E108" s="111"/>
      <c r="F108" s="111"/>
      <c r="G108" s="111"/>
      <c r="H108" s="111"/>
      <c r="I108" s="111"/>
      <c r="J108" s="111"/>
      <c r="K108" s="111"/>
      <c r="L108" s="111"/>
    </row>
    <row r="109" spans="1:12" x14ac:dyDescent="0.25">
      <c r="A109" s="109"/>
      <c r="B109" s="110"/>
      <c r="C109" s="111"/>
      <c r="D109" s="111"/>
      <c r="E109" s="111"/>
      <c r="F109" s="111"/>
      <c r="G109" s="111"/>
      <c r="H109" s="111"/>
      <c r="I109" s="111"/>
      <c r="J109" s="111"/>
      <c r="K109" s="111"/>
      <c r="L109" s="111"/>
    </row>
    <row r="110" spans="1:12" x14ac:dyDescent="0.25">
      <c r="A110" s="109"/>
      <c r="B110" s="110"/>
      <c r="C110" s="111"/>
      <c r="D110" s="111"/>
      <c r="E110" s="111"/>
      <c r="F110" s="111"/>
      <c r="G110" s="111"/>
      <c r="H110" s="111"/>
      <c r="I110" s="111"/>
      <c r="J110" s="111"/>
      <c r="K110" s="111"/>
      <c r="L110" s="111"/>
    </row>
    <row r="111" spans="1:12" x14ac:dyDescent="0.25">
      <c r="A111" s="109"/>
      <c r="B111" s="110"/>
      <c r="C111" s="111"/>
      <c r="D111" s="111"/>
      <c r="E111" s="111"/>
      <c r="F111" s="111"/>
      <c r="G111" s="111"/>
      <c r="H111" s="111"/>
      <c r="I111" s="111"/>
      <c r="J111" s="111"/>
      <c r="K111" s="111"/>
      <c r="L111" s="111"/>
    </row>
    <row r="112" spans="1:12" x14ac:dyDescent="0.25">
      <c r="A112" s="109"/>
      <c r="B112" s="110"/>
      <c r="C112" s="111"/>
      <c r="D112" s="111"/>
      <c r="E112" s="111"/>
      <c r="F112" s="111"/>
      <c r="G112" s="111"/>
      <c r="H112" s="111"/>
      <c r="I112" s="111"/>
      <c r="J112" s="111"/>
      <c r="K112" s="111"/>
      <c r="L112" s="111"/>
    </row>
    <row r="113" spans="1:12" x14ac:dyDescent="0.25">
      <c r="A113" s="109"/>
      <c r="B113" s="110"/>
      <c r="C113" s="111"/>
      <c r="D113" s="111"/>
      <c r="E113" s="111"/>
      <c r="F113" s="111"/>
      <c r="G113" s="111"/>
      <c r="H113" s="111"/>
      <c r="I113" s="111"/>
      <c r="J113" s="111"/>
      <c r="K113" s="111"/>
      <c r="L113" s="111"/>
    </row>
    <row r="114" spans="1:12" x14ac:dyDescent="0.25">
      <c r="A114" s="109"/>
      <c r="B114" s="110"/>
      <c r="C114" s="111"/>
      <c r="D114" s="111"/>
      <c r="E114" s="111"/>
      <c r="F114" s="111"/>
      <c r="G114" s="111"/>
      <c r="H114" s="111"/>
      <c r="I114" s="111"/>
      <c r="J114" s="111"/>
      <c r="K114" s="111"/>
      <c r="L114" s="111"/>
    </row>
    <row r="115" spans="1:12" x14ac:dyDescent="0.25">
      <c r="A115" s="109"/>
      <c r="B115" s="110"/>
      <c r="C115" s="111"/>
      <c r="D115" s="111"/>
      <c r="E115" s="111"/>
      <c r="F115" s="111"/>
      <c r="G115" s="111"/>
      <c r="H115" s="111"/>
      <c r="I115" s="111"/>
      <c r="J115" s="111"/>
      <c r="K115" s="111"/>
      <c r="L115" s="111"/>
    </row>
    <row r="116" spans="1:12" x14ac:dyDescent="0.25">
      <c r="A116" s="109"/>
      <c r="B116" s="110"/>
      <c r="C116" s="111"/>
      <c r="D116" s="111"/>
      <c r="E116" s="111"/>
      <c r="F116" s="111"/>
      <c r="G116" s="111"/>
      <c r="H116" s="111"/>
      <c r="I116" s="111"/>
      <c r="J116" s="111"/>
      <c r="K116" s="111"/>
      <c r="L116" s="111"/>
    </row>
    <row r="117" spans="1:12" x14ac:dyDescent="0.25">
      <c r="A117" s="109"/>
      <c r="B117" s="110"/>
      <c r="C117" s="111"/>
      <c r="D117" s="111"/>
      <c r="E117" s="111"/>
      <c r="F117" s="111"/>
      <c r="G117" s="111"/>
      <c r="H117" s="111"/>
      <c r="I117" s="111"/>
      <c r="J117" s="111"/>
      <c r="K117" s="111"/>
      <c r="L117" s="111"/>
    </row>
    <row r="118" spans="1:12" x14ac:dyDescent="0.25">
      <c r="A118" s="109"/>
      <c r="B118" s="110"/>
      <c r="C118" s="111"/>
      <c r="D118" s="111"/>
      <c r="E118" s="111"/>
      <c r="F118" s="111"/>
      <c r="G118" s="111"/>
      <c r="H118" s="111"/>
      <c r="I118" s="111"/>
      <c r="J118" s="111"/>
      <c r="K118" s="111"/>
      <c r="L118" s="111"/>
    </row>
    <row r="119" spans="1:12" x14ac:dyDescent="0.25">
      <c r="A119" s="109"/>
      <c r="B119" s="110"/>
      <c r="C119" s="111"/>
      <c r="D119" s="111"/>
      <c r="E119" s="111"/>
      <c r="F119" s="111"/>
      <c r="G119" s="111"/>
      <c r="H119" s="111"/>
      <c r="I119" s="111"/>
      <c r="J119" s="111"/>
      <c r="K119" s="111"/>
      <c r="L119" s="111"/>
    </row>
    <row r="120" spans="1:12" x14ac:dyDescent="0.25">
      <c r="A120" s="109"/>
      <c r="B120" s="110"/>
      <c r="C120" s="111"/>
      <c r="D120" s="111"/>
      <c r="E120" s="111"/>
      <c r="F120" s="111"/>
      <c r="G120" s="111"/>
      <c r="H120" s="111"/>
      <c r="I120" s="111"/>
      <c r="J120" s="111"/>
      <c r="K120" s="111"/>
      <c r="L120" s="111"/>
    </row>
    <row r="121" spans="1:12" x14ac:dyDescent="0.25">
      <c r="A121" s="109"/>
      <c r="B121" s="110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</row>
    <row r="122" spans="1:12" x14ac:dyDescent="0.25">
      <c r="A122" s="109"/>
      <c r="B122" s="110"/>
      <c r="C122" s="111"/>
      <c r="D122" s="111"/>
      <c r="E122" s="111"/>
      <c r="F122" s="111"/>
      <c r="G122" s="111"/>
      <c r="H122" s="111"/>
      <c r="I122" s="111"/>
      <c r="J122" s="111"/>
      <c r="K122" s="111"/>
      <c r="L122" s="111"/>
    </row>
    <row r="123" spans="1:12" x14ac:dyDescent="0.25">
      <c r="A123" s="109"/>
      <c r="B123" s="110"/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</row>
    <row r="124" spans="1:12" x14ac:dyDescent="0.25">
      <c r="A124" s="109"/>
      <c r="B124" s="110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workbookViewId="0">
      <selection activeCell="B23" sqref="B23"/>
    </sheetView>
  </sheetViews>
  <sheetFormatPr defaultColWidth="9.140625" defaultRowHeight="15" x14ac:dyDescent="0.25"/>
  <cols>
    <col min="1" max="1" width="8.28515625" style="115" bestFit="1" customWidth="1"/>
    <col min="2" max="2" width="86.140625" style="115" bestFit="1" customWidth="1"/>
    <col min="3" max="3" width="4.42578125" style="116" bestFit="1" customWidth="1"/>
    <col min="4" max="7" width="15.28515625" style="117" bestFit="1" customWidth="1"/>
    <col min="8" max="16384" width="9.140625" style="108"/>
  </cols>
  <sheetData>
    <row r="1" spans="1:7" ht="33.75" x14ac:dyDescent="0.25">
      <c r="A1" s="119" t="s">
        <v>150</v>
      </c>
      <c r="B1" s="119" t="s">
        <v>158</v>
      </c>
      <c r="C1" s="118" t="s">
        <v>171</v>
      </c>
      <c r="D1" s="120" t="s">
        <v>172</v>
      </c>
      <c r="E1" s="120" t="s">
        <v>173</v>
      </c>
      <c r="F1" s="120" t="s">
        <v>157</v>
      </c>
      <c r="G1" s="120" t="s">
        <v>155</v>
      </c>
    </row>
    <row r="2" spans="1:7" x14ac:dyDescent="0.25">
      <c r="A2" s="110" t="s">
        <v>723</v>
      </c>
      <c r="B2" s="110" t="s">
        <v>724</v>
      </c>
      <c r="C2" s="109" t="s">
        <v>725</v>
      </c>
      <c r="D2" s="111">
        <v>0</v>
      </c>
      <c r="E2" s="111">
        <v>0</v>
      </c>
      <c r="F2" s="111">
        <v>0</v>
      </c>
      <c r="G2" s="111">
        <v>0</v>
      </c>
    </row>
    <row r="3" spans="1:7" x14ac:dyDescent="0.25">
      <c r="A3" s="110" t="s">
        <v>726</v>
      </c>
      <c r="B3" s="110" t="s">
        <v>727</v>
      </c>
      <c r="C3" s="109" t="s">
        <v>728</v>
      </c>
      <c r="D3" s="111">
        <v>869436.3</v>
      </c>
      <c r="E3" s="111">
        <v>976037.92</v>
      </c>
      <c r="F3" s="111">
        <v>869437</v>
      </c>
      <c r="G3" s="111">
        <v>976039</v>
      </c>
    </row>
    <row r="4" spans="1:7" x14ac:dyDescent="0.25">
      <c r="A4" s="110" t="s">
        <v>729</v>
      </c>
      <c r="B4" s="110" t="s">
        <v>730</v>
      </c>
      <c r="C4" s="109" t="s">
        <v>731</v>
      </c>
      <c r="D4" s="111">
        <v>718181.95</v>
      </c>
      <c r="E4" s="111">
        <v>889486.52</v>
      </c>
      <c r="F4" s="111">
        <v>718182</v>
      </c>
      <c r="G4" s="111">
        <v>889487</v>
      </c>
    </row>
    <row r="5" spans="1:7" x14ac:dyDescent="0.25">
      <c r="A5" s="110" t="s">
        <v>732</v>
      </c>
      <c r="B5" s="110" t="s">
        <v>733</v>
      </c>
      <c r="C5" s="109" t="s">
        <v>734</v>
      </c>
      <c r="D5" s="111">
        <v>0</v>
      </c>
      <c r="E5" s="111">
        <v>0</v>
      </c>
      <c r="F5" s="111">
        <v>0</v>
      </c>
      <c r="G5" s="111">
        <v>0</v>
      </c>
    </row>
    <row r="6" spans="1:7" x14ac:dyDescent="0.25">
      <c r="A6" s="110" t="s">
        <v>735</v>
      </c>
      <c r="B6" s="110" t="s">
        <v>736</v>
      </c>
      <c r="C6" s="109" t="s">
        <v>737</v>
      </c>
      <c r="D6" s="111">
        <v>39607.71</v>
      </c>
      <c r="E6" s="111">
        <v>37135.69</v>
      </c>
      <c r="F6" s="111">
        <v>39608</v>
      </c>
      <c r="G6" s="111">
        <v>37136</v>
      </c>
    </row>
    <row r="7" spans="1:7" x14ac:dyDescent="0.25">
      <c r="A7" s="110" t="s">
        <v>738</v>
      </c>
      <c r="B7" s="110" t="s">
        <v>739</v>
      </c>
      <c r="C7" s="109" t="s">
        <v>740</v>
      </c>
      <c r="D7" s="111">
        <v>-478</v>
      </c>
      <c r="E7" s="111">
        <v>3048</v>
      </c>
      <c r="F7" s="111">
        <v>-478</v>
      </c>
      <c r="G7" s="111">
        <v>3048</v>
      </c>
    </row>
    <row r="8" spans="1:7" x14ac:dyDescent="0.25">
      <c r="A8" s="110" t="s">
        <v>741</v>
      </c>
      <c r="B8" s="110" t="s">
        <v>742</v>
      </c>
      <c r="C8" s="109" t="s">
        <v>743</v>
      </c>
      <c r="D8" s="111">
        <v>3500</v>
      </c>
      <c r="E8" s="111">
        <v>0</v>
      </c>
      <c r="F8" s="111">
        <v>3500</v>
      </c>
      <c r="G8" s="111">
        <v>0</v>
      </c>
    </row>
    <row r="9" spans="1:7" x14ac:dyDescent="0.25">
      <c r="A9" s="110" t="s">
        <v>744</v>
      </c>
      <c r="B9" s="110" t="s">
        <v>745</v>
      </c>
      <c r="C9" s="109" t="s">
        <v>746</v>
      </c>
      <c r="D9" s="111">
        <v>75000</v>
      </c>
      <c r="E9" s="111">
        <v>20000</v>
      </c>
      <c r="F9" s="111">
        <v>75000</v>
      </c>
      <c r="G9" s="111">
        <v>20000</v>
      </c>
    </row>
    <row r="10" spans="1:7" x14ac:dyDescent="0.25">
      <c r="A10" s="110" t="s">
        <v>747</v>
      </c>
      <c r="B10" s="110" t="s">
        <v>748</v>
      </c>
      <c r="C10" s="109" t="s">
        <v>749</v>
      </c>
      <c r="D10" s="111">
        <v>33624.639999999999</v>
      </c>
      <c r="E10" s="111">
        <v>26367.71</v>
      </c>
      <c r="F10" s="111">
        <v>33625</v>
      </c>
      <c r="G10" s="111">
        <v>26368</v>
      </c>
    </row>
    <row r="11" spans="1:7" x14ac:dyDescent="0.25">
      <c r="A11" s="110" t="s">
        <v>726</v>
      </c>
      <c r="B11" s="110" t="s">
        <v>750</v>
      </c>
      <c r="C11" s="109" t="s">
        <v>751</v>
      </c>
      <c r="D11" s="111">
        <v>803138.59</v>
      </c>
      <c r="E11" s="111">
        <v>954840.67</v>
      </c>
      <c r="F11" s="111">
        <v>803140</v>
      </c>
      <c r="G11" s="111">
        <v>954842</v>
      </c>
    </row>
    <row r="12" spans="1:7" x14ac:dyDescent="0.25">
      <c r="A12" s="110" t="s">
        <v>752</v>
      </c>
      <c r="B12" s="110" t="s">
        <v>753</v>
      </c>
      <c r="C12" s="109" t="s">
        <v>754</v>
      </c>
      <c r="D12" s="111">
        <v>478951.33</v>
      </c>
      <c r="E12" s="111">
        <v>633124.34</v>
      </c>
      <c r="F12" s="111">
        <v>478951</v>
      </c>
      <c r="G12" s="111">
        <v>633124</v>
      </c>
    </row>
    <row r="13" spans="1:7" x14ac:dyDescent="0.25">
      <c r="A13" s="110" t="s">
        <v>755</v>
      </c>
      <c r="B13" s="110" t="s">
        <v>756</v>
      </c>
      <c r="C13" s="109" t="s">
        <v>757</v>
      </c>
      <c r="D13" s="111">
        <v>19272.37</v>
      </c>
      <c r="E13" s="111">
        <v>26376.99</v>
      </c>
      <c r="F13" s="111">
        <v>19272</v>
      </c>
      <c r="G13" s="111">
        <v>26377</v>
      </c>
    </row>
    <row r="14" spans="1:7" x14ac:dyDescent="0.25">
      <c r="A14" s="110" t="s">
        <v>758</v>
      </c>
      <c r="B14" s="110" t="s">
        <v>759</v>
      </c>
      <c r="C14" s="109" t="s">
        <v>760</v>
      </c>
      <c r="D14" s="111">
        <v>0</v>
      </c>
      <c r="E14" s="111">
        <v>0</v>
      </c>
      <c r="F14" s="111">
        <v>0</v>
      </c>
      <c r="G14" s="111">
        <v>0</v>
      </c>
    </row>
    <row r="15" spans="1:7" x14ac:dyDescent="0.25">
      <c r="A15" s="110" t="s">
        <v>761</v>
      </c>
      <c r="B15" s="110" t="s">
        <v>762</v>
      </c>
      <c r="C15" s="109" t="s">
        <v>763</v>
      </c>
      <c r="D15" s="111">
        <v>42737.09</v>
      </c>
      <c r="E15" s="111">
        <v>54010.69</v>
      </c>
      <c r="F15" s="111">
        <v>42738</v>
      </c>
      <c r="G15" s="111">
        <v>54011</v>
      </c>
    </row>
    <row r="16" spans="1:7" x14ac:dyDescent="0.25">
      <c r="A16" s="110" t="s">
        <v>764</v>
      </c>
      <c r="B16" s="110" t="s">
        <v>765</v>
      </c>
      <c r="C16" s="109" t="s">
        <v>766</v>
      </c>
      <c r="D16" s="111">
        <v>154895.54999999999</v>
      </c>
      <c r="E16" s="111">
        <v>175932.01</v>
      </c>
      <c r="F16" s="111">
        <v>154896</v>
      </c>
      <c r="G16" s="111">
        <v>175933</v>
      </c>
    </row>
    <row r="17" spans="1:7" x14ac:dyDescent="0.25">
      <c r="A17" s="110" t="s">
        <v>767</v>
      </c>
      <c r="B17" s="110" t="s">
        <v>768</v>
      </c>
      <c r="C17" s="109" t="s">
        <v>769</v>
      </c>
      <c r="D17" s="111">
        <v>109692.71</v>
      </c>
      <c r="E17" s="111">
        <v>124980.78</v>
      </c>
      <c r="F17" s="111">
        <v>109693</v>
      </c>
      <c r="G17" s="111">
        <v>124981</v>
      </c>
    </row>
    <row r="18" spans="1:7" x14ac:dyDescent="0.25">
      <c r="A18" s="110">
        <v>2</v>
      </c>
      <c r="B18" s="110" t="s">
        <v>770</v>
      </c>
      <c r="C18" s="109" t="s">
        <v>771</v>
      </c>
      <c r="D18" s="111">
        <v>0</v>
      </c>
      <c r="E18" s="111">
        <v>0</v>
      </c>
      <c r="F18" s="111">
        <v>0</v>
      </c>
      <c r="G18" s="111">
        <v>0</v>
      </c>
    </row>
    <row r="19" spans="1:7" x14ac:dyDescent="0.25">
      <c r="A19" s="110">
        <v>3</v>
      </c>
      <c r="B19" s="110" t="s">
        <v>772</v>
      </c>
      <c r="C19" s="109" t="s">
        <v>773</v>
      </c>
      <c r="D19" s="111">
        <v>37852.129999999997</v>
      </c>
      <c r="E19" s="111">
        <v>43450.53</v>
      </c>
      <c r="F19" s="111">
        <v>37852</v>
      </c>
      <c r="G19" s="111">
        <v>43451</v>
      </c>
    </row>
    <row r="20" spans="1:7" x14ac:dyDescent="0.25">
      <c r="A20" s="110">
        <v>4</v>
      </c>
      <c r="B20" s="110" t="s">
        <v>774</v>
      </c>
      <c r="C20" s="109" t="s">
        <v>775</v>
      </c>
      <c r="D20" s="111">
        <v>7350.71</v>
      </c>
      <c r="E20" s="111">
        <v>7500.7</v>
      </c>
      <c r="F20" s="111">
        <v>7351</v>
      </c>
      <c r="G20" s="111">
        <v>7501</v>
      </c>
    </row>
    <row r="21" spans="1:7" x14ac:dyDescent="0.25">
      <c r="A21" s="110" t="s">
        <v>776</v>
      </c>
      <c r="B21" s="110" t="s">
        <v>777</v>
      </c>
      <c r="C21" s="109" t="s">
        <v>778</v>
      </c>
      <c r="D21" s="111">
        <v>2490.6999999999998</v>
      </c>
      <c r="E21" s="111">
        <v>2953.84</v>
      </c>
      <c r="F21" s="111">
        <v>2491</v>
      </c>
      <c r="G21" s="111">
        <v>2954</v>
      </c>
    </row>
    <row r="22" spans="1:7" x14ac:dyDescent="0.25">
      <c r="A22" s="110" t="s">
        <v>779</v>
      </c>
      <c r="B22" s="110" t="s">
        <v>780</v>
      </c>
      <c r="C22" s="109" t="s">
        <v>781</v>
      </c>
      <c r="D22" s="111">
        <v>43684.87</v>
      </c>
      <c r="E22" s="111">
        <v>47045.04</v>
      </c>
      <c r="F22" s="111">
        <v>43685</v>
      </c>
      <c r="G22" s="111">
        <v>47045</v>
      </c>
    </row>
    <row r="23" spans="1:7" x14ac:dyDescent="0.25">
      <c r="A23" s="110" t="s">
        <v>782</v>
      </c>
      <c r="B23" s="110" t="s">
        <v>783</v>
      </c>
      <c r="C23" s="109" t="s">
        <v>784</v>
      </c>
      <c r="D23" s="111">
        <v>43684.87</v>
      </c>
      <c r="E23" s="111">
        <v>47045.04</v>
      </c>
      <c r="F23" s="111">
        <v>43685</v>
      </c>
      <c r="G23" s="111">
        <v>47045</v>
      </c>
    </row>
    <row r="24" spans="1:7" x14ac:dyDescent="0.25">
      <c r="A24" s="110">
        <v>2</v>
      </c>
      <c r="B24" s="110" t="s">
        <v>785</v>
      </c>
      <c r="C24" s="109" t="s">
        <v>786</v>
      </c>
      <c r="D24" s="111">
        <v>0</v>
      </c>
      <c r="E24" s="111">
        <v>0</v>
      </c>
      <c r="F24" s="111">
        <v>0</v>
      </c>
      <c r="G24" s="111">
        <v>0</v>
      </c>
    </row>
    <row r="25" spans="1:7" x14ac:dyDescent="0.25">
      <c r="A25" s="110" t="s">
        <v>787</v>
      </c>
      <c r="B25" s="110" t="s">
        <v>788</v>
      </c>
      <c r="C25" s="109" t="s">
        <v>789</v>
      </c>
      <c r="D25" s="111">
        <v>54944.03</v>
      </c>
      <c r="E25" s="111">
        <v>9055.68</v>
      </c>
      <c r="F25" s="111">
        <v>54944</v>
      </c>
      <c r="G25" s="111">
        <v>9056</v>
      </c>
    </row>
    <row r="26" spans="1:7" x14ac:dyDescent="0.25">
      <c r="A26" s="110" t="s">
        <v>729</v>
      </c>
      <c r="B26" s="110" t="s">
        <v>790</v>
      </c>
      <c r="C26" s="109" t="s">
        <v>791</v>
      </c>
      <c r="D26" s="111">
        <v>0</v>
      </c>
      <c r="E26" s="111">
        <v>0</v>
      </c>
      <c r="F26" s="111">
        <v>0</v>
      </c>
      <c r="G26" s="111">
        <v>0</v>
      </c>
    </row>
    <row r="27" spans="1:7" x14ac:dyDescent="0.25">
      <c r="A27" s="110" t="s">
        <v>792</v>
      </c>
      <c r="B27" s="110" t="s">
        <v>793</v>
      </c>
      <c r="C27" s="109" t="s">
        <v>794</v>
      </c>
      <c r="D27" s="111">
        <v>6162.65</v>
      </c>
      <c r="E27" s="111">
        <v>6342.08</v>
      </c>
      <c r="F27" s="111">
        <v>6163</v>
      </c>
      <c r="G27" s="111">
        <v>6342</v>
      </c>
    </row>
    <row r="28" spans="1:7" x14ac:dyDescent="0.25">
      <c r="A28" s="110" t="s">
        <v>795</v>
      </c>
      <c r="B28" s="110" t="s">
        <v>796</v>
      </c>
      <c r="C28" s="109" t="s">
        <v>797</v>
      </c>
      <c r="D28" s="111">
        <v>66297.710000000006</v>
      </c>
      <c r="E28" s="111">
        <v>21197.25</v>
      </c>
      <c r="F28" s="111">
        <v>66297</v>
      </c>
      <c r="G28" s="111">
        <v>21197</v>
      </c>
    </row>
    <row r="29" spans="1:7" x14ac:dyDescent="0.25">
      <c r="A29" s="110" t="s">
        <v>723</v>
      </c>
      <c r="B29" s="110" t="s">
        <v>798</v>
      </c>
      <c r="C29" s="109" t="s">
        <v>799</v>
      </c>
      <c r="D29" s="111">
        <v>219850.87</v>
      </c>
      <c r="E29" s="111">
        <v>216158.19</v>
      </c>
      <c r="F29" s="111">
        <v>219851</v>
      </c>
      <c r="G29" s="111">
        <v>216159</v>
      </c>
    </row>
    <row r="30" spans="1:7" x14ac:dyDescent="0.25">
      <c r="A30" s="110" t="s">
        <v>726</v>
      </c>
      <c r="B30" s="110" t="s">
        <v>800</v>
      </c>
      <c r="C30" s="109" t="s">
        <v>801</v>
      </c>
      <c r="D30" s="111">
        <v>0</v>
      </c>
      <c r="E30" s="111">
        <v>0</v>
      </c>
      <c r="F30" s="111">
        <v>0</v>
      </c>
      <c r="G30" s="111">
        <v>0</v>
      </c>
    </row>
    <row r="31" spans="1:7" x14ac:dyDescent="0.25">
      <c r="A31" s="110" t="s">
        <v>802</v>
      </c>
      <c r="B31" s="110" t="s">
        <v>803</v>
      </c>
      <c r="C31" s="109" t="s">
        <v>804</v>
      </c>
      <c r="D31" s="111">
        <v>0</v>
      </c>
      <c r="E31" s="111">
        <v>0</v>
      </c>
      <c r="F31" s="111">
        <v>0</v>
      </c>
      <c r="G31" s="111">
        <v>0</v>
      </c>
    </row>
    <row r="32" spans="1:7" x14ac:dyDescent="0.25">
      <c r="A32" s="110" t="s">
        <v>805</v>
      </c>
      <c r="B32" s="110" t="s">
        <v>806</v>
      </c>
      <c r="C32" s="109" t="s">
        <v>807</v>
      </c>
      <c r="D32" s="111">
        <v>0</v>
      </c>
      <c r="E32" s="111">
        <v>0</v>
      </c>
      <c r="F32" s="111">
        <v>0</v>
      </c>
      <c r="G32" s="111">
        <v>0</v>
      </c>
    </row>
    <row r="33" spans="1:7" x14ac:dyDescent="0.25">
      <c r="A33" s="110" t="s">
        <v>808</v>
      </c>
      <c r="B33" s="110" t="s">
        <v>809</v>
      </c>
      <c r="C33" s="109" t="s">
        <v>810</v>
      </c>
      <c r="D33" s="111">
        <v>0</v>
      </c>
      <c r="E33" s="111">
        <v>0</v>
      </c>
      <c r="F33" s="111">
        <v>0</v>
      </c>
      <c r="G33" s="111">
        <v>0</v>
      </c>
    </row>
    <row r="34" spans="1:7" x14ac:dyDescent="0.25">
      <c r="A34" s="110">
        <v>2</v>
      </c>
      <c r="B34" s="110" t="s">
        <v>811</v>
      </c>
      <c r="C34" s="109" t="s">
        <v>812</v>
      </c>
      <c r="D34" s="111">
        <v>0</v>
      </c>
      <c r="E34" s="111">
        <v>0</v>
      </c>
      <c r="F34" s="111">
        <v>0</v>
      </c>
      <c r="G34" s="111">
        <v>0</v>
      </c>
    </row>
    <row r="35" spans="1:7" x14ac:dyDescent="0.25">
      <c r="A35" s="110">
        <v>3</v>
      </c>
      <c r="B35" s="110" t="s">
        <v>813</v>
      </c>
      <c r="C35" s="109" t="s">
        <v>814</v>
      </c>
      <c r="D35" s="111">
        <v>0</v>
      </c>
      <c r="E35" s="111">
        <v>0</v>
      </c>
      <c r="F35" s="111">
        <v>0</v>
      </c>
      <c r="G35" s="111">
        <v>0</v>
      </c>
    </row>
    <row r="36" spans="1:7" x14ac:dyDescent="0.25">
      <c r="A36" s="110" t="s">
        <v>815</v>
      </c>
      <c r="B36" s="110" t="s">
        <v>816</v>
      </c>
      <c r="C36" s="109" t="s">
        <v>817</v>
      </c>
      <c r="D36" s="111">
        <v>0</v>
      </c>
      <c r="E36" s="111">
        <v>0</v>
      </c>
      <c r="F36" s="111">
        <v>0</v>
      </c>
      <c r="G36" s="111">
        <v>0</v>
      </c>
    </row>
    <row r="37" spans="1:7" x14ac:dyDescent="0.25">
      <c r="A37" s="110" t="s">
        <v>818</v>
      </c>
      <c r="B37" s="110" t="s">
        <v>819</v>
      </c>
      <c r="C37" s="109" t="s">
        <v>820</v>
      </c>
      <c r="D37" s="111">
        <v>0</v>
      </c>
      <c r="E37" s="111">
        <v>0</v>
      </c>
      <c r="F37" s="111">
        <v>0</v>
      </c>
      <c r="G37" s="111">
        <v>0</v>
      </c>
    </row>
    <row r="38" spans="1:7" x14ac:dyDescent="0.25">
      <c r="A38" s="110">
        <v>2</v>
      </c>
      <c r="B38" s="110" t="s">
        <v>821</v>
      </c>
      <c r="C38" s="109" t="s">
        <v>822</v>
      </c>
      <c r="D38" s="111">
        <v>0</v>
      </c>
      <c r="E38" s="111">
        <v>0</v>
      </c>
      <c r="F38" s="111">
        <v>0</v>
      </c>
      <c r="G38" s="111">
        <v>0</v>
      </c>
    </row>
    <row r="39" spans="1:7" x14ac:dyDescent="0.25">
      <c r="A39" s="110">
        <v>3</v>
      </c>
      <c r="B39" s="110" t="s">
        <v>823</v>
      </c>
      <c r="C39" s="109" t="s">
        <v>824</v>
      </c>
      <c r="D39" s="111">
        <v>0</v>
      </c>
      <c r="E39" s="111">
        <v>0</v>
      </c>
      <c r="F39" s="111">
        <v>0</v>
      </c>
      <c r="G39" s="111">
        <v>0</v>
      </c>
    </row>
    <row r="40" spans="1:7" x14ac:dyDescent="0.25">
      <c r="A40" s="110" t="s">
        <v>825</v>
      </c>
      <c r="B40" s="110" t="s">
        <v>826</v>
      </c>
      <c r="C40" s="109" t="s">
        <v>827</v>
      </c>
      <c r="D40" s="111">
        <v>0</v>
      </c>
      <c r="E40" s="111">
        <v>0</v>
      </c>
      <c r="F40" s="111">
        <v>0</v>
      </c>
      <c r="G40" s="111">
        <v>0</v>
      </c>
    </row>
    <row r="41" spans="1:7" x14ac:dyDescent="0.25">
      <c r="A41" s="110" t="s">
        <v>828</v>
      </c>
      <c r="B41" s="110" t="s">
        <v>829</v>
      </c>
      <c r="C41" s="109" t="s">
        <v>830</v>
      </c>
      <c r="D41" s="111">
        <v>0</v>
      </c>
      <c r="E41" s="111">
        <v>0</v>
      </c>
      <c r="F41" s="111">
        <v>0</v>
      </c>
      <c r="G41" s="111">
        <v>0</v>
      </c>
    </row>
    <row r="42" spans="1:7" x14ac:dyDescent="0.25">
      <c r="A42" s="110">
        <v>2</v>
      </c>
      <c r="B42" s="110" t="s">
        <v>831</v>
      </c>
      <c r="C42" s="109" t="s">
        <v>832</v>
      </c>
      <c r="D42" s="111">
        <v>0</v>
      </c>
      <c r="E42" s="111">
        <v>0</v>
      </c>
      <c r="F42" s="111">
        <v>0</v>
      </c>
      <c r="G42" s="111">
        <v>0</v>
      </c>
    </row>
    <row r="43" spans="1:7" x14ac:dyDescent="0.25">
      <c r="A43" s="110" t="s">
        <v>833</v>
      </c>
      <c r="B43" s="110" t="s">
        <v>834</v>
      </c>
      <c r="C43" s="109" t="s">
        <v>835</v>
      </c>
      <c r="D43" s="111">
        <v>0</v>
      </c>
      <c r="E43" s="111">
        <v>0</v>
      </c>
      <c r="F43" s="111">
        <v>0</v>
      </c>
      <c r="G43" s="111">
        <v>0</v>
      </c>
    </row>
    <row r="44" spans="1:7" x14ac:dyDescent="0.25">
      <c r="A44" s="110" t="s">
        <v>836</v>
      </c>
      <c r="B44" s="110" t="s">
        <v>837</v>
      </c>
      <c r="C44" s="109" t="s">
        <v>838</v>
      </c>
      <c r="D44" s="111">
        <v>0</v>
      </c>
      <c r="E44" s="111">
        <v>0</v>
      </c>
      <c r="F44" s="111">
        <v>0</v>
      </c>
      <c r="G44" s="111">
        <v>0</v>
      </c>
    </row>
    <row r="45" spans="1:7" x14ac:dyDescent="0.25">
      <c r="A45" s="110" t="s">
        <v>839</v>
      </c>
      <c r="B45" s="110" t="s">
        <v>840</v>
      </c>
      <c r="C45" s="109" t="s">
        <v>841</v>
      </c>
      <c r="D45" s="111">
        <v>0</v>
      </c>
      <c r="E45" s="111">
        <v>0</v>
      </c>
      <c r="F45" s="111">
        <v>0</v>
      </c>
      <c r="G45" s="111">
        <v>0</v>
      </c>
    </row>
    <row r="46" spans="1:7" x14ac:dyDescent="0.25">
      <c r="A46" s="110" t="s">
        <v>726</v>
      </c>
      <c r="B46" s="110" t="s">
        <v>842</v>
      </c>
      <c r="C46" s="109" t="s">
        <v>843</v>
      </c>
      <c r="D46" s="111">
        <v>17344.849999999999</v>
      </c>
      <c r="E46" s="111">
        <v>20536.09</v>
      </c>
      <c r="F46" s="111">
        <v>17344</v>
      </c>
      <c r="G46" s="111">
        <v>20536</v>
      </c>
    </row>
    <row r="47" spans="1:7" x14ac:dyDescent="0.25">
      <c r="A47" s="110" t="s">
        <v>844</v>
      </c>
      <c r="B47" s="110" t="s">
        <v>845</v>
      </c>
      <c r="C47" s="109" t="s">
        <v>846</v>
      </c>
      <c r="D47" s="111">
        <v>0</v>
      </c>
      <c r="E47" s="111">
        <v>0</v>
      </c>
      <c r="F47" s="111">
        <v>0</v>
      </c>
      <c r="G47" s="111">
        <v>0</v>
      </c>
    </row>
    <row r="48" spans="1:7" x14ac:dyDescent="0.25">
      <c r="A48" s="110" t="s">
        <v>847</v>
      </c>
      <c r="B48" s="110" t="s">
        <v>848</v>
      </c>
      <c r="C48" s="109" t="s">
        <v>849</v>
      </c>
      <c r="D48" s="111">
        <v>0</v>
      </c>
      <c r="E48" s="111">
        <v>0</v>
      </c>
      <c r="F48" s="111">
        <v>0</v>
      </c>
      <c r="G48" s="111">
        <v>0</v>
      </c>
    </row>
    <row r="49" spans="1:7" x14ac:dyDescent="0.25">
      <c r="A49" s="110" t="s">
        <v>850</v>
      </c>
      <c r="B49" s="110" t="s">
        <v>851</v>
      </c>
      <c r="C49" s="109" t="s">
        <v>852</v>
      </c>
      <c r="D49" s="111">
        <v>0</v>
      </c>
      <c r="E49" s="111">
        <v>0</v>
      </c>
      <c r="F49" s="111">
        <v>0</v>
      </c>
      <c r="G49" s="111">
        <v>0</v>
      </c>
    </row>
    <row r="50" spans="1:7" x14ac:dyDescent="0.25">
      <c r="A50" s="110" t="s">
        <v>853</v>
      </c>
      <c r="B50" s="110" t="s">
        <v>854</v>
      </c>
      <c r="C50" s="109" t="s">
        <v>855</v>
      </c>
      <c r="D50" s="111">
        <v>13588.49</v>
      </c>
      <c r="E50" s="111">
        <v>16889.64</v>
      </c>
      <c r="F50" s="111">
        <v>13588</v>
      </c>
      <c r="G50" s="111">
        <v>16890</v>
      </c>
    </row>
    <row r="51" spans="1:7" x14ac:dyDescent="0.25">
      <c r="A51" s="110" t="s">
        <v>856</v>
      </c>
      <c r="B51" s="110" t="s">
        <v>857</v>
      </c>
      <c r="C51" s="109" t="s">
        <v>858</v>
      </c>
      <c r="D51" s="111">
        <v>0</v>
      </c>
      <c r="E51" s="111">
        <v>0</v>
      </c>
      <c r="F51" s="111">
        <v>0</v>
      </c>
      <c r="G51" s="111">
        <v>0</v>
      </c>
    </row>
    <row r="52" spans="1:7" x14ac:dyDescent="0.25">
      <c r="A52" s="110">
        <v>2</v>
      </c>
      <c r="B52" s="110" t="s">
        <v>859</v>
      </c>
      <c r="C52" s="109" t="s">
        <v>860</v>
      </c>
      <c r="D52" s="111">
        <v>13588.49</v>
      </c>
      <c r="E52" s="111">
        <v>16889.64</v>
      </c>
      <c r="F52" s="111">
        <v>13588</v>
      </c>
      <c r="G52" s="111">
        <v>16890</v>
      </c>
    </row>
    <row r="53" spans="1:7" x14ac:dyDescent="0.25">
      <c r="A53" s="110" t="s">
        <v>861</v>
      </c>
      <c r="B53" s="110" t="s">
        <v>862</v>
      </c>
      <c r="C53" s="109" t="s">
        <v>863</v>
      </c>
      <c r="D53" s="111">
        <v>0</v>
      </c>
      <c r="E53" s="111">
        <v>0</v>
      </c>
      <c r="F53" s="111">
        <v>0</v>
      </c>
      <c r="G53" s="111">
        <v>0</v>
      </c>
    </row>
    <row r="54" spans="1:7" x14ac:dyDescent="0.25">
      <c r="A54" s="110" t="s">
        <v>864</v>
      </c>
      <c r="B54" s="110" t="s">
        <v>865</v>
      </c>
      <c r="C54" s="109" t="s">
        <v>866</v>
      </c>
      <c r="D54" s="111">
        <v>0</v>
      </c>
      <c r="E54" s="111">
        <v>0</v>
      </c>
      <c r="F54" s="111">
        <v>0</v>
      </c>
      <c r="G54" s="111">
        <v>0</v>
      </c>
    </row>
    <row r="55" spans="1:7" x14ac:dyDescent="0.25">
      <c r="A55" s="110" t="s">
        <v>867</v>
      </c>
      <c r="B55" s="110" t="s">
        <v>868</v>
      </c>
      <c r="C55" s="109" t="s">
        <v>869</v>
      </c>
      <c r="D55" s="111">
        <v>3756.36</v>
      </c>
      <c r="E55" s="111">
        <v>3646.45</v>
      </c>
      <c r="F55" s="111">
        <v>3756</v>
      </c>
      <c r="G55" s="111">
        <v>3646</v>
      </c>
    </row>
    <row r="56" spans="1:7" x14ac:dyDescent="0.25">
      <c r="A56" s="110" t="s">
        <v>795</v>
      </c>
      <c r="B56" s="110" t="s">
        <v>870</v>
      </c>
      <c r="C56" s="109" t="s">
        <v>871</v>
      </c>
      <c r="D56" s="111">
        <v>-17344.849999999999</v>
      </c>
      <c r="E56" s="111">
        <v>-20536.09</v>
      </c>
      <c r="F56" s="111">
        <v>-17344</v>
      </c>
      <c r="G56" s="111">
        <v>-20536</v>
      </c>
    </row>
    <row r="57" spans="1:7" x14ac:dyDescent="0.25">
      <c r="A57" s="110" t="s">
        <v>872</v>
      </c>
      <c r="B57" s="110" t="s">
        <v>873</v>
      </c>
      <c r="C57" s="109" t="s">
        <v>874</v>
      </c>
      <c r="D57" s="111">
        <v>48952.86</v>
      </c>
      <c r="E57" s="111">
        <v>661.16</v>
      </c>
      <c r="F57" s="111">
        <v>48953</v>
      </c>
      <c r="G57" s="111">
        <v>661</v>
      </c>
    </row>
    <row r="58" spans="1:7" x14ac:dyDescent="0.25">
      <c r="A58" s="110" t="s">
        <v>875</v>
      </c>
      <c r="B58" s="110" t="s">
        <v>876</v>
      </c>
      <c r="C58" s="109" t="s">
        <v>877</v>
      </c>
      <c r="D58" s="111">
        <v>10078.879999999999</v>
      </c>
      <c r="E58" s="111">
        <v>2932.9</v>
      </c>
      <c r="F58" s="111">
        <v>10079</v>
      </c>
      <c r="G58" s="111">
        <v>2933</v>
      </c>
    </row>
    <row r="59" spans="1:7" x14ac:dyDescent="0.25">
      <c r="A59" s="110" t="s">
        <v>878</v>
      </c>
      <c r="B59" s="110" t="s">
        <v>879</v>
      </c>
      <c r="C59" s="109" t="s">
        <v>880</v>
      </c>
      <c r="D59" s="111">
        <v>10078.879999999999</v>
      </c>
      <c r="E59" s="111">
        <v>2932.9</v>
      </c>
      <c r="F59" s="111">
        <v>10079</v>
      </c>
      <c r="G59" s="111">
        <v>2933</v>
      </c>
    </row>
    <row r="60" spans="1:7" x14ac:dyDescent="0.25">
      <c r="A60" s="110">
        <v>2</v>
      </c>
      <c r="B60" s="110" t="s">
        <v>881</v>
      </c>
      <c r="C60" s="109" t="s">
        <v>882</v>
      </c>
      <c r="D60" s="111">
        <v>0</v>
      </c>
      <c r="E60" s="111">
        <v>0</v>
      </c>
      <c r="F60" s="111">
        <v>0</v>
      </c>
      <c r="G60" s="111">
        <v>0</v>
      </c>
    </row>
    <row r="61" spans="1:7" x14ac:dyDescent="0.25">
      <c r="A61" s="110" t="s">
        <v>883</v>
      </c>
      <c r="B61" s="110" t="s">
        <v>884</v>
      </c>
      <c r="C61" s="109" t="s">
        <v>885</v>
      </c>
      <c r="D61" s="111">
        <v>0</v>
      </c>
      <c r="E61" s="111">
        <v>0</v>
      </c>
      <c r="F61" s="111">
        <v>0</v>
      </c>
      <c r="G61" s="111">
        <v>0</v>
      </c>
    </row>
    <row r="62" spans="1:7" x14ac:dyDescent="0.25">
      <c r="A62" s="110" t="s">
        <v>872</v>
      </c>
      <c r="B62" s="110" t="s">
        <v>886</v>
      </c>
      <c r="C62" s="109" t="s">
        <v>887</v>
      </c>
      <c r="D62" s="111">
        <v>38873.980000000003</v>
      </c>
      <c r="E62" s="111">
        <v>-2271.7399999999998</v>
      </c>
      <c r="F62" s="111">
        <v>38874</v>
      </c>
      <c r="G62" s="111">
        <v>-2272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</sheetPr>
  <dimension ref="A1:M53"/>
  <sheetViews>
    <sheetView showGridLines="0" zoomScaleNormal="100" workbookViewId="0">
      <selection activeCell="E16" sqref="E16"/>
    </sheetView>
  </sheetViews>
  <sheetFormatPr defaultRowHeight="15" x14ac:dyDescent="0.25"/>
  <cols>
    <col min="1" max="1" width="29.42578125" customWidth="1"/>
    <col min="2" max="9" width="12.5703125" customWidth="1"/>
  </cols>
  <sheetData>
    <row r="1" spans="1:12" ht="16.5" x14ac:dyDescent="0.3">
      <c r="A1" s="1" t="s">
        <v>186</v>
      </c>
    </row>
    <row r="2" spans="1:12" ht="17.25" thickBot="1" x14ac:dyDescent="0.35">
      <c r="A2" s="2" t="s">
        <v>7</v>
      </c>
    </row>
    <row r="3" spans="1:12" ht="15" customHeight="1" thickTop="1" thickBot="1" x14ac:dyDescent="0.3">
      <c r="A3" s="235" t="s">
        <v>11</v>
      </c>
      <c r="B3" s="240" t="s">
        <v>2</v>
      </c>
      <c r="C3" s="241"/>
      <c r="D3" s="241"/>
      <c r="E3" s="241"/>
      <c r="F3" s="241"/>
      <c r="G3" s="241"/>
      <c r="H3" s="241"/>
      <c r="I3" s="242"/>
    </row>
    <row r="4" spans="1:12" ht="35.25" customHeight="1" thickTop="1" thickBot="1" x14ac:dyDescent="0.3">
      <c r="A4" s="236"/>
      <c r="B4" s="23" t="s">
        <v>133</v>
      </c>
      <c r="C4" s="87" t="s">
        <v>12</v>
      </c>
      <c r="D4" s="87" t="s">
        <v>134</v>
      </c>
      <c r="E4" s="86" t="s">
        <v>13</v>
      </c>
      <c r="F4" s="23" t="s">
        <v>14</v>
      </c>
      <c r="G4" s="87" t="s">
        <v>135</v>
      </c>
      <c r="H4" s="87" t="s">
        <v>15</v>
      </c>
      <c r="I4" s="87" t="s">
        <v>8</v>
      </c>
    </row>
    <row r="5" spans="1:12" ht="15" customHeight="1" thickTop="1" thickBot="1" x14ac:dyDescent="0.3">
      <c r="A5" s="24" t="s">
        <v>16</v>
      </c>
      <c r="B5" s="25"/>
      <c r="C5" s="25"/>
      <c r="D5" s="25"/>
      <c r="E5" s="25"/>
      <c r="F5" s="25"/>
      <c r="G5" s="25"/>
      <c r="H5" s="25"/>
      <c r="I5" s="26"/>
    </row>
    <row r="6" spans="1:12" ht="16.5" thickTop="1" thickBot="1" x14ac:dyDescent="0.3">
      <c r="A6" s="27" t="s">
        <v>17</v>
      </c>
      <c r="B6" s="137">
        <f>SUMIF(HK!A:A,"012*",HK!C:C)-SUMIF(HK!A:A,"012*",HK!D:D)</f>
        <v>0</v>
      </c>
      <c r="C6" s="137">
        <f>SUMIF(HK!A:A,"013*",HK!C:C)-SUMIF(HK!A:A,"013*",HK!D:D)</f>
        <v>25980.799999999999</v>
      </c>
      <c r="D6" s="137">
        <f>SUMIF(HK!A:A,"014*",HK!C:C)-SUMIF(HK!A:A,"014*",HK!D:D)</f>
        <v>12126.66</v>
      </c>
      <c r="E6" s="137">
        <f>SUMIF(HK!A:A,"015*",HK!C:C)-SUMIF(HK!A:A,"015*",HK!D:D)</f>
        <v>0</v>
      </c>
      <c r="F6" s="137">
        <f>SUMIF(HK!A:A,"019*",HK!C:C)-SUMIF(HK!A:A,"019*",HK!D:D)</f>
        <v>0</v>
      </c>
      <c r="G6" s="137">
        <f>SUMIF(HK!A:A,"041*",HK!C:C)-SUMIF(HK!A:A,"041*",HK!D:D)</f>
        <v>0</v>
      </c>
      <c r="H6" s="137">
        <f>SUMIF(HK!A:A,"051*",HK!C:C)-SUMIF(HK!A:A,"051*",HK!D:D)</f>
        <v>0</v>
      </c>
      <c r="I6" s="122">
        <f>SUM(B6:H6)</f>
        <v>38107.46</v>
      </c>
      <c r="J6" s="107"/>
      <c r="K6" s="123"/>
      <c r="L6" s="107"/>
    </row>
    <row r="7" spans="1:12" ht="25.5" customHeight="1" thickBot="1" x14ac:dyDescent="0.3">
      <c r="A7" s="10" t="s">
        <v>18</v>
      </c>
      <c r="B7" s="101"/>
      <c r="C7" s="137"/>
      <c r="D7" s="137"/>
      <c r="E7" s="137"/>
      <c r="F7" s="137"/>
      <c r="G7" s="137"/>
      <c r="H7" s="137"/>
      <c r="I7" s="122">
        <f>SUM(B7:H7)</f>
        <v>0</v>
      </c>
      <c r="J7" s="107"/>
      <c r="K7" s="107"/>
      <c r="L7" s="107"/>
    </row>
    <row r="8" spans="1:12" ht="15" customHeight="1" thickBot="1" x14ac:dyDescent="0.3">
      <c r="A8" s="10" t="s">
        <v>19</v>
      </c>
      <c r="B8" s="101"/>
      <c r="C8" s="101"/>
      <c r="D8" s="101"/>
      <c r="E8" s="101"/>
      <c r="F8" s="102"/>
      <c r="G8" s="101"/>
      <c r="H8" s="101"/>
      <c r="I8" s="122">
        <f t="shared" ref="I8:I9" si="0">SUM(B8:H8)</f>
        <v>0</v>
      </c>
      <c r="J8" s="107"/>
      <c r="K8" s="107"/>
      <c r="L8" s="107"/>
    </row>
    <row r="9" spans="1:12" ht="23.25" customHeight="1" thickBot="1" x14ac:dyDescent="0.3">
      <c r="A9" s="10" t="s">
        <v>20</v>
      </c>
      <c r="B9" s="101"/>
      <c r="C9" s="137"/>
      <c r="D9" s="137"/>
      <c r="E9" s="137"/>
      <c r="F9" s="137"/>
      <c r="G9" s="137"/>
      <c r="H9" s="137"/>
      <c r="I9" s="122">
        <f t="shared" si="0"/>
        <v>0</v>
      </c>
      <c r="J9" s="107"/>
      <c r="K9" s="107"/>
      <c r="L9" s="107"/>
    </row>
    <row r="10" spans="1:12" ht="15.75" thickBot="1" x14ac:dyDescent="0.3">
      <c r="A10" s="19" t="s">
        <v>21</v>
      </c>
      <c r="B10" s="137">
        <f>SUMIF(HK!A:A,"012*",HK!K:K)-SUMIF(HK!A:A,"012*",HK!L:L)</f>
        <v>0</v>
      </c>
      <c r="C10" s="137">
        <f>SUMIF(HK!A:A,"013*",HK!K:K)-SUMIF(HK!A:A,"013*",HK!L:L)</f>
        <v>25980.799999999999</v>
      </c>
      <c r="D10" s="137">
        <f>SUMIF(HK!A:A,"014*",HK!K:K)-SUMIF(HK!A:A,"014*",HK!L:L)</f>
        <v>12126.66</v>
      </c>
      <c r="E10" s="137">
        <f>SUMIF(HK!A:A,"015*",HK!K:K)-SUMIF(HK!A:A,"015*",HK!L:L)</f>
        <v>0</v>
      </c>
      <c r="F10" s="137">
        <f>SUMIF(HK!A:A,"019*",HK!K:K)-SUMIF(HK!A:A,"019*",HK!L:L)</f>
        <v>0</v>
      </c>
      <c r="G10" s="137">
        <f>SUMIF(HK!A:A,"041*",HK!K:K)-SUMIF(HK!A:A,"041*",HK!L:L)</f>
        <v>0</v>
      </c>
      <c r="H10" s="137">
        <f>SUMIF(HK!A:A,"051*",HK!K:K)-SUMIF(HK!A:A,"051*",HK!L:L)</f>
        <v>0</v>
      </c>
      <c r="I10" s="124">
        <f>I6+I7-I8+I9</f>
        <v>38107.46</v>
      </c>
      <c r="J10" s="107"/>
      <c r="K10" s="123"/>
      <c r="L10" s="107"/>
    </row>
    <row r="11" spans="1:12" ht="15" customHeight="1" thickTop="1" thickBot="1" x14ac:dyDescent="0.3">
      <c r="A11" s="24" t="s">
        <v>22</v>
      </c>
      <c r="B11" s="138"/>
      <c r="C11" s="138"/>
      <c r="D11" s="139"/>
      <c r="E11" s="138"/>
      <c r="F11" s="138"/>
      <c r="G11" s="138"/>
      <c r="H11" s="138"/>
      <c r="I11" s="126"/>
      <c r="J11" s="107"/>
      <c r="K11" s="107"/>
      <c r="L11" s="107"/>
    </row>
    <row r="12" spans="1:12" ht="16.5" thickTop="1" thickBot="1" x14ac:dyDescent="0.3">
      <c r="A12" s="27" t="s">
        <v>23</v>
      </c>
      <c r="B12" s="137">
        <f>SUMIF(HK!A:A,"071*",HK!D:D)-SUMIF(HK!A:A,"071*",HK!C:C)</f>
        <v>0</v>
      </c>
      <c r="C12" s="137">
        <f>SUMIF(HK!A:A,"073*",HK!D:D)-SUMIF(HK!A:A,"073*",HK!C:C)</f>
        <v>25980.799999999999</v>
      </c>
      <c r="D12" s="140">
        <f>SUMIF(HK!A:A,"074*",HK!D:D)-SUMIF(HK!A:A,"074*",HK!C:C)</f>
        <v>1515.84</v>
      </c>
      <c r="E12" s="137">
        <f>SUMIF(HK!A:A,"075*",HK!D:D)-SUMIF(HK!A:A,"075*",HK!C:C)</f>
        <v>0</v>
      </c>
      <c r="F12" s="137">
        <f>SUMIF(HK!A:A,"079*",HK!D:D)-SUMIF(HK!A:A,"079*",HK!C:C)</f>
        <v>0</v>
      </c>
      <c r="G12" s="141"/>
      <c r="H12" s="141"/>
      <c r="I12" s="122">
        <f>SUM(B12:H12)</f>
        <v>27496.639999999999</v>
      </c>
      <c r="J12" s="107"/>
      <c r="K12" s="123"/>
      <c r="L12" s="107"/>
    </row>
    <row r="13" spans="1:12" ht="22.5" customHeight="1" thickBot="1" x14ac:dyDescent="0.3">
      <c r="A13" s="10" t="s">
        <v>18</v>
      </c>
      <c r="B13" s="101"/>
      <c r="C13" s="137"/>
      <c r="D13" s="137"/>
      <c r="E13" s="137"/>
      <c r="F13" s="137"/>
      <c r="G13" s="127"/>
      <c r="H13" s="127"/>
      <c r="I13" s="122">
        <f t="shared" ref="I13:I14" si="1">SUM(B13:H13)</f>
        <v>0</v>
      </c>
      <c r="J13" s="107"/>
      <c r="K13" s="107"/>
      <c r="L13" s="107"/>
    </row>
    <row r="14" spans="1:12" ht="21.75" customHeight="1" thickBot="1" x14ac:dyDescent="0.3">
      <c r="A14" s="10" t="s">
        <v>19</v>
      </c>
      <c r="B14" s="137"/>
      <c r="C14" s="137"/>
      <c r="D14" s="137"/>
      <c r="E14" s="137"/>
      <c r="F14" s="137"/>
      <c r="G14" s="127"/>
      <c r="H14" s="127"/>
      <c r="I14" s="122">
        <f t="shared" si="1"/>
        <v>0</v>
      </c>
      <c r="J14" s="107"/>
      <c r="K14" s="107"/>
      <c r="L14" s="107"/>
    </row>
    <row r="15" spans="1:12" ht="21.75" customHeight="1" thickBot="1" x14ac:dyDescent="0.3">
      <c r="A15" s="70" t="s">
        <v>20</v>
      </c>
      <c r="B15" s="137"/>
      <c r="C15" s="137"/>
      <c r="D15" s="137"/>
      <c r="E15" s="137"/>
      <c r="F15" s="137"/>
      <c r="G15" s="216"/>
      <c r="H15" s="217"/>
      <c r="I15" s="218"/>
      <c r="J15" s="107"/>
      <c r="K15" s="107"/>
      <c r="L15" s="107"/>
    </row>
    <row r="16" spans="1:12" ht="15.75" thickBot="1" x14ac:dyDescent="0.3">
      <c r="A16" s="19" t="s">
        <v>21</v>
      </c>
      <c r="B16" s="137">
        <f>SUMIF(HK!A:A,"071*",HK!L:L)-SUMIF(HK!A:A,"071*",HK!K:K)</f>
        <v>0</v>
      </c>
      <c r="C16" s="137">
        <f>SUMIF(HK!A:A,"073*",HK!L:L)-SUMIF(HK!A:A,"073*",HK!K:K)</f>
        <v>25980.799999999999</v>
      </c>
      <c r="D16" s="137">
        <f>SUMIF(HK!A:A,"074*",HK!L:L)-SUMIF(HK!A:A,"074*",HK!K:K)</f>
        <v>2526.4</v>
      </c>
      <c r="E16" s="137">
        <f>SUMIF(HK!A:A,"075*",HK!L:L)-SUMIF(HK!A:A,"075*",HK!K:K)</f>
        <v>0</v>
      </c>
      <c r="F16" s="137">
        <f>SUMIF(HK!A:A,"079*",HK!L:L)-SUMIF(HK!A:A,"079*",HK!K:K)</f>
        <v>0</v>
      </c>
      <c r="G16" s="128"/>
      <c r="H16" s="128"/>
      <c r="I16" s="124">
        <f>I12+I13-I14</f>
        <v>27496.639999999999</v>
      </c>
      <c r="J16" s="107"/>
      <c r="K16" s="123"/>
      <c r="L16" s="107"/>
    </row>
    <row r="17" spans="1:13" ht="15" customHeight="1" thickTop="1" thickBot="1" x14ac:dyDescent="0.3">
      <c r="A17" s="24" t="s">
        <v>24</v>
      </c>
      <c r="B17" s="138"/>
      <c r="C17" s="138"/>
      <c r="D17" s="138"/>
      <c r="E17" s="138"/>
      <c r="F17" s="138"/>
      <c r="G17" s="138"/>
      <c r="H17" s="138"/>
      <c r="I17" s="126"/>
      <c r="J17" s="107"/>
      <c r="K17" s="107"/>
      <c r="L17" s="107"/>
    </row>
    <row r="18" spans="1:13" ht="16.5" thickTop="1" thickBot="1" x14ac:dyDescent="0.3">
      <c r="A18" s="27" t="s">
        <v>23</v>
      </c>
      <c r="B18" s="137"/>
      <c r="C18" s="137"/>
      <c r="D18" s="137"/>
      <c r="E18" s="137"/>
      <c r="F18" s="137"/>
      <c r="G18" s="137">
        <f>SUMIF(HK!A:A,"093*",HK!D:D)-SUMIF(HK!A:A,"093*",HK!C:C)</f>
        <v>0</v>
      </c>
      <c r="H18" s="137">
        <f>SUMIF(SUAM!C:C,"010",SUAM!E:E)</f>
        <v>0</v>
      </c>
      <c r="I18" s="122">
        <f>SUM(B18:H18)</f>
        <v>0</v>
      </c>
      <c r="J18" s="107"/>
      <c r="K18" s="123"/>
      <c r="L18" s="129"/>
      <c r="M18" s="90"/>
    </row>
    <row r="19" spans="1:13" ht="15" customHeight="1" thickBot="1" x14ac:dyDescent="0.3">
      <c r="A19" s="10" t="s">
        <v>18</v>
      </c>
      <c r="B19" s="101"/>
      <c r="C19" s="101"/>
      <c r="D19" s="101"/>
      <c r="E19" s="101"/>
      <c r="F19" s="101"/>
      <c r="G19" s="101"/>
      <c r="H19" s="101"/>
      <c r="I19" s="122">
        <f t="shared" ref="I19:I20" si="2">SUM(B19:H19)</f>
        <v>0</v>
      </c>
      <c r="J19" s="107"/>
      <c r="K19" s="130"/>
      <c r="L19" s="107"/>
    </row>
    <row r="20" spans="1:13" ht="15" customHeight="1" thickBot="1" x14ac:dyDescent="0.3">
      <c r="A20" s="10" t="s">
        <v>19</v>
      </c>
      <c r="B20" s="101"/>
      <c r="C20" s="101"/>
      <c r="D20" s="101"/>
      <c r="E20" s="101"/>
      <c r="F20" s="101"/>
      <c r="G20" s="101"/>
      <c r="H20" s="101"/>
      <c r="I20" s="122">
        <f t="shared" si="2"/>
        <v>0</v>
      </c>
      <c r="J20" s="107"/>
      <c r="K20" s="130"/>
      <c r="L20" s="107"/>
    </row>
    <row r="21" spans="1:13" ht="15" customHeight="1" thickBot="1" x14ac:dyDescent="0.3">
      <c r="A21" s="70" t="s">
        <v>20</v>
      </c>
      <c r="B21" s="101"/>
      <c r="C21" s="101"/>
      <c r="D21" s="101"/>
      <c r="E21" s="101"/>
      <c r="F21" s="101"/>
      <c r="G21" s="101"/>
      <c r="H21" s="101"/>
      <c r="I21" s="219"/>
      <c r="J21" s="107"/>
      <c r="K21" s="130"/>
      <c r="L21" s="107"/>
    </row>
    <row r="22" spans="1:13" ht="15.75" thickBot="1" x14ac:dyDescent="0.3">
      <c r="A22" s="19" t="s">
        <v>21</v>
      </c>
      <c r="B22" s="137"/>
      <c r="C22" s="137"/>
      <c r="D22" s="137"/>
      <c r="E22" s="137"/>
      <c r="F22" s="137"/>
      <c r="G22" s="137">
        <f>SUMIF(HK!A:A,"093*",HK!L:L)-SUMIF(HK!A:A,"093*",HK!K:K)</f>
        <v>0</v>
      </c>
      <c r="H22" s="137">
        <f>SUMIF(SUA!C:C,"010",SUA!E:E)</f>
        <v>0</v>
      </c>
      <c r="I22" s="124">
        <f>I18+I19-I20</f>
        <v>0</v>
      </c>
      <c r="J22" s="107"/>
      <c r="K22" s="123"/>
      <c r="L22" s="129"/>
      <c r="M22" s="90"/>
    </row>
    <row r="23" spans="1:13" ht="15" customHeight="1" thickTop="1" thickBot="1" x14ac:dyDescent="0.3">
      <c r="A23" s="24" t="s">
        <v>25</v>
      </c>
      <c r="B23" s="138"/>
      <c r="C23" s="138"/>
      <c r="D23" s="138"/>
      <c r="E23" s="138"/>
      <c r="F23" s="138"/>
      <c r="G23" s="138"/>
      <c r="H23" s="138"/>
      <c r="I23" s="126"/>
      <c r="J23" s="107"/>
      <c r="K23" s="107"/>
      <c r="L23" s="107"/>
    </row>
    <row r="24" spans="1:13" ht="15" customHeight="1" thickTop="1" thickBot="1" x14ac:dyDescent="0.3">
      <c r="A24" s="27" t="s">
        <v>23</v>
      </c>
      <c r="B24" s="127"/>
      <c r="C24" s="127"/>
      <c r="D24" s="127"/>
      <c r="E24" s="127"/>
      <c r="F24" s="127"/>
      <c r="G24" s="127"/>
      <c r="H24" s="127"/>
      <c r="I24" s="122">
        <f>I6-I12-I18</f>
        <v>10610.82</v>
      </c>
      <c r="J24" s="107"/>
      <c r="K24" s="107"/>
      <c r="L24" s="107"/>
    </row>
    <row r="25" spans="1:13" ht="15" customHeight="1" thickBot="1" x14ac:dyDescent="0.3">
      <c r="A25" s="19" t="s">
        <v>21</v>
      </c>
      <c r="B25" s="128"/>
      <c r="C25" s="128"/>
      <c r="D25" s="128"/>
      <c r="E25" s="128"/>
      <c r="F25" s="128"/>
      <c r="G25" s="128"/>
      <c r="H25" s="128"/>
      <c r="I25" s="124">
        <f>I10-I16-I22</f>
        <v>10610.82</v>
      </c>
      <c r="J25" s="107"/>
      <c r="K25" s="107"/>
      <c r="L25" s="107"/>
    </row>
    <row r="26" spans="1:13" ht="15.75" thickTop="1" x14ac:dyDescent="0.25">
      <c r="A26" s="29"/>
      <c r="B26" s="131"/>
      <c r="C26" s="131"/>
      <c r="D26" s="131"/>
      <c r="E26" s="131"/>
      <c r="F26" s="131"/>
      <c r="G26" s="131"/>
      <c r="H26" s="131"/>
      <c r="I26" s="131"/>
      <c r="J26" s="107"/>
      <c r="K26" s="107"/>
      <c r="L26" s="107"/>
    </row>
    <row r="27" spans="1:13" x14ac:dyDescent="0.25">
      <c r="A27" s="30"/>
      <c r="B27" s="132"/>
      <c r="C27" s="132"/>
      <c r="D27" s="132"/>
      <c r="E27" s="132"/>
      <c r="F27" s="132"/>
      <c r="G27" s="132"/>
      <c r="H27" s="132"/>
      <c r="I27" s="132"/>
      <c r="J27" s="107"/>
      <c r="K27" s="107"/>
      <c r="L27" s="107"/>
    </row>
    <row r="28" spans="1:13" x14ac:dyDescent="0.25">
      <c r="A28" s="30" t="s">
        <v>9</v>
      </c>
      <c r="B28" s="132"/>
      <c r="C28" s="132"/>
      <c r="D28" s="132"/>
      <c r="E28" s="132"/>
      <c r="F28" s="132"/>
      <c r="G28" s="132"/>
      <c r="H28" s="132"/>
      <c r="I28" s="132"/>
      <c r="J28" s="107"/>
      <c r="K28" s="107"/>
      <c r="L28" s="107"/>
    </row>
    <row r="29" spans="1:13" ht="15.75" thickBot="1" x14ac:dyDescent="0.3">
      <c r="A29" s="29"/>
      <c r="B29" s="131"/>
      <c r="C29" s="131"/>
      <c r="D29" s="131"/>
      <c r="E29" s="131"/>
      <c r="F29" s="131"/>
      <c r="G29" s="131"/>
      <c r="H29" s="131"/>
      <c r="I29" s="132"/>
      <c r="J29" s="107"/>
      <c r="K29" s="107"/>
      <c r="L29" s="107"/>
    </row>
    <row r="30" spans="1:13" ht="15" customHeight="1" thickTop="1" thickBot="1" x14ac:dyDescent="0.3">
      <c r="A30" s="235" t="s">
        <v>11</v>
      </c>
      <c r="B30" s="237" t="s">
        <v>3</v>
      </c>
      <c r="C30" s="238"/>
      <c r="D30" s="238"/>
      <c r="E30" s="238"/>
      <c r="F30" s="238"/>
      <c r="G30" s="238"/>
      <c r="H30" s="238"/>
      <c r="I30" s="239"/>
      <c r="J30" s="107"/>
      <c r="K30" s="107"/>
      <c r="L30" s="107"/>
    </row>
    <row r="31" spans="1:13" ht="35.25" thickTop="1" thickBot="1" x14ac:dyDescent="0.3">
      <c r="A31" s="236"/>
      <c r="B31" s="133" t="s">
        <v>133</v>
      </c>
      <c r="C31" s="134" t="s">
        <v>12</v>
      </c>
      <c r="D31" s="134" t="s">
        <v>134</v>
      </c>
      <c r="E31" s="135" t="s">
        <v>13</v>
      </c>
      <c r="F31" s="133" t="s">
        <v>14</v>
      </c>
      <c r="G31" s="134" t="s">
        <v>135</v>
      </c>
      <c r="H31" s="134" t="s">
        <v>15</v>
      </c>
      <c r="I31" s="134" t="s">
        <v>8</v>
      </c>
      <c r="J31" s="107"/>
      <c r="K31" s="107"/>
      <c r="L31" s="107"/>
    </row>
    <row r="32" spans="1:13" ht="15" customHeight="1" thickTop="1" thickBot="1" x14ac:dyDescent="0.3">
      <c r="A32" s="24" t="s">
        <v>16</v>
      </c>
      <c r="B32" s="125"/>
      <c r="C32" s="125"/>
      <c r="D32" s="125"/>
      <c r="E32" s="125"/>
      <c r="F32" s="125"/>
      <c r="G32" s="125"/>
      <c r="H32" s="125"/>
      <c r="I32" s="126"/>
      <c r="J32" s="107"/>
      <c r="K32" s="107"/>
      <c r="L32" s="107"/>
    </row>
    <row r="33" spans="1:13" ht="16.5" thickTop="1" thickBot="1" x14ac:dyDescent="0.3">
      <c r="A33" s="27" t="s">
        <v>17</v>
      </c>
      <c r="B33" s="137">
        <f>SUMIF(HKM!A:A,"012*",HKM!C:C)-SUMIF(HKM!A:A,"012*",HKM!D:D)</f>
        <v>0</v>
      </c>
      <c r="C33" s="137">
        <f>SUMIF(HKM!A:A,"013*",HKM!C:C)-SUMIF(HKM!A:A,"013*",HKM!D:D)</f>
        <v>25980.799999999999</v>
      </c>
      <c r="D33" s="137">
        <f>SUMIF(HKM!A:A,"014*",HKM!C:C)-SUMIF(HKM!A:A,"014*",HKM!D:D)</f>
        <v>12126.66</v>
      </c>
      <c r="E33" s="137">
        <f>SUMIF(HKM!A:A,"015*",HKM!C:C)-SUMIF(HKM!A:A,"015*",HKM!D:D)</f>
        <v>0</v>
      </c>
      <c r="F33" s="137">
        <f>SUMIF(HKM!A:A,"019*",HKM!C:C)-SUMIF(HKM!A:A,"019*",HKM!D:D)</f>
        <v>0</v>
      </c>
      <c r="G33" s="137">
        <f>SUMIF(HKM!A:A,"041*",HKM!C:C)-SUMIF(HKM!A:A,"041*",HKM!D:D)</f>
        <v>0</v>
      </c>
      <c r="H33" s="137">
        <f>SUMIF(HKM!A:A,"051*",HKM!C:C)-SUMIF(HKM!A:A,"051*",HKM!D:D)</f>
        <v>0</v>
      </c>
      <c r="I33" s="122">
        <f>SUM(B33:H33)</f>
        <v>38107.46</v>
      </c>
      <c r="J33" s="107"/>
      <c r="K33" s="123"/>
      <c r="L33" s="107"/>
    </row>
    <row r="34" spans="1:13" ht="15" customHeight="1" thickBot="1" x14ac:dyDescent="0.3">
      <c r="A34" s="10" t="s">
        <v>18</v>
      </c>
      <c r="B34" s="101"/>
      <c r="C34" s="101"/>
      <c r="D34" s="101"/>
      <c r="E34" s="101"/>
      <c r="F34" s="102"/>
      <c r="G34" s="101"/>
      <c r="H34" s="101"/>
      <c r="I34" s="122">
        <f>SUM(B34:H34)</f>
        <v>0</v>
      </c>
      <c r="J34" s="107"/>
      <c r="K34" s="107"/>
      <c r="L34" s="107"/>
    </row>
    <row r="35" spans="1:13" ht="15" customHeight="1" thickBot="1" x14ac:dyDescent="0.3">
      <c r="A35" s="10" t="s">
        <v>19</v>
      </c>
      <c r="B35" s="101"/>
      <c r="C35" s="101"/>
      <c r="D35" s="101"/>
      <c r="E35" s="101"/>
      <c r="F35" s="102"/>
      <c r="G35" s="101"/>
      <c r="H35" s="101"/>
      <c r="I35" s="122">
        <f t="shared" ref="I35:I36" si="3">SUM(B35:H35)</f>
        <v>0</v>
      </c>
      <c r="J35" s="107"/>
      <c r="K35" s="107"/>
      <c r="L35" s="107"/>
    </row>
    <row r="36" spans="1:13" ht="15" customHeight="1" thickBot="1" x14ac:dyDescent="0.3">
      <c r="A36" s="10" t="s">
        <v>20</v>
      </c>
      <c r="B36" s="101"/>
      <c r="C36" s="101"/>
      <c r="D36" s="101"/>
      <c r="E36" s="101"/>
      <c r="F36" s="102"/>
      <c r="G36" s="101"/>
      <c r="H36" s="101"/>
      <c r="I36" s="122">
        <f t="shared" si="3"/>
        <v>0</v>
      </c>
      <c r="J36" s="107"/>
      <c r="K36" s="107"/>
      <c r="L36" s="107"/>
    </row>
    <row r="37" spans="1:13" ht="15.75" thickBot="1" x14ac:dyDescent="0.3">
      <c r="A37" s="19" t="s">
        <v>21</v>
      </c>
      <c r="B37" s="137">
        <f>SUMIF(HKM!A:A,"012*",HKM!K:K)-SUMIF(HKM!A:A,"012*",HKM!L:L)</f>
        <v>0</v>
      </c>
      <c r="C37" s="137">
        <f>SUMIF(HKM!A:A,"013*",HKM!K:K)-SUMIF(HKM!A:A,"013*",HKM!L:L)</f>
        <v>25980.799999999999</v>
      </c>
      <c r="D37" s="137">
        <f>SUMIF(HKM!A:A,"014*",HKM!K:K)-SUMIF(HKM!A:A,"014*",HKM!L:L)</f>
        <v>12126.66</v>
      </c>
      <c r="E37" s="137">
        <f>SUMIF(HKM!A:A,"015*",HKM!K:K)-SUMIF(HKM!A:A,"015*",HKM!L:L)</f>
        <v>0</v>
      </c>
      <c r="F37" s="137">
        <f>SUMIF(HKM!A:A,"019*",HKM!K:K)-SUMIF(HKM!A:A,"019*",HKM!L:L)</f>
        <v>0</v>
      </c>
      <c r="G37" s="137">
        <f>SUMIF(HKM!A:A,"041*",HKM!K:K)-SUMIF(HKM!A:A,"041*",HKM!L:L)</f>
        <v>0</v>
      </c>
      <c r="H37" s="137">
        <f>SUMIF(HKM!A:A,"051*",HKM!K:K)-SUMIF(HKM!A:A,"051*",HKM!L:L)</f>
        <v>0</v>
      </c>
      <c r="I37" s="124">
        <f>I33+I34-I35+I36</f>
        <v>38107.46</v>
      </c>
      <c r="J37" s="107"/>
      <c r="K37" s="123"/>
      <c r="L37" s="107"/>
    </row>
    <row r="38" spans="1:13" ht="15" customHeight="1" thickTop="1" thickBot="1" x14ac:dyDescent="0.3">
      <c r="A38" s="24" t="s">
        <v>22</v>
      </c>
      <c r="B38" s="142"/>
      <c r="C38" s="142"/>
      <c r="D38" s="142"/>
      <c r="E38" s="142"/>
      <c r="F38" s="142"/>
      <c r="G38" s="142"/>
      <c r="H38" s="142"/>
      <c r="I38" s="126"/>
      <c r="J38" s="107"/>
      <c r="K38" s="107"/>
      <c r="L38" s="107"/>
    </row>
    <row r="39" spans="1:13" ht="16.5" thickTop="1" thickBot="1" x14ac:dyDescent="0.3">
      <c r="A39" s="27" t="s">
        <v>23</v>
      </c>
      <c r="B39" s="137">
        <f>SUMIF(HKM!A:A,"071*",HKM!D:D)-SUMIF(HKM!A:A,"071*",HKM!C:C)</f>
        <v>0</v>
      </c>
      <c r="C39" s="137">
        <f>SUMIF(HKM!A:A,"073*",HKM!D:D)-SUMIF(HKM!A:A,"073*",HKM!C:C)</f>
        <v>25980.799999999999</v>
      </c>
      <c r="D39" s="137">
        <f>SUMIF(HKM!A:A,"074*",HKM!D:D)-SUMIF(HKM!A:A,"074*",HKM!C:C)</f>
        <v>505.28</v>
      </c>
      <c r="E39" s="137">
        <f>SUMIF(HKM!A:A,"075*",HKM!D:D)-SUMIF(HKM!A:A,"075*",HKM!C:C)</f>
        <v>0</v>
      </c>
      <c r="F39" s="137">
        <f>SUMIF(HKM!A:A,"079*",HKM!D:D)-SUMIF(HKM!A:A,"079*",HKM!C:C)</f>
        <v>0</v>
      </c>
      <c r="G39" s="137"/>
      <c r="H39" s="137"/>
      <c r="I39" s="122">
        <f>SUM(B39:H39)</f>
        <v>26486.079999999998</v>
      </c>
      <c r="J39" s="107"/>
      <c r="K39" s="123"/>
      <c r="L39" s="107"/>
    </row>
    <row r="40" spans="1:13" ht="15" customHeight="1" thickBot="1" x14ac:dyDescent="0.3">
      <c r="A40" s="10" t="s">
        <v>18</v>
      </c>
      <c r="B40" s="101"/>
      <c r="C40" s="101"/>
      <c r="D40" s="101"/>
      <c r="E40" s="101"/>
      <c r="F40" s="101"/>
      <c r="G40" s="101"/>
      <c r="H40" s="101"/>
      <c r="I40" s="122">
        <f t="shared" ref="I40:I41" si="4">SUM(B40:H40)</f>
        <v>0</v>
      </c>
      <c r="J40" s="107"/>
      <c r="K40" s="107"/>
      <c r="L40" s="107"/>
    </row>
    <row r="41" spans="1:13" ht="15" customHeight="1" thickBot="1" x14ac:dyDescent="0.3">
      <c r="A41" s="72" t="s">
        <v>19</v>
      </c>
      <c r="B41" s="220"/>
      <c r="C41" s="220"/>
      <c r="D41" s="220"/>
      <c r="E41" s="220"/>
      <c r="F41" s="220"/>
      <c r="G41" s="220"/>
      <c r="H41" s="220"/>
      <c r="I41" s="215">
        <f t="shared" si="4"/>
        <v>0</v>
      </c>
      <c r="J41" s="107"/>
      <c r="K41" s="107"/>
      <c r="L41" s="107"/>
    </row>
    <row r="42" spans="1:13" s="108" customFormat="1" ht="15" customHeight="1" thickBot="1" x14ac:dyDescent="0.3">
      <c r="A42" s="223" t="s">
        <v>20</v>
      </c>
      <c r="B42" s="222"/>
      <c r="C42" s="222"/>
      <c r="D42" s="222"/>
      <c r="E42" s="222"/>
      <c r="F42" s="222"/>
      <c r="G42" s="222"/>
      <c r="H42" s="222"/>
      <c r="I42" s="216"/>
      <c r="J42" s="221"/>
      <c r="K42" s="221"/>
      <c r="L42" s="221"/>
    </row>
    <row r="43" spans="1:13" ht="15.75" thickBot="1" x14ac:dyDescent="0.3">
      <c r="A43" s="19" t="s">
        <v>21</v>
      </c>
      <c r="B43" s="137">
        <f>SUMIF(HKM!A:A,"071*",HKM!L:L)-SUMIF(HKM!A:A,"071*",HKM!K:K)</f>
        <v>0</v>
      </c>
      <c r="C43" s="137">
        <f>SUMIF(HKM!A:A,"073*",HKM!L:L)-SUMIF(HKM!A:A,"073*",HKM!K:K)</f>
        <v>25980.799999999999</v>
      </c>
      <c r="D43" s="137">
        <f>SUMIF(HKM!A:A,"074*",HKM!L:L)-SUMIF(HKM!A:A,"074*",HKM!K:K)</f>
        <v>1515.84</v>
      </c>
      <c r="E43" s="137">
        <f>SUMIF(HKM!A:A,"075*",HKM!L:L)-SUMIF(HKM!A:A,"075*",HKM!K:K)</f>
        <v>0</v>
      </c>
      <c r="F43" s="137">
        <f>SUMIF(HKM!A:A,"079*",HKM!L:L)-SUMIF(HKM!A:A,"079*",HKM!K:K)</f>
        <v>0</v>
      </c>
      <c r="G43" s="104"/>
      <c r="H43" s="104"/>
      <c r="I43" s="124">
        <f>I39+I40-I41</f>
        <v>26486.079999999998</v>
      </c>
      <c r="J43" s="107"/>
      <c r="K43" s="123"/>
      <c r="L43" s="107"/>
    </row>
    <row r="44" spans="1:13" ht="15" customHeight="1" thickTop="1" thickBot="1" x14ac:dyDescent="0.3">
      <c r="A44" s="24" t="s">
        <v>24</v>
      </c>
      <c r="B44" s="142"/>
      <c r="C44" s="142"/>
      <c r="D44" s="142"/>
      <c r="E44" s="142"/>
      <c r="F44" s="142"/>
      <c r="G44" s="142"/>
      <c r="H44" s="142"/>
      <c r="I44" s="126"/>
      <c r="J44" s="107"/>
      <c r="K44" s="107"/>
      <c r="L44" s="107"/>
    </row>
    <row r="45" spans="1:13" ht="16.5" thickTop="1" thickBot="1" x14ac:dyDescent="0.3">
      <c r="A45" s="27" t="s">
        <v>23</v>
      </c>
      <c r="B45" s="137"/>
      <c r="C45" s="137"/>
      <c r="D45" s="137"/>
      <c r="E45" s="137"/>
      <c r="F45" s="137"/>
      <c r="G45" s="137">
        <f>SUMIF(HKM!A:A,"093*",HKM!D:D)-SUMIF(HKM!A:A,"093*",HKM!C:C)</f>
        <v>0</v>
      </c>
      <c r="H45" s="137"/>
      <c r="I45" s="122">
        <f>SUM(B45:H45)</f>
        <v>0</v>
      </c>
      <c r="J45" s="107"/>
      <c r="K45" s="123"/>
      <c r="L45" s="136"/>
      <c r="M45" s="90"/>
    </row>
    <row r="46" spans="1:13" ht="15" customHeight="1" thickBot="1" x14ac:dyDescent="0.3">
      <c r="A46" s="10" t="s">
        <v>18</v>
      </c>
      <c r="B46" s="101"/>
      <c r="C46" s="101"/>
      <c r="D46" s="101"/>
      <c r="E46" s="101"/>
      <c r="F46" s="101"/>
      <c r="G46" s="101"/>
      <c r="H46" s="101"/>
      <c r="I46" s="122">
        <f t="shared" ref="I46:I47" si="5">SUM(B46:H46)</f>
        <v>0</v>
      </c>
      <c r="J46" s="107"/>
      <c r="K46" s="130"/>
      <c r="L46" s="107"/>
    </row>
    <row r="47" spans="1:13" ht="15" customHeight="1" thickBot="1" x14ac:dyDescent="0.3">
      <c r="A47" s="10" t="s">
        <v>19</v>
      </c>
      <c r="B47" s="101"/>
      <c r="C47" s="101"/>
      <c r="D47" s="101"/>
      <c r="E47" s="101"/>
      <c r="F47" s="101"/>
      <c r="G47" s="101"/>
      <c r="H47" s="101"/>
      <c r="I47" s="122">
        <f t="shared" si="5"/>
        <v>0</v>
      </c>
      <c r="J47" s="107"/>
      <c r="K47" s="130"/>
      <c r="L47" s="107"/>
    </row>
    <row r="48" spans="1:13" ht="15" customHeight="1" thickBot="1" x14ac:dyDescent="0.3">
      <c r="A48" s="223" t="s">
        <v>20</v>
      </c>
      <c r="B48" s="101"/>
      <c r="C48" s="101"/>
      <c r="D48" s="101"/>
      <c r="E48" s="101"/>
      <c r="F48" s="101"/>
      <c r="G48" s="101"/>
      <c r="H48" s="101"/>
      <c r="I48" s="216"/>
      <c r="J48" s="107"/>
      <c r="K48" s="130"/>
      <c r="L48" s="107"/>
    </row>
    <row r="49" spans="1:13" ht="15.75" thickBot="1" x14ac:dyDescent="0.3">
      <c r="A49" s="19" t="s">
        <v>21</v>
      </c>
      <c r="B49" s="137"/>
      <c r="C49" s="137"/>
      <c r="D49" s="137"/>
      <c r="E49" s="137"/>
      <c r="F49" s="137"/>
      <c r="G49" s="137">
        <f>SUMIF(HKM!A:A,"093*",HKM!L:L)-SUMIF(HKM!A:A,"093*",HKM!K:K)</f>
        <v>0</v>
      </c>
      <c r="H49" s="137">
        <f>SUMIF(SUAM!C:C,"010",SUAM!E:E)</f>
        <v>0</v>
      </c>
      <c r="I49" s="124">
        <f>I45+I46-I47</f>
        <v>0</v>
      </c>
      <c r="J49" s="107"/>
      <c r="K49" s="123"/>
      <c r="L49" s="129"/>
      <c r="M49" s="90"/>
    </row>
    <row r="50" spans="1:13" ht="15" customHeight="1" thickTop="1" thickBot="1" x14ac:dyDescent="0.3">
      <c r="A50" s="24" t="s">
        <v>25</v>
      </c>
      <c r="B50" s="142"/>
      <c r="C50" s="142"/>
      <c r="D50" s="142"/>
      <c r="E50" s="142"/>
      <c r="F50" s="142"/>
      <c r="G50" s="142"/>
      <c r="H50" s="142"/>
      <c r="I50" s="126"/>
      <c r="J50" s="107"/>
      <c r="K50" s="107"/>
      <c r="L50" s="107"/>
    </row>
    <row r="51" spans="1:13" ht="15" customHeight="1" thickTop="1" thickBot="1" x14ac:dyDescent="0.3">
      <c r="A51" s="27" t="s">
        <v>23</v>
      </c>
      <c r="B51" s="101"/>
      <c r="C51" s="101"/>
      <c r="D51" s="101"/>
      <c r="E51" s="101"/>
      <c r="F51" s="101"/>
      <c r="G51" s="101"/>
      <c r="H51" s="101"/>
      <c r="I51" s="122">
        <f t="shared" ref="I51" si="6">I33-I39-I45</f>
        <v>11621.380000000001</v>
      </c>
      <c r="J51" s="107"/>
      <c r="K51" s="107"/>
      <c r="L51" s="107"/>
    </row>
    <row r="52" spans="1:13" ht="15" customHeight="1" thickBot="1" x14ac:dyDescent="0.3">
      <c r="A52" s="19" t="s">
        <v>21</v>
      </c>
      <c r="B52" s="104"/>
      <c r="C52" s="104"/>
      <c r="D52" s="104"/>
      <c r="E52" s="104"/>
      <c r="F52" s="104"/>
      <c r="G52" s="104"/>
      <c r="H52" s="104"/>
      <c r="I52" s="124">
        <f t="shared" ref="I52" si="7">I37-I43-I49</f>
        <v>11621.380000000001</v>
      </c>
      <c r="J52" s="107"/>
      <c r="K52" s="107"/>
      <c r="L52" s="107"/>
    </row>
    <row r="53" spans="1:13" ht="15.75" thickTop="1" x14ac:dyDescent="0.25">
      <c r="B53" s="107"/>
      <c r="C53" s="107"/>
      <c r="D53" s="107"/>
      <c r="E53" s="107"/>
      <c r="F53" s="107"/>
      <c r="G53" s="107"/>
      <c r="H53" s="107"/>
      <c r="I53" s="107"/>
      <c r="J53" s="107"/>
      <c r="K53" s="107"/>
      <c r="L53" s="107"/>
    </row>
  </sheetData>
  <mergeCells count="4">
    <mergeCell ref="A30:A31"/>
    <mergeCell ref="B30:I30"/>
    <mergeCell ref="A3:A4"/>
    <mergeCell ref="B3:I3"/>
  </mergeCells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2"/>
  <sheetViews>
    <sheetView topLeftCell="A45" workbookViewId="0">
      <selection activeCell="B70" sqref="B70"/>
    </sheetView>
  </sheetViews>
  <sheetFormatPr defaultColWidth="9.140625" defaultRowHeight="15" x14ac:dyDescent="0.25"/>
  <cols>
    <col min="1" max="1" width="8.28515625" style="113" bestFit="1" customWidth="1"/>
    <col min="2" max="2" width="86.140625" style="113" bestFit="1" customWidth="1"/>
    <col min="3" max="3" width="4.42578125" style="112" bestFit="1" customWidth="1"/>
    <col min="4" max="7" width="15.28515625" style="114" bestFit="1" customWidth="1"/>
    <col min="8" max="16384" width="9.140625" style="108"/>
  </cols>
  <sheetData>
    <row r="1" spans="1:7" ht="33.75" x14ac:dyDescent="0.25">
      <c r="A1" s="119" t="s">
        <v>150</v>
      </c>
      <c r="B1" s="119" t="s">
        <v>158</v>
      </c>
      <c r="C1" s="118" t="s">
        <v>171</v>
      </c>
      <c r="D1" s="120" t="s">
        <v>172</v>
      </c>
      <c r="E1" s="120" t="s">
        <v>173</v>
      </c>
      <c r="F1" s="120" t="s">
        <v>157</v>
      </c>
      <c r="G1" s="120" t="s">
        <v>155</v>
      </c>
    </row>
    <row r="2" spans="1:7" x14ac:dyDescent="0.25">
      <c r="A2" s="113" t="s">
        <v>723</v>
      </c>
      <c r="B2" s="113" t="s">
        <v>724</v>
      </c>
      <c r="C2" s="112" t="s">
        <v>725</v>
      </c>
      <c r="D2" s="114">
        <v>0</v>
      </c>
      <c r="E2" s="114">
        <v>0</v>
      </c>
      <c r="F2" s="114">
        <v>0</v>
      </c>
      <c r="G2" s="114">
        <v>0</v>
      </c>
    </row>
    <row r="3" spans="1:7" x14ac:dyDescent="0.25">
      <c r="A3" s="113" t="s">
        <v>726</v>
      </c>
      <c r="B3" s="113" t="s">
        <v>727</v>
      </c>
      <c r="C3" s="112" t="s">
        <v>728</v>
      </c>
      <c r="D3" s="111">
        <v>976037.92</v>
      </c>
      <c r="E3" s="111">
        <v>1133180.26</v>
      </c>
      <c r="F3" s="111">
        <v>976039</v>
      </c>
      <c r="G3" s="111">
        <v>1133180</v>
      </c>
    </row>
    <row r="4" spans="1:7" x14ac:dyDescent="0.25">
      <c r="A4" s="113" t="s">
        <v>729</v>
      </c>
      <c r="B4" s="113" t="s">
        <v>730</v>
      </c>
      <c r="C4" s="112" t="s">
        <v>731</v>
      </c>
      <c r="D4" s="114">
        <v>889486.52</v>
      </c>
      <c r="E4" s="114">
        <v>1031232.27</v>
      </c>
      <c r="F4" s="114">
        <v>889487</v>
      </c>
      <c r="G4" s="114">
        <v>1031232</v>
      </c>
    </row>
    <row r="5" spans="1:7" x14ac:dyDescent="0.25">
      <c r="A5" s="113" t="s">
        <v>732</v>
      </c>
      <c r="B5" s="113" t="s">
        <v>733</v>
      </c>
      <c r="C5" s="112" t="s">
        <v>734</v>
      </c>
      <c r="D5" s="114">
        <v>0</v>
      </c>
      <c r="E5" s="114">
        <v>1470</v>
      </c>
      <c r="F5" s="114">
        <v>0</v>
      </c>
      <c r="G5" s="114">
        <v>1470</v>
      </c>
    </row>
    <row r="6" spans="1:7" x14ac:dyDescent="0.25">
      <c r="A6" s="113" t="s">
        <v>735</v>
      </c>
      <c r="B6" s="113" t="s">
        <v>736</v>
      </c>
      <c r="C6" s="112" t="s">
        <v>737</v>
      </c>
      <c r="D6" s="114">
        <v>37135.69</v>
      </c>
      <c r="E6" s="114">
        <v>33307.620000000003</v>
      </c>
      <c r="F6" s="114">
        <v>37136</v>
      </c>
      <c r="G6" s="114">
        <v>33308</v>
      </c>
    </row>
    <row r="7" spans="1:7" x14ac:dyDescent="0.25">
      <c r="A7" s="113" t="s">
        <v>738</v>
      </c>
      <c r="B7" s="113" t="s">
        <v>739</v>
      </c>
      <c r="C7" s="112" t="s">
        <v>740</v>
      </c>
      <c r="D7" s="114">
        <v>3048</v>
      </c>
      <c r="E7" s="114">
        <v>600</v>
      </c>
      <c r="F7" s="114">
        <v>3048</v>
      </c>
      <c r="G7" s="114">
        <v>600</v>
      </c>
    </row>
    <row r="8" spans="1:7" x14ac:dyDescent="0.25">
      <c r="A8" s="113" t="s">
        <v>741</v>
      </c>
      <c r="B8" s="113" t="s">
        <v>742</v>
      </c>
      <c r="C8" s="112" t="s">
        <v>743</v>
      </c>
      <c r="D8" s="114">
        <v>0</v>
      </c>
      <c r="E8" s="114">
        <v>0</v>
      </c>
      <c r="F8" s="114">
        <v>0</v>
      </c>
      <c r="G8" s="114">
        <v>0</v>
      </c>
    </row>
    <row r="9" spans="1:7" x14ac:dyDescent="0.25">
      <c r="A9" s="113" t="s">
        <v>744</v>
      </c>
      <c r="B9" s="113" t="s">
        <v>745</v>
      </c>
      <c r="C9" s="112" t="s">
        <v>746</v>
      </c>
      <c r="D9" s="114">
        <v>20000</v>
      </c>
      <c r="E9" s="114">
        <v>0</v>
      </c>
      <c r="F9" s="114">
        <v>20000</v>
      </c>
      <c r="G9" s="114">
        <v>0</v>
      </c>
    </row>
    <row r="10" spans="1:7" x14ac:dyDescent="0.25">
      <c r="A10" s="113" t="s">
        <v>747</v>
      </c>
      <c r="B10" s="113" t="s">
        <v>748</v>
      </c>
      <c r="C10" s="112" t="s">
        <v>749</v>
      </c>
      <c r="D10" s="114">
        <v>26367.71</v>
      </c>
      <c r="E10" s="114">
        <v>66570.37</v>
      </c>
      <c r="F10" s="114">
        <v>26368</v>
      </c>
      <c r="G10" s="114">
        <v>66570</v>
      </c>
    </row>
    <row r="11" spans="1:7" x14ac:dyDescent="0.25">
      <c r="A11" s="113" t="s">
        <v>726</v>
      </c>
      <c r="B11" s="113" t="s">
        <v>750</v>
      </c>
      <c r="C11" s="112" t="s">
        <v>751</v>
      </c>
      <c r="D11" s="114">
        <v>954840.67</v>
      </c>
      <c r="E11" s="114">
        <v>1082116.95</v>
      </c>
      <c r="F11" s="114">
        <v>954842</v>
      </c>
      <c r="G11" s="114">
        <v>1082118</v>
      </c>
    </row>
    <row r="12" spans="1:7" x14ac:dyDescent="0.25">
      <c r="A12" s="113" t="s">
        <v>752</v>
      </c>
      <c r="B12" s="113" t="s">
        <v>753</v>
      </c>
      <c r="C12" s="112" t="s">
        <v>754</v>
      </c>
      <c r="D12" s="114">
        <v>633124.34</v>
      </c>
      <c r="E12" s="114">
        <v>772754.48</v>
      </c>
      <c r="F12" s="114">
        <v>633124</v>
      </c>
      <c r="G12" s="114">
        <v>772754</v>
      </c>
    </row>
    <row r="13" spans="1:7" x14ac:dyDescent="0.25">
      <c r="A13" s="113" t="s">
        <v>755</v>
      </c>
      <c r="B13" s="113" t="s">
        <v>756</v>
      </c>
      <c r="C13" s="112" t="s">
        <v>757</v>
      </c>
      <c r="D13" s="114">
        <v>26376.99</v>
      </c>
      <c r="E13" s="114">
        <v>27050.07</v>
      </c>
      <c r="F13" s="114">
        <v>26377</v>
      </c>
      <c r="G13" s="114">
        <v>27050</v>
      </c>
    </row>
    <row r="14" spans="1:7" x14ac:dyDescent="0.25">
      <c r="A14" s="113" t="s">
        <v>758</v>
      </c>
      <c r="B14" s="113" t="s">
        <v>759</v>
      </c>
      <c r="C14" s="112" t="s">
        <v>760</v>
      </c>
      <c r="D14" s="114">
        <v>0</v>
      </c>
      <c r="E14" s="114">
        <v>0</v>
      </c>
      <c r="F14" s="114">
        <v>0</v>
      </c>
      <c r="G14" s="114">
        <v>0</v>
      </c>
    </row>
    <row r="15" spans="1:7" x14ac:dyDescent="0.25">
      <c r="A15" s="113" t="s">
        <v>761</v>
      </c>
      <c r="B15" s="113" t="s">
        <v>762</v>
      </c>
      <c r="C15" s="112" t="s">
        <v>763</v>
      </c>
      <c r="D15" s="114">
        <v>54010.69</v>
      </c>
      <c r="E15" s="114">
        <v>49435.58</v>
      </c>
      <c r="F15" s="114">
        <v>54011</v>
      </c>
      <c r="G15" s="114">
        <v>49436</v>
      </c>
    </row>
    <row r="16" spans="1:7" x14ac:dyDescent="0.25">
      <c r="A16" s="113" t="s">
        <v>764</v>
      </c>
      <c r="B16" s="113" t="s">
        <v>765</v>
      </c>
      <c r="C16" s="112" t="s">
        <v>766</v>
      </c>
      <c r="D16" s="114">
        <v>175932.01</v>
      </c>
      <c r="E16" s="114">
        <v>175944.5</v>
      </c>
      <c r="F16" s="114">
        <v>175933</v>
      </c>
      <c r="G16" s="114">
        <v>175945</v>
      </c>
    </row>
    <row r="17" spans="1:7" x14ac:dyDescent="0.25">
      <c r="A17" s="113" t="s">
        <v>767</v>
      </c>
      <c r="B17" s="113" t="s">
        <v>768</v>
      </c>
      <c r="C17" s="112" t="s">
        <v>769</v>
      </c>
      <c r="D17" s="114">
        <v>124980.78</v>
      </c>
      <c r="E17" s="114">
        <v>126757.85</v>
      </c>
      <c r="F17" s="114">
        <v>124981</v>
      </c>
      <c r="G17" s="114">
        <v>126758</v>
      </c>
    </row>
    <row r="18" spans="1:7" x14ac:dyDescent="0.25">
      <c r="A18" s="113">
        <v>2</v>
      </c>
      <c r="B18" s="113" t="s">
        <v>770</v>
      </c>
      <c r="C18" s="112" t="s">
        <v>771</v>
      </c>
      <c r="D18" s="114">
        <v>0</v>
      </c>
      <c r="E18" s="114">
        <v>0</v>
      </c>
      <c r="F18" s="114">
        <v>0</v>
      </c>
      <c r="G18" s="114">
        <v>0</v>
      </c>
    </row>
    <row r="19" spans="1:7" x14ac:dyDescent="0.25">
      <c r="A19" s="113">
        <v>3</v>
      </c>
      <c r="B19" s="113" t="s">
        <v>772</v>
      </c>
      <c r="C19" s="112" t="s">
        <v>773</v>
      </c>
      <c r="D19" s="114">
        <v>43450.53</v>
      </c>
      <c r="E19" s="114">
        <v>43653.15</v>
      </c>
      <c r="F19" s="114">
        <v>43451</v>
      </c>
      <c r="G19" s="114">
        <v>43653</v>
      </c>
    </row>
    <row r="20" spans="1:7" x14ac:dyDescent="0.25">
      <c r="A20" s="113">
        <v>4</v>
      </c>
      <c r="B20" s="113" t="s">
        <v>774</v>
      </c>
      <c r="C20" s="112" t="s">
        <v>775</v>
      </c>
      <c r="D20" s="114">
        <v>7500.7</v>
      </c>
      <c r="E20" s="114">
        <v>5533.5</v>
      </c>
      <c r="F20" s="114">
        <v>7501</v>
      </c>
      <c r="G20" s="114">
        <v>5534</v>
      </c>
    </row>
    <row r="21" spans="1:7" x14ac:dyDescent="0.25">
      <c r="A21" s="113" t="s">
        <v>776</v>
      </c>
      <c r="B21" s="113" t="s">
        <v>777</v>
      </c>
      <c r="C21" s="112" t="s">
        <v>778</v>
      </c>
      <c r="D21" s="114">
        <v>2953.84</v>
      </c>
      <c r="E21" s="114">
        <v>2446.61</v>
      </c>
      <c r="F21" s="114">
        <v>2954</v>
      </c>
      <c r="G21" s="114">
        <v>2447</v>
      </c>
    </row>
    <row r="22" spans="1:7" x14ac:dyDescent="0.25">
      <c r="A22" s="113" t="s">
        <v>779</v>
      </c>
      <c r="B22" s="113" t="s">
        <v>780</v>
      </c>
      <c r="C22" s="112" t="s">
        <v>781</v>
      </c>
      <c r="D22" s="114">
        <v>47045.04</v>
      </c>
      <c r="E22" s="114">
        <v>50057.75</v>
      </c>
      <c r="F22" s="114">
        <v>47045</v>
      </c>
      <c r="G22" s="114">
        <v>50058</v>
      </c>
    </row>
    <row r="23" spans="1:7" x14ac:dyDescent="0.25">
      <c r="A23" s="113" t="s">
        <v>782</v>
      </c>
      <c r="B23" s="113" t="s">
        <v>783</v>
      </c>
      <c r="C23" s="112" t="s">
        <v>784</v>
      </c>
      <c r="D23" s="114">
        <v>47045.04</v>
      </c>
      <c r="E23" s="114">
        <v>50057.75</v>
      </c>
      <c r="F23" s="114">
        <v>47045</v>
      </c>
      <c r="G23" s="114">
        <v>50058</v>
      </c>
    </row>
    <row r="24" spans="1:7" x14ac:dyDescent="0.25">
      <c r="A24" s="113">
        <v>2</v>
      </c>
      <c r="B24" s="113" t="s">
        <v>785</v>
      </c>
      <c r="C24" s="112" t="s">
        <v>786</v>
      </c>
      <c r="D24" s="114">
        <v>0</v>
      </c>
      <c r="E24" s="114">
        <v>0</v>
      </c>
      <c r="F24" s="114">
        <v>0</v>
      </c>
      <c r="G24" s="114">
        <v>0</v>
      </c>
    </row>
    <row r="25" spans="1:7" x14ac:dyDescent="0.25">
      <c r="A25" s="113" t="s">
        <v>787</v>
      </c>
      <c r="B25" s="113" t="s">
        <v>788</v>
      </c>
      <c r="C25" s="112" t="s">
        <v>789</v>
      </c>
      <c r="D25" s="114">
        <v>9055.68</v>
      </c>
      <c r="E25" s="114">
        <v>0</v>
      </c>
      <c r="F25" s="114">
        <v>9056</v>
      </c>
      <c r="G25" s="114">
        <v>0</v>
      </c>
    </row>
    <row r="26" spans="1:7" x14ac:dyDescent="0.25">
      <c r="A26" s="113" t="s">
        <v>729</v>
      </c>
      <c r="B26" s="113" t="s">
        <v>790</v>
      </c>
      <c r="C26" s="112" t="s">
        <v>791</v>
      </c>
      <c r="D26" s="114">
        <v>0</v>
      </c>
      <c r="E26" s="114">
        <v>0</v>
      </c>
      <c r="F26" s="114">
        <v>0</v>
      </c>
      <c r="G26" s="114">
        <v>0</v>
      </c>
    </row>
    <row r="27" spans="1:7" x14ac:dyDescent="0.25">
      <c r="A27" s="113" t="s">
        <v>792</v>
      </c>
      <c r="B27" s="113" t="s">
        <v>793</v>
      </c>
      <c r="C27" s="112" t="s">
        <v>794</v>
      </c>
      <c r="D27" s="114">
        <v>6342.08</v>
      </c>
      <c r="E27" s="114">
        <v>4427.96</v>
      </c>
      <c r="F27" s="114">
        <v>6342</v>
      </c>
      <c r="G27" s="114">
        <v>4428</v>
      </c>
    </row>
    <row r="28" spans="1:7" x14ac:dyDescent="0.25">
      <c r="A28" s="113" t="s">
        <v>795</v>
      </c>
      <c r="B28" s="113" t="s">
        <v>796</v>
      </c>
      <c r="C28" s="112" t="s">
        <v>797</v>
      </c>
      <c r="D28" s="114">
        <v>21197.25</v>
      </c>
      <c r="E28" s="114">
        <v>51063.31</v>
      </c>
      <c r="F28" s="114">
        <v>21197</v>
      </c>
      <c r="G28" s="114">
        <v>51062</v>
      </c>
    </row>
    <row r="29" spans="1:7" x14ac:dyDescent="0.25">
      <c r="A29" s="113" t="s">
        <v>723</v>
      </c>
      <c r="B29" s="113" t="s">
        <v>798</v>
      </c>
      <c r="C29" s="112" t="s">
        <v>799</v>
      </c>
      <c r="D29" s="114">
        <v>216158.19</v>
      </c>
      <c r="E29" s="114">
        <v>217369.76</v>
      </c>
      <c r="F29" s="114">
        <v>216159</v>
      </c>
      <c r="G29" s="114">
        <v>217370</v>
      </c>
    </row>
    <row r="30" spans="1:7" x14ac:dyDescent="0.25">
      <c r="A30" s="113" t="s">
        <v>726</v>
      </c>
      <c r="B30" s="113" t="s">
        <v>800</v>
      </c>
      <c r="C30" s="112" t="s">
        <v>801</v>
      </c>
      <c r="D30" s="114">
        <v>0</v>
      </c>
      <c r="E30" s="114">
        <v>0</v>
      </c>
      <c r="F30" s="114">
        <v>0</v>
      </c>
      <c r="G30" s="114">
        <v>0</v>
      </c>
    </row>
    <row r="31" spans="1:7" x14ac:dyDescent="0.25">
      <c r="A31" s="113" t="s">
        <v>802</v>
      </c>
      <c r="B31" s="113" t="s">
        <v>803</v>
      </c>
      <c r="C31" s="112" t="s">
        <v>804</v>
      </c>
      <c r="D31" s="114">
        <v>0</v>
      </c>
      <c r="E31" s="114">
        <v>0</v>
      </c>
      <c r="F31" s="114">
        <v>0</v>
      </c>
      <c r="G31" s="114">
        <v>0</v>
      </c>
    </row>
    <row r="32" spans="1:7" x14ac:dyDescent="0.25">
      <c r="A32" s="113" t="s">
        <v>805</v>
      </c>
      <c r="B32" s="113" t="s">
        <v>806</v>
      </c>
      <c r="C32" s="112" t="s">
        <v>807</v>
      </c>
      <c r="D32" s="114">
        <v>0</v>
      </c>
      <c r="E32" s="114">
        <v>0</v>
      </c>
      <c r="F32" s="114">
        <v>0</v>
      </c>
      <c r="G32" s="114">
        <v>0</v>
      </c>
    </row>
    <row r="33" spans="1:7" x14ac:dyDescent="0.25">
      <c r="A33" s="113" t="s">
        <v>808</v>
      </c>
      <c r="B33" s="113" t="s">
        <v>809</v>
      </c>
      <c r="C33" s="112" t="s">
        <v>810</v>
      </c>
      <c r="D33" s="114">
        <v>0</v>
      </c>
      <c r="E33" s="114">
        <v>0</v>
      </c>
      <c r="F33" s="114">
        <v>0</v>
      </c>
      <c r="G33" s="114">
        <v>0</v>
      </c>
    </row>
    <row r="34" spans="1:7" x14ac:dyDescent="0.25">
      <c r="A34" s="113">
        <v>2</v>
      </c>
      <c r="B34" s="113" t="s">
        <v>811</v>
      </c>
      <c r="C34" s="112" t="s">
        <v>812</v>
      </c>
      <c r="D34" s="114">
        <v>0</v>
      </c>
      <c r="E34" s="114">
        <v>0</v>
      </c>
      <c r="F34" s="114">
        <v>0</v>
      </c>
      <c r="G34" s="114">
        <v>0</v>
      </c>
    </row>
    <row r="35" spans="1:7" x14ac:dyDescent="0.25">
      <c r="A35" s="113">
        <v>3</v>
      </c>
      <c r="B35" s="113" t="s">
        <v>813</v>
      </c>
      <c r="C35" s="112" t="s">
        <v>814</v>
      </c>
      <c r="D35" s="114">
        <v>0</v>
      </c>
      <c r="E35" s="114">
        <v>0</v>
      </c>
      <c r="F35" s="114">
        <v>0</v>
      </c>
      <c r="G35" s="114">
        <v>0</v>
      </c>
    </row>
    <row r="36" spans="1:7" x14ac:dyDescent="0.25">
      <c r="A36" s="113" t="s">
        <v>815</v>
      </c>
      <c r="B36" s="113" t="s">
        <v>816</v>
      </c>
      <c r="C36" s="112" t="s">
        <v>817</v>
      </c>
      <c r="D36" s="114">
        <v>0</v>
      </c>
      <c r="E36" s="114">
        <v>0</v>
      </c>
      <c r="F36" s="114">
        <v>0</v>
      </c>
      <c r="G36" s="114">
        <v>0</v>
      </c>
    </row>
    <row r="37" spans="1:7" x14ac:dyDescent="0.25">
      <c r="A37" s="113" t="s">
        <v>818</v>
      </c>
      <c r="B37" s="113" t="s">
        <v>819</v>
      </c>
      <c r="C37" s="112" t="s">
        <v>820</v>
      </c>
      <c r="D37" s="114">
        <v>0</v>
      </c>
      <c r="E37" s="114">
        <v>0</v>
      </c>
      <c r="F37" s="114">
        <v>0</v>
      </c>
      <c r="G37" s="114">
        <v>0</v>
      </c>
    </row>
    <row r="38" spans="1:7" x14ac:dyDescent="0.25">
      <c r="A38" s="113">
        <v>2</v>
      </c>
      <c r="B38" s="113" t="s">
        <v>821</v>
      </c>
      <c r="C38" s="112" t="s">
        <v>822</v>
      </c>
      <c r="D38" s="114">
        <v>0</v>
      </c>
      <c r="E38" s="114">
        <v>0</v>
      </c>
      <c r="F38" s="114">
        <v>0</v>
      </c>
      <c r="G38" s="114">
        <v>0</v>
      </c>
    </row>
    <row r="39" spans="1:7" x14ac:dyDescent="0.25">
      <c r="A39" s="113">
        <v>3</v>
      </c>
      <c r="B39" s="113" t="s">
        <v>823</v>
      </c>
      <c r="C39" s="112" t="s">
        <v>824</v>
      </c>
      <c r="D39" s="114">
        <v>0</v>
      </c>
      <c r="E39" s="114">
        <v>0</v>
      </c>
      <c r="F39" s="114">
        <v>0</v>
      </c>
      <c r="G39" s="114">
        <v>0</v>
      </c>
    </row>
    <row r="40" spans="1:7" x14ac:dyDescent="0.25">
      <c r="A40" s="113" t="s">
        <v>825</v>
      </c>
      <c r="B40" s="113" t="s">
        <v>826</v>
      </c>
      <c r="C40" s="112" t="s">
        <v>827</v>
      </c>
      <c r="D40" s="114">
        <v>0</v>
      </c>
      <c r="E40" s="114">
        <v>0</v>
      </c>
      <c r="F40" s="114">
        <v>0</v>
      </c>
      <c r="G40" s="114">
        <v>0</v>
      </c>
    </row>
    <row r="41" spans="1:7" x14ac:dyDescent="0.25">
      <c r="A41" s="113" t="s">
        <v>828</v>
      </c>
      <c r="B41" s="113" t="s">
        <v>829</v>
      </c>
      <c r="C41" s="112" t="s">
        <v>830</v>
      </c>
      <c r="D41" s="114">
        <v>0</v>
      </c>
      <c r="E41" s="114">
        <v>0</v>
      </c>
      <c r="F41" s="114">
        <v>0</v>
      </c>
      <c r="G41" s="114">
        <v>0</v>
      </c>
    </row>
    <row r="42" spans="1:7" x14ac:dyDescent="0.25">
      <c r="A42" s="113">
        <v>2</v>
      </c>
      <c r="B42" s="113" t="s">
        <v>831</v>
      </c>
      <c r="C42" s="112" t="s">
        <v>832</v>
      </c>
      <c r="D42" s="114">
        <v>0</v>
      </c>
      <c r="E42" s="114">
        <v>0</v>
      </c>
      <c r="F42" s="114">
        <v>0</v>
      </c>
      <c r="G42" s="114">
        <v>0</v>
      </c>
    </row>
    <row r="43" spans="1:7" x14ac:dyDescent="0.25">
      <c r="A43" s="113" t="s">
        <v>833</v>
      </c>
      <c r="B43" s="113" t="s">
        <v>834</v>
      </c>
      <c r="C43" s="112" t="s">
        <v>835</v>
      </c>
      <c r="D43" s="114">
        <v>0</v>
      </c>
      <c r="E43" s="114">
        <v>0</v>
      </c>
      <c r="F43" s="114">
        <v>0</v>
      </c>
      <c r="G43" s="114">
        <v>0</v>
      </c>
    </row>
    <row r="44" spans="1:7" x14ac:dyDescent="0.25">
      <c r="A44" s="113" t="s">
        <v>836</v>
      </c>
      <c r="B44" s="113" t="s">
        <v>837</v>
      </c>
      <c r="C44" s="112" t="s">
        <v>838</v>
      </c>
      <c r="D44" s="114">
        <v>0</v>
      </c>
      <c r="E44" s="114">
        <v>0</v>
      </c>
      <c r="F44" s="114">
        <v>0</v>
      </c>
      <c r="G44" s="114">
        <v>0</v>
      </c>
    </row>
    <row r="45" spans="1:7" x14ac:dyDescent="0.25">
      <c r="A45" s="113" t="s">
        <v>839</v>
      </c>
      <c r="B45" s="113" t="s">
        <v>840</v>
      </c>
      <c r="C45" s="112" t="s">
        <v>841</v>
      </c>
      <c r="D45" s="114">
        <v>0</v>
      </c>
      <c r="E45" s="114">
        <v>0</v>
      </c>
      <c r="F45" s="114">
        <v>0</v>
      </c>
      <c r="G45" s="114">
        <v>0</v>
      </c>
    </row>
    <row r="46" spans="1:7" x14ac:dyDescent="0.25">
      <c r="A46" s="113" t="s">
        <v>726</v>
      </c>
      <c r="B46" s="113" t="s">
        <v>842</v>
      </c>
      <c r="C46" s="112" t="s">
        <v>843</v>
      </c>
      <c r="D46" s="114">
        <v>20536.09</v>
      </c>
      <c r="E46" s="114">
        <v>10595.43</v>
      </c>
      <c r="F46" s="114">
        <v>20536</v>
      </c>
      <c r="G46" s="114">
        <v>10595</v>
      </c>
    </row>
    <row r="47" spans="1:7" x14ac:dyDescent="0.25">
      <c r="A47" s="113" t="s">
        <v>844</v>
      </c>
      <c r="B47" s="113" t="s">
        <v>845</v>
      </c>
      <c r="C47" s="112" t="s">
        <v>846</v>
      </c>
      <c r="D47" s="114">
        <v>0</v>
      </c>
      <c r="E47" s="114">
        <v>0</v>
      </c>
      <c r="F47" s="114">
        <v>0</v>
      </c>
      <c r="G47" s="114">
        <v>0</v>
      </c>
    </row>
    <row r="48" spans="1:7" x14ac:dyDescent="0.25">
      <c r="A48" s="113" t="s">
        <v>847</v>
      </c>
      <c r="B48" s="113" t="s">
        <v>848</v>
      </c>
      <c r="C48" s="112" t="s">
        <v>849</v>
      </c>
      <c r="D48" s="114">
        <v>0</v>
      </c>
      <c r="E48" s="114">
        <v>0</v>
      </c>
      <c r="F48" s="114">
        <v>0</v>
      </c>
      <c r="G48" s="114">
        <v>0</v>
      </c>
    </row>
    <row r="49" spans="1:7" x14ac:dyDescent="0.25">
      <c r="A49" s="113" t="s">
        <v>850</v>
      </c>
      <c r="B49" s="113" t="s">
        <v>851</v>
      </c>
      <c r="C49" s="112" t="s">
        <v>852</v>
      </c>
      <c r="D49" s="114">
        <v>0</v>
      </c>
      <c r="E49" s="114">
        <v>0</v>
      </c>
      <c r="F49" s="114">
        <v>0</v>
      </c>
      <c r="G49" s="114">
        <v>0</v>
      </c>
    </row>
    <row r="50" spans="1:7" x14ac:dyDescent="0.25">
      <c r="A50" s="113" t="s">
        <v>853</v>
      </c>
      <c r="B50" s="113" t="s">
        <v>854</v>
      </c>
      <c r="C50" s="112" t="s">
        <v>855</v>
      </c>
      <c r="D50" s="114">
        <v>16889.64</v>
      </c>
      <c r="E50" s="114">
        <v>5615.22</v>
      </c>
      <c r="F50" s="114">
        <v>16890</v>
      </c>
      <c r="G50" s="114">
        <v>5615</v>
      </c>
    </row>
    <row r="51" spans="1:7" x14ac:dyDescent="0.25">
      <c r="A51" s="113" t="s">
        <v>856</v>
      </c>
      <c r="B51" s="113" t="s">
        <v>857</v>
      </c>
      <c r="C51" s="112" t="s">
        <v>858</v>
      </c>
      <c r="D51" s="114">
        <v>0</v>
      </c>
      <c r="E51" s="114">
        <v>0</v>
      </c>
      <c r="F51" s="114">
        <v>0</v>
      </c>
      <c r="G51" s="114">
        <v>0</v>
      </c>
    </row>
    <row r="52" spans="1:7" x14ac:dyDescent="0.25">
      <c r="A52" s="113">
        <v>2</v>
      </c>
      <c r="B52" s="113" t="s">
        <v>859</v>
      </c>
      <c r="C52" s="112" t="s">
        <v>860</v>
      </c>
      <c r="D52" s="114">
        <v>16889.64</v>
      </c>
      <c r="E52" s="114">
        <v>5615.22</v>
      </c>
      <c r="F52" s="114">
        <v>16890</v>
      </c>
      <c r="G52" s="114">
        <v>5615</v>
      </c>
    </row>
    <row r="53" spans="1:7" x14ac:dyDescent="0.25">
      <c r="A53" s="113" t="s">
        <v>861</v>
      </c>
      <c r="B53" s="113" t="s">
        <v>862</v>
      </c>
      <c r="C53" s="112" t="s">
        <v>863</v>
      </c>
      <c r="D53" s="114">
        <v>0</v>
      </c>
      <c r="E53" s="114">
        <v>270.95999999999998</v>
      </c>
      <c r="F53" s="114">
        <v>0</v>
      </c>
      <c r="G53" s="114">
        <v>271</v>
      </c>
    </row>
    <row r="54" spans="1:7" x14ac:dyDescent="0.25">
      <c r="A54" s="113" t="s">
        <v>864</v>
      </c>
      <c r="B54" s="113" t="s">
        <v>865</v>
      </c>
      <c r="C54" s="112" t="s">
        <v>866</v>
      </c>
      <c r="D54" s="114">
        <v>0</v>
      </c>
      <c r="E54" s="114">
        <v>0</v>
      </c>
      <c r="F54" s="114">
        <v>0</v>
      </c>
      <c r="G54" s="114">
        <v>0</v>
      </c>
    </row>
    <row r="55" spans="1:7" x14ac:dyDescent="0.25">
      <c r="A55" s="113" t="s">
        <v>867</v>
      </c>
      <c r="B55" s="113" t="s">
        <v>868</v>
      </c>
      <c r="C55" s="112" t="s">
        <v>869</v>
      </c>
      <c r="D55" s="114">
        <v>3646.45</v>
      </c>
      <c r="E55" s="114">
        <v>4709.25</v>
      </c>
      <c r="F55" s="114">
        <v>3646</v>
      </c>
      <c r="G55" s="114">
        <v>4709</v>
      </c>
    </row>
    <row r="56" spans="1:7" x14ac:dyDescent="0.25">
      <c r="A56" s="113" t="s">
        <v>795</v>
      </c>
      <c r="B56" s="113" t="s">
        <v>870</v>
      </c>
      <c r="C56" s="112" t="s">
        <v>871</v>
      </c>
      <c r="D56" s="114">
        <v>-20536.09</v>
      </c>
      <c r="E56" s="114">
        <v>-10595.43</v>
      </c>
      <c r="F56" s="114">
        <v>-20536</v>
      </c>
      <c r="G56" s="114">
        <v>-10595</v>
      </c>
    </row>
    <row r="57" spans="1:7" x14ac:dyDescent="0.25">
      <c r="A57" s="113" t="s">
        <v>872</v>
      </c>
      <c r="B57" s="113" t="s">
        <v>873</v>
      </c>
      <c r="C57" s="112" t="s">
        <v>874</v>
      </c>
      <c r="D57" s="114">
        <v>661.16</v>
      </c>
      <c r="E57" s="114">
        <v>40467.879999999997</v>
      </c>
      <c r="F57" s="114">
        <v>661</v>
      </c>
      <c r="G57" s="114">
        <v>40467</v>
      </c>
    </row>
    <row r="58" spans="1:7" x14ac:dyDescent="0.25">
      <c r="A58" s="113" t="s">
        <v>875</v>
      </c>
      <c r="B58" s="113" t="s">
        <v>876</v>
      </c>
      <c r="C58" s="112" t="s">
        <v>877</v>
      </c>
      <c r="D58" s="114">
        <v>2932.9</v>
      </c>
      <c r="E58" s="114">
        <v>9162.44</v>
      </c>
      <c r="F58" s="114">
        <v>2933</v>
      </c>
      <c r="G58" s="114">
        <v>9162</v>
      </c>
    </row>
    <row r="59" spans="1:7" x14ac:dyDescent="0.25">
      <c r="A59" s="113" t="s">
        <v>878</v>
      </c>
      <c r="B59" s="113" t="s">
        <v>879</v>
      </c>
      <c r="C59" s="112" t="s">
        <v>880</v>
      </c>
      <c r="D59" s="114">
        <v>2932.9</v>
      </c>
      <c r="E59" s="114">
        <v>9162.44</v>
      </c>
      <c r="F59" s="114">
        <v>2933</v>
      </c>
      <c r="G59" s="114">
        <v>9162</v>
      </c>
    </row>
    <row r="60" spans="1:7" x14ac:dyDescent="0.25">
      <c r="A60" s="113">
        <v>2</v>
      </c>
      <c r="B60" s="113" t="s">
        <v>881</v>
      </c>
      <c r="C60" s="112" t="s">
        <v>882</v>
      </c>
      <c r="D60" s="114">
        <v>0</v>
      </c>
      <c r="E60" s="114">
        <v>0</v>
      </c>
      <c r="F60" s="114">
        <v>0</v>
      </c>
      <c r="G60" s="114">
        <v>0</v>
      </c>
    </row>
    <row r="61" spans="1:7" x14ac:dyDescent="0.25">
      <c r="A61" s="113" t="s">
        <v>883</v>
      </c>
      <c r="B61" s="113" t="s">
        <v>884</v>
      </c>
      <c r="C61" s="112" t="s">
        <v>885</v>
      </c>
      <c r="D61" s="114">
        <v>0</v>
      </c>
      <c r="E61" s="114">
        <v>0</v>
      </c>
      <c r="F61" s="114">
        <v>0</v>
      </c>
      <c r="G61" s="114">
        <v>0</v>
      </c>
    </row>
    <row r="62" spans="1:7" x14ac:dyDescent="0.25">
      <c r="A62" s="113" t="s">
        <v>872</v>
      </c>
      <c r="B62" s="113" t="s">
        <v>886</v>
      </c>
      <c r="C62" s="112" t="s">
        <v>887</v>
      </c>
      <c r="D62" s="114">
        <v>-2271.7399999999998</v>
      </c>
      <c r="E62" s="114">
        <v>31305.439999999999</v>
      </c>
      <c r="F62" s="114">
        <v>-2272</v>
      </c>
      <c r="G62" s="114">
        <v>31305</v>
      </c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B19" sqref="B19"/>
    </sheetView>
  </sheetViews>
  <sheetFormatPr defaultColWidth="9.140625" defaultRowHeight="15" x14ac:dyDescent="0.25"/>
  <cols>
    <col min="1" max="1" width="8.28515625" style="115" bestFit="1" customWidth="1"/>
    <col min="2" max="2" width="63.5703125" style="115" bestFit="1" customWidth="1"/>
    <col min="3" max="3" width="4.42578125" style="116" bestFit="1" customWidth="1"/>
    <col min="4" max="11" width="15.28515625" style="117" bestFit="1" customWidth="1"/>
    <col min="12" max="16384" width="9.140625" style="108"/>
  </cols>
  <sheetData>
    <row r="1" spans="1:11" ht="22.5" x14ac:dyDescent="0.25">
      <c r="A1" s="119" t="s">
        <v>150</v>
      </c>
      <c r="B1" s="119" t="s">
        <v>151</v>
      </c>
      <c r="C1" s="118" t="s">
        <v>171</v>
      </c>
      <c r="D1" s="120" t="s">
        <v>174</v>
      </c>
      <c r="E1" s="120" t="s">
        <v>175</v>
      </c>
      <c r="F1" s="120" t="s">
        <v>176</v>
      </c>
      <c r="G1" s="120" t="s">
        <v>177</v>
      </c>
      <c r="H1" s="120" t="s">
        <v>152</v>
      </c>
      <c r="I1" s="120" t="s">
        <v>153</v>
      </c>
      <c r="J1" s="120" t="s">
        <v>154</v>
      </c>
      <c r="K1" s="120" t="s">
        <v>155</v>
      </c>
    </row>
    <row r="2" spans="1:11" x14ac:dyDescent="0.25">
      <c r="A2" s="110"/>
      <c r="B2" s="110" t="s">
        <v>888</v>
      </c>
      <c r="C2" s="109" t="s">
        <v>889</v>
      </c>
      <c r="D2" s="111">
        <v>1010076.99</v>
      </c>
      <c r="E2" s="111">
        <v>294766.78000000003</v>
      </c>
      <c r="F2" s="111">
        <v>715310.21</v>
      </c>
      <c r="G2" s="111">
        <v>857648.06</v>
      </c>
      <c r="H2" s="111">
        <v>1010078</v>
      </c>
      <c r="I2" s="111">
        <v>294766</v>
      </c>
      <c r="J2" s="111">
        <v>715312</v>
      </c>
      <c r="K2" s="111">
        <v>857648</v>
      </c>
    </row>
    <row r="3" spans="1:11" x14ac:dyDescent="0.25">
      <c r="A3" s="110" t="s">
        <v>752</v>
      </c>
      <c r="B3" s="110" t="s">
        <v>890</v>
      </c>
      <c r="C3" s="109" t="s">
        <v>891</v>
      </c>
      <c r="D3" s="111">
        <v>798153.7</v>
      </c>
      <c r="E3" s="111">
        <v>294766.78000000003</v>
      </c>
      <c r="F3" s="111">
        <v>503386.92</v>
      </c>
      <c r="G3" s="111">
        <v>595015.81999999995</v>
      </c>
      <c r="H3" s="111">
        <v>798155</v>
      </c>
      <c r="I3" s="111">
        <v>294766</v>
      </c>
      <c r="J3" s="111">
        <v>503389</v>
      </c>
      <c r="K3" s="111">
        <v>595016</v>
      </c>
    </row>
    <row r="4" spans="1:11" x14ac:dyDescent="0.25">
      <c r="A4" s="110" t="s">
        <v>892</v>
      </c>
      <c r="B4" s="110" t="s">
        <v>893</v>
      </c>
      <c r="C4" s="109" t="s">
        <v>894</v>
      </c>
      <c r="D4" s="111">
        <v>38107.46</v>
      </c>
      <c r="E4" s="111">
        <v>28507.200000000001</v>
      </c>
      <c r="F4" s="111">
        <v>9600.26</v>
      </c>
      <c r="G4" s="111">
        <v>10610.82</v>
      </c>
      <c r="H4" s="111">
        <v>38108</v>
      </c>
      <c r="I4" s="111">
        <v>28507</v>
      </c>
      <c r="J4" s="111">
        <v>9601</v>
      </c>
      <c r="K4" s="111">
        <v>10611</v>
      </c>
    </row>
    <row r="5" spans="1:11" x14ac:dyDescent="0.25">
      <c r="A5" s="110" t="s">
        <v>895</v>
      </c>
      <c r="B5" s="110" t="s">
        <v>896</v>
      </c>
      <c r="C5" s="109" t="s">
        <v>897</v>
      </c>
      <c r="D5" s="111">
        <v>0</v>
      </c>
      <c r="E5" s="111">
        <v>0</v>
      </c>
      <c r="F5" s="111">
        <v>0</v>
      </c>
      <c r="G5" s="111">
        <v>0</v>
      </c>
      <c r="H5" s="111">
        <v>0</v>
      </c>
      <c r="I5" s="111">
        <v>0</v>
      </c>
      <c r="J5" s="111">
        <v>0</v>
      </c>
      <c r="K5" s="111">
        <v>0</v>
      </c>
    </row>
    <row r="6" spans="1:11" x14ac:dyDescent="0.25">
      <c r="A6" s="110">
        <v>2</v>
      </c>
      <c r="B6" s="110" t="s">
        <v>898</v>
      </c>
      <c r="C6" s="109" t="s">
        <v>899</v>
      </c>
      <c r="D6" s="111">
        <v>25980.799999999999</v>
      </c>
      <c r="E6" s="111">
        <v>25980.799999999999</v>
      </c>
      <c r="F6" s="111">
        <v>0</v>
      </c>
      <c r="G6" s="111">
        <v>0</v>
      </c>
      <c r="H6" s="111">
        <v>25981</v>
      </c>
      <c r="I6" s="111">
        <v>25981</v>
      </c>
      <c r="J6" s="111">
        <v>0</v>
      </c>
      <c r="K6" s="111">
        <v>0</v>
      </c>
    </row>
    <row r="7" spans="1:11" x14ac:dyDescent="0.25">
      <c r="A7" s="110">
        <v>3</v>
      </c>
      <c r="B7" s="110" t="s">
        <v>900</v>
      </c>
      <c r="C7" s="109" t="s">
        <v>901</v>
      </c>
      <c r="D7" s="111">
        <v>12126.66</v>
      </c>
      <c r="E7" s="111">
        <v>2526.4</v>
      </c>
      <c r="F7" s="111">
        <v>9600.26</v>
      </c>
      <c r="G7" s="111">
        <v>10610.82</v>
      </c>
      <c r="H7" s="111">
        <v>12127</v>
      </c>
      <c r="I7" s="111">
        <v>2526</v>
      </c>
      <c r="J7" s="111">
        <v>9601</v>
      </c>
      <c r="K7" s="111">
        <v>10611</v>
      </c>
    </row>
    <row r="8" spans="1:11" x14ac:dyDescent="0.25">
      <c r="A8" s="110">
        <v>4</v>
      </c>
      <c r="B8" s="110" t="s">
        <v>902</v>
      </c>
      <c r="C8" s="109" t="s">
        <v>903</v>
      </c>
      <c r="D8" s="111">
        <v>0</v>
      </c>
      <c r="E8" s="111">
        <v>0</v>
      </c>
      <c r="F8" s="111">
        <v>0</v>
      </c>
      <c r="G8" s="111">
        <v>0</v>
      </c>
      <c r="H8" s="111">
        <v>0</v>
      </c>
      <c r="I8" s="111">
        <v>0</v>
      </c>
      <c r="J8" s="111">
        <v>0</v>
      </c>
      <c r="K8" s="111">
        <v>0</v>
      </c>
    </row>
    <row r="9" spans="1:11" x14ac:dyDescent="0.25">
      <c r="A9" s="110">
        <v>5</v>
      </c>
      <c r="B9" s="110" t="s">
        <v>904</v>
      </c>
      <c r="C9" s="109" t="s">
        <v>905</v>
      </c>
      <c r="D9" s="111">
        <v>0</v>
      </c>
      <c r="E9" s="111">
        <v>0</v>
      </c>
      <c r="F9" s="111">
        <v>0</v>
      </c>
      <c r="G9" s="111">
        <v>0</v>
      </c>
      <c r="H9" s="111">
        <v>0</v>
      </c>
      <c r="I9" s="111">
        <v>0</v>
      </c>
      <c r="J9" s="111">
        <v>0</v>
      </c>
      <c r="K9" s="111">
        <v>0</v>
      </c>
    </row>
    <row r="10" spans="1:11" x14ac:dyDescent="0.25">
      <c r="A10" s="110">
        <v>6</v>
      </c>
      <c r="B10" s="110" t="s">
        <v>906</v>
      </c>
      <c r="C10" s="109" t="s">
        <v>907</v>
      </c>
      <c r="D10" s="111">
        <v>0</v>
      </c>
      <c r="E10" s="111">
        <v>0</v>
      </c>
      <c r="F10" s="111">
        <v>0</v>
      </c>
      <c r="G10" s="111">
        <v>0</v>
      </c>
      <c r="H10" s="111">
        <v>0</v>
      </c>
      <c r="I10" s="111">
        <v>0</v>
      </c>
      <c r="J10" s="111">
        <v>0</v>
      </c>
      <c r="K10" s="111">
        <v>0</v>
      </c>
    </row>
    <row r="11" spans="1:11" x14ac:dyDescent="0.25">
      <c r="A11" s="110">
        <v>7</v>
      </c>
      <c r="B11" s="110" t="s">
        <v>908</v>
      </c>
      <c r="C11" s="109" t="s">
        <v>909</v>
      </c>
      <c r="D11" s="111">
        <v>0</v>
      </c>
      <c r="E11" s="111">
        <v>0</v>
      </c>
      <c r="F11" s="111">
        <v>0</v>
      </c>
      <c r="G11" s="111">
        <v>0</v>
      </c>
      <c r="H11" s="111">
        <v>0</v>
      </c>
      <c r="I11" s="111">
        <v>0</v>
      </c>
      <c r="J11" s="111">
        <v>0</v>
      </c>
      <c r="K11" s="111">
        <v>0</v>
      </c>
    </row>
    <row r="12" spans="1:11" x14ac:dyDescent="0.25">
      <c r="A12" s="110" t="s">
        <v>910</v>
      </c>
      <c r="B12" s="110" t="s">
        <v>911</v>
      </c>
      <c r="C12" s="109" t="s">
        <v>912</v>
      </c>
      <c r="D12" s="111">
        <v>394016.21</v>
      </c>
      <c r="E12" s="111">
        <v>266259.58</v>
      </c>
      <c r="F12" s="111">
        <v>127756.63</v>
      </c>
      <c r="G12" s="111">
        <v>218374.97</v>
      </c>
      <c r="H12" s="111">
        <v>394017</v>
      </c>
      <c r="I12" s="111">
        <v>266259</v>
      </c>
      <c r="J12" s="111">
        <v>127758</v>
      </c>
      <c r="K12" s="111">
        <v>218375</v>
      </c>
    </row>
    <row r="13" spans="1:11" x14ac:dyDescent="0.25">
      <c r="A13" s="110" t="s">
        <v>913</v>
      </c>
      <c r="B13" s="110" t="s">
        <v>914</v>
      </c>
      <c r="C13" s="109" t="s">
        <v>915</v>
      </c>
      <c r="D13" s="111">
        <v>9068</v>
      </c>
      <c r="E13" s="111">
        <v>0</v>
      </c>
      <c r="F13" s="111">
        <v>9068</v>
      </c>
      <c r="G13" s="111">
        <v>34418</v>
      </c>
      <c r="H13" s="111">
        <v>9068</v>
      </c>
      <c r="I13" s="111">
        <v>0</v>
      </c>
      <c r="J13" s="111">
        <v>9068</v>
      </c>
      <c r="K13" s="111">
        <v>34418</v>
      </c>
    </row>
    <row r="14" spans="1:11" x14ac:dyDescent="0.25">
      <c r="A14" s="110">
        <v>2</v>
      </c>
      <c r="B14" s="110" t="s">
        <v>916</v>
      </c>
      <c r="C14" s="109" t="s">
        <v>607</v>
      </c>
      <c r="D14" s="111">
        <v>112584.61</v>
      </c>
      <c r="E14" s="111">
        <v>46366.22</v>
      </c>
      <c r="F14" s="111">
        <v>66218.39</v>
      </c>
      <c r="G14" s="111">
        <v>101372.39</v>
      </c>
      <c r="H14" s="111">
        <v>112585</v>
      </c>
      <c r="I14" s="111">
        <v>46366</v>
      </c>
      <c r="J14" s="111">
        <v>66219</v>
      </c>
      <c r="K14" s="111">
        <v>101372</v>
      </c>
    </row>
    <row r="15" spans="1:11" x14ac:dyDescent="0.25">
      <c r="A15" s="110">
        <v>3</v>
      </c>
      <c r="B15" s="110" t="s">
        <v>917</v>
      </c>
      <c r="C15" s="109" t="s">
        <v>609</v>
      </c>
      <c r="D15" s="111">
        <v>172559.91</v>
      </c>
      <c r="E15" s="111">
        <v>140105.37</v>
      </c>
      <c r="F15" s="111">
        <v>32454.54</v>
      </c>
      <c r="G15" s="111">
        <v>48101.99</v>
      </c>
      <c r="H15" s="111">
        <v>172560</v>
      </c>
      <c r="I15" s="111">
        <v>140105</v>
      </c>
      <c r="J15" s="111">
        <v>32455</v>
      </c>
      <c r="K15" s="111">
        <v>48102</v>
      </c>
    </row>
    <row r="16" spans="1:11" x14ac:dyDescent="0.25">
      <c r="A16" s="110">
        <v>4</v>
      </c>
      <c r="B16" s="110" t="s">
        <v>918</v>
      </c>
      <c r="C16" s="109" t="s">
        <v>919</v>
      </c>
      <c r="D16" s="111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</row>
    <row r="17" spans="1:11" x14ac:dyDescent="0.25">
      <c r="A17" s="110">
        <v>5</v>
      </c>
      <c r="B17" s="110" t="s">
        <v>920</v>
      </c>
      <c r="C17" s="109" t="s">
        <v>921</v>
      </c>
      <c r="D17" s="111">
        <v>9800</v>
      </c>
      <c r="E17" s="111">
        <v>2661.65</v>
      </c>
      <c r="F17" s="111">
        <v>7138.35</v>
      </c>
      <c r="G17" s="111">
        <v>1874.98</v>
      </c>
      <c r="H17" s="111">
        <v>9800</v>
      </c>
      <c r="I17" s="111">
        <v>2662</v>
      </c>
      <c r="J17" s="111">
        <v>7138</v>
      </c>
      <c r="K17" s="111">
        <v>1875</v>
      </c>
    </row>
    <row r="18" spans="1:11" x14ac:dyDescent="0.25">
      <c r="A18" s="110">
        <v>6</v>
      </c>
      <c r="B18" s="110" t="s">
        <v>922</v>
      </c>
      <c r="C18" s="109" t="s">
        <v>923</v>
      </c>
      <c r="D18" s="111">
        <v>90003.69</v>
      </c>
      <c r="E18" s="111">
        <v>77126.34</v>
      </c>
      <c r="F18" s="111">
        <v>12877.35</v>
      </c>
      <c r="G18" s="111">
        <v>32607.61</v>
      </c>
      <c r="H18" s="111">
        <v>90004</v>
      </c>
      <c r="I18" s="111">
        <v>77126</v>
      </c>
      <c r="J18" s="111">
        <v>12878</v>
      </c>
      <c r="K18" s="111">
        <v>32608</v>
      </c>
    </row>
    <row r="19" spans="1:11" x14ac:dyDescent="0.25">
      <c r="A19" s="110">
        <v>7</v>
      </c>
      <c r="B19" s="110" t="s">
        <v>924</v>
      </c>
      <c r="C19" s="109" t="s">
        <v>925</v>
      </c>
      <c r="D19" s="111">
        <v>0</v>
      </c>
      <c r="E19" s="111">
        <v>0</v>
      </c>
      <c r="F19" s="111">
        <v>0</v>
      </c>
      <c r="G19" s="111">
        <v>0</v>
      </c>
      <c r="H19" s="111">
        <v>0</v>
      </c>
      <c r="I19" s="111">
        <v>0</v>
      </c>
      <c r="J19" s="111">
        <v>0</v>
      </c>
      <c r="K19" s="111">
        <v>0</v>
      </c>
    </row>
    <row r="20" spans="1:11" x14ac:dyDescent="0.25">
      <c r="A20" s="110">
        <v>8</v>
      </c>
      <c r="B20" s="110" t="s">
        <v>926</v>
      </c>
      <c r="C20" s="109" t="s">
        <v>927</v>
      </c>
      <c r="D20" s="111">
        <v>0</v>
      </c>
      <c r="E20" s="111">
        <v>0</v>
      </c>
      <c r="F20" s="111">
        <v>0</v>
      </c>
      <c r="G20" s="111">
        <v>0</v>
      </c>
      <c r="H20" s="111">
        <v>0</v>
      </c>
      <c r="I20" s="111">
        <v>0</v>
      </c>
      <c r="J20" s="111">
        <v>0</v>
      </c>
      <c r="K20" s="111">
        <v>0</v>
      </c>
    </row>
    <row r="21" spans="1:11" x14ac:dyDescent="0.25">
      <c r="A21" s="110">
        <v>9</v>
      </c>
      <c r="B21" s="110" t="s">
        <v>928</v>
      </c>
      <c r="C21" s="109" t="s">
        <v>929</v>
      </c>
      <c r="D21" s="111">
        <v>0</v>
      </c>
      <c r="E21" s="111">
        <v>0</v>
      </c>
      <c r="F21" s="111">
        <v>0</v>
      </c>
      <c r="G21" s="111">
        <v>0</v>
      </c>
      <c r="H21" s="111">
        <v>0</v>
      </c>
      <c r="I21" s="111">
        <v>0</v>
      </c>
      <c r="J21" s="111">
        <v>0</v>
      </c>
      <c r="K21" s="111">
        <v>0</v>
      </c>
    </row>
    <row r="22" spans="1:11" x14ac:dyDescent="0.25">
      <c r="A22" s="110" t="s">
        <v>930</v>
      </c>
      <c r="B22" s="110" t="s">
        <v>931</v>
      </c>
      <c r="C22" s="109" t="s">
        <v>610</v>
      </c>
      <c r="D22" s="111">
        <v>366030.03</v>
      </c>
      <c r="E22" s="111">
        <v>0</v>
      </c>
      <c r="F22" s="111">
        <v>366030.03</v>
      </c>
      <c r="G22" s="111">
        <v>366030.03</v>
      </c>
      <c r="H22" s="111">
        <v>366030</v>
      </c>
      <c r="I22" s="111">
        <v>0</v>
      </c>
      <c r="J22" s="111">
        <v>366030</v>
      </c>
      <c r="K22" s="111">
        <v>366030</v>
      </c>
    </row>
    <row r="23" spans="1:11" x14ac:dyDescent="0.25">
      <c r="A23" s="110" t="s">
        <v>932</v>
      </c>
      <c r="B23" s="110" t="s">
        <v>933</v>
      </c>
      <c r="C23" s="109" t="s">
        <v>611</v>
      </c>
      <c r="D23" s="111">
        <v>366030.03</v>
      </c>
      <c r="E23" s="111">
        <v>0</v>
      </c>
      <c r="F23" s="111">
        <v>366030.03</v>
      </c>
      <c r="G23" s="111">
        <v>366030.03</v>
      </c>
      <c r="H23" s="111">
        <v>366030</v>
      </c>
      <c r="I23" s="111">
        <v>0</v>
      </c>
      <c r="J23" s="111">
        <v>366030</v>
      </c>
      <c r="K23" s="111">
        <v>366030</v>
      </c>
    </row>
    <row r="24" spans="1:11" x14ac:dyDescent="0.25">
      <c r="A24" s="110">
        <v>2</v>
      </c>
      <c r="B24" s="110" t="s">
        <v>934</v>
      </c>
      <c r="C24" s="109" t="s">
        <v>935</v>
      </c>
      <c r="D24" s="111">
        <v>0</v>
      </c>
      <c r="E24" s="111">
        <v>0</v>
      </c>
      <c r="F24" s="111">
        <v>0</v>
      </c>
      <c r="G24" s="111">
        <v>0</v>
      </c>
      <c r="H24" s="111">
        <v>0</v>
      </c>
      <c r="I24" s="111">
        <v>0</v>
      </c>
      <c r="J24" s="111">
        <v>0</v>
      </c>
      <c r="K24" s="111">
        <v>0</v>
      </c>
    </row>
    <row r="25" spans="1:11" x14ac:dyDescent="0.25">
      <c r="A25" s="110">
        <v>3</v>
      </c>
      <c r="B25" s="110" t="s">
        <v>936</v>
      </c>
      <c r="C25" s="109" t="s">
        <v>937</v>
      </c>
      <c r="D25" s="111">
        <v>0</v>
      </c>
      <c r="E25" s="111">
        <v>0</v>
      </c>
      <c r="F25" s="111">
        <v>0</v>
      </c>
      <c r="G25" s="111">
        <v>0</v>
      </c>
      <c r="H25" s="111">
        <v>0</v>
      </c>
      <c r="I25" s="111">
        <v>0</v>
      </c>
      <c r="J25" s="111">
        <v>0</v>
      </c>
      <c r="K25" s="111">
        <v>0</v>
      </c>
    </row>
    <row r="26" spans="1:11" x14ac:dyDescent="0.25">
      <c r="A26" s="110">
        <v>4</v>
      </c>
      <c r="B26" s="110" t="s">
        <v>938</v>
      </c>
      <c r="C26" s="109" t="s">
        <v>939</v>
      </c>
      <c r="D26" s="111">
        <v>0</v>
      </c>
      <c r="E26" s="111">
        <v>0</v>
      </c>
      <c r="F26" s="111">
        <v>0</v>
      </c>
      <c r="G26" s="111">
        <v>0</v>
      </c>
      <c r="H26" s="111">
        <v>0</v>
      </c>
      <c r="I26" s="111">
        <v>0</v>
      </c>
      <c r="J26" s="111">
        <v>0</v>
      </c>
      <c r="K26" s="111">
        <v>0</v>
      </c>
    </row>
    <row r="27" spans="1:11" x14ac:dyDescent="0.25">
      <c r="A27" s="110">
        <v>5</v>
      </c>
      <c r="B27" s="110" t="s">
        <v>940</v>
      </c>
      <c r="C27" s="109" t="s">
        <v>613</v>
      </c>
      <c r="D27" s="111">
        <v>0</v>
      </c>
      <c r="E27" s="111">
        <v>0</v>
      </c>
      <c r="F27" s="111">
        <v>0</v>
      </c>
      <c r="G27" s="111">
        <v>0</v>
      </c>
      <c r="H27" s="111">
        <v>0</v>
      </c>
      <c r="I27" s="111">
        <v>0</v>
      </c>
      <c r="J27" s="111">
        <v>0</v>
      </c>
      <c r="K27" s="111">
        <v>0</v>
      </c>
    </row>
    <row r="28" spans="1:11" x14ac:dyDescent="0.25">
      <c r="A28" s="110">
        <v>6</v>
      </c>
      <c r="B28" s="110" t="s">
        <v>941</v>
      </c>
      <c r="C28" s="109" t="s">
        <v>942</v>
      </c>
      <c r="D28" s="111">
        <v>0</v>
      </c>
      <c r="E28" s="111">
        <v>0</v>
      </c>
      <c r="F28" s="111">
        <v>0</v>
      </c>
      <c r="G28" s="111">
        <v>0</v>
      </c>
      <c r="H28" s="111">
        <v>0</v>
      </c>
      <c r="I28" s="111">
        <v>0</v>
      </c>
      <c r="J28" s="111">
        <v>0</v>
      </c>
      <c r="K28" s="111">
        <v>0</v>
      </c>
    </row>
    <row r="29" spans="1:11" x14ac:dyDescent="0.25">
      <c r="A29" s="110">
        <v>7</v>
      </c>
      <c r="B29" s="110" t="s">
        <v>943</v>
      </c>
      <c r="C29" s="109" t="s">
        <v>944</v>
      </c>
      <c r="D29" s="111">
        <v>0</v>
      </c>
      <c r="E29" s="111">
        <v>0</v>
      </c>
      <c r="F29" s="111">
        <v>0</v>
      </c>
      <c r="G29" s="111">
        <v>0</v>
      </c>
      <c r="H29" s="111">
        <v>0</v>
      </c>
      <c r="I29" s="111">
        <v>0</v>
      </c>
      <c r="J29" s="111">
        <v>0</v>
      </c>
      <c r="K29" s="111">
        <v>0</v>
      </c>
    </row>
    <row r="30" spans="1:11" x14ac:dyDescent="0.25">
      <c r="A30" s="110">
        <v>8</v>
      </c>
      <c r="B30" s="110" t="s">
        <v>945</v>
      </c>
      <c r="C30" s="109" t="s">
        <v>615</v>
      </c>
      <c r="D30" s="111">
        <v>0</v>
      </c>
      <c r="E30" s="111">
        <v>0</v>
      </c>
      <c r="F30" s="111">
        <v>0</v>
      </c>
      <c r="G30" s="111">
        <v>0</v>
      </c>
      <c r="H30" s="111">
        <v>0</v>
      </c>
      <c r="I30" s="111">
        <v>0</v>
      </c>
      <c r="J30" s="111">
        <v>0</v>
      </c>
      <c r="K30" s="111">
        <v>0</v>
      </c>
    </row>
    <row r="31" spans="1:11" x14ac:dyDescent="0.25">
      <c r="A31" s="110">
        <v>9</v>
      </c>
      <c r="B31" s="110" t="s">
        <v>946</v>
      </c>
      <c r="C31" s="109" t="s">
        <v>947</v>
      </c>
      <c r="D31" s="111">
        <v>0</v>
      </c>
      <c r="E31" s="111">
        <v>0</v>
      </c>
      <c r="F31" s="111">
        <v>0</v>
      </c>
      <c r="G31" s="111">
        <v>0</v>
      </c>
      <c r="H31" s="111">
        <v>0</v>
      </c>
      <c r="I31" s="111">
        <v>0</v>
      </c>
      <c r="J31" s="111">
        <v>0</v>
      </c>
      <c r="K31" s="111">
        <v>0</v>
      </c>
    </row>
    <row r="32" spans="1:11" x14ac:dyDescent="0.25">
      <c r="A32" s="110">
        <v>10</v>
      </c>
      <c r="B32" s="110" t="s">
        <v>948</v>
      </c>
      <c r="C32" s="109" t="s">
        <v>617</v>
      </c>
      <c r="D32" s="111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</row>
    <row r="33" spans="1:11" x14ac:dyDescent="0.25">
      <c r="A33" s="110">
        <v>11</v>
      </c>
      <c r="B33" s="110" t="s">
        <v>949</v>
      </c>
      <c r="C33" s="109" t="s">
        <v>950</v>
      </c>
      <c r="D33" s="111">
        <v>0</v>
      </c>
      <c r="E33" s="111">
        <v>0</v>
      </c>
      <c r="F33" s="111">
        <v>0</v>
      </c>
      <c r="G33" s="111">
        <v>0</v>
      </c>
      <c r="H33" s="111">
        <v>0</v>
      </c>
      <c r="I33" s="111">
        <v>0</v>
      </c>
      <c r="J33" s="111">
        <v>0</v>
      </c>
      <c r="K33" s="111">
        <v>0</v>
      </c>
    </row>
    <row r="34" spans="1:11" x14ac:dyDescent="0.25">
      <c r="A34" s="110" t="s">
        <v>755</v>
      </c>
      <c r="B34" s="110" t="s">
        <v>951</v>
      </c>
      <c r="C34" s="109" t="s">
        <v>952</v>
      </c>
      <c r="D34" s="111">
        <v>211923.29</v>
      </c>
      <c r="E34" s="111">
        <v>0</v>
      </c>
      <c r="F34" s="111">
        <v>211923.29</v>
      </c>
      <c r="G34" s="111">
        <v>262632.24</v>
      </c>
      <c r="H34" s="111">
        <v>211923</v>
      </c>
      <c r="I34" s="111">
        <v>0</v>
      </c>
      <c r="J34" s="111">
        <v>211923</v>
      </c>
      <c r="K34" s="111">
        <v>262632</v>
      </c>
    </row>
    <row r="35" spans="1:11" x14ac:dyDescent="0.25">
      <c r="A35" s="110" t="s">
        <v>953</v>
      </c>
      <c r="B35" s="110" t="s">
        <v>954</v>
      </c>
      <c r="C35" s="109" t="s">
        <v>955</v>
      </c>
      <c r="D35" s="111">
        <v>225064.9</v>
      </c>
      <c r="E35" s="111">
        <v>0</v>
      </c>
      <c r="F35" s="111">
        <v>225064.9</v>
      </c>
      <c r="G35" s="111">
        <v>250222.53</v>
      </c>
      <c r="H35" s="111">
        <v>225065</v>
      </c>
      <c r="I35" s="111">
        <v>0</v>
      </c>
      <c r="J35" s="111">
        <v>225065</v>
      </c>
      <c r="K35" s="111">
        <v>250223</v>
      </c>
    </row>
    <row r="36" spans="1:11" x14ac:dyDescent="0.25">
      <c r="A36" s="110" t="s">
        <v>956</v>
      </c>
      <c r="B36" s="110" t="s">
        <v>957</v>
      </c>
      <c r="C36" s="109" t="s">
        <v>958</v>
      </c>
      <c r="D36" s="111">
        <v>86.71</v>
      </c>
      <c r="E36" s="111">
        <v>0</v>
      </c>
      <c r="F36" s="111">
        <v>86.71</v>
      </c>
      <c r="G36" s="111">
        <v>157.55000000000001</v>
      </c>
      <c r="H36" s="111">
        <v>87</v>
      </c>
      <c r="I36" s="111">
        <v>0</v>
      </c>
      <c r="J36" s="111">
        <v>87</v>
      </c>
      <c r="K36" s="111">
        <v>158</v>
      </c>
    </row>
    <row r="37" spans="1:11" x14ac:dyDescent="0.25">
      <c r="A37" s="110">
        <v>2</v>
      </c>
      <c r="B37" s="110" t="s">
        <v>959</v>
      </c>
      <c r="C37" s="109" t="s">
        <v>960</v>
      </c>
      <c r="D37" s="111">
        <v>0</v>
      </c>
      <c r="E37" s="111">
        <v>0</v>
      </c>
      <c r="F37" s="111">
        <v>0</v>
      </c>
      <c r="G37" s="111">
        <v>0</v>
      </c>
      <c r="H37" s="111">
        <v>0</v>
      </c>
      <c r="I37" s="111">
        <v>0</v>
      </c>
      <c r="J37" s="111">
        <v>0</v>
      </c>
      <c r="K37" s="111">
        <v>0</v>
      </c>
    </row>
    <row r="38" spans="1:11" x14ac:dyDescent="0.25">
      <c r="A38" s="110">
        <v>3</v>
      </c>
      <c r="B38" s="110" t="s">
        <v>961</v>
      </c>
      <c r="C38" s="109" t="s">
        <v>962</v>
      </c>
      <c r="D38" s="111">
        <v>385.13</v>
      </c>
      <c r="E38" s="111">
        <v>0</v>
      </c>
      <c r="F38" s="111">
        <v>385.13</v>
      </c>
      <c r="G38" s="111">
        <v>144</v>
      </c>
      <c r="H38" s="111">
        <v>385</v>
      </c>
      <c r="I38" s="111">
        <v>0</v>
      </c>
      <c r="J38" s="111">
        <v>385</v>
      </c>
      <c r="K38" s="111">
        <v>144</v>
      </c>
    </row>
    <row r="39" spans="1:11" x14ac:dyDescent="0.25">
      <c r="A39" s="110">
        <v>4</v>
      </c>
      <c r="B39" s="110" t="s">
        <v>963</v>
      </c>
      <c r="C39" s="109" t="s">
        <v>964</v>
      </c>
      <c r="D39" s="111">
        <v>1550</v>
      </c>
      <c r="E39" s="111">
        <v>0</v>
      </c>
      <c r="F39" s="111">
        <v>1550</v>
      </c>
      <c r="G39" s="111">
        <v>4100</v>
      </c>
      <c r="H39" s="111">
        <v>1550</v>
      </c>
      <c r="I39" s="111">
        <v>0</v>
      </c>
      <c r="J39" s="111">
        <v>1550</v>
      </c>
      <c r="K39" s="111">
        <v>4100</v>
      </c>
    </row>
    <row r="40" spans="1:11" x14ac:dyDescent="0.25">
      <c r="A40" s="110">
        <v>5</v>
      </c>
      <c r="B40" s="110" t="s">
        <v>965</v>
      </c>
      <c r="C40" s="109" t="s">
        <v>966</v>
      </c>
      <c r="D40" s="111">
        <v>223043.06</v>
      </c>
      <c r="E40" s="111">
        <v>0</v>
      </c>
      <c r="F40" s="111">
        <v>223043.06</v>
      </c>
      <c r="G40" s="111">
        <v>245820.98</v>
      </c>
      <c r="H40" s="111">
        <v>223043</v>
      </c>
      <c r="I40" s="111">
        <v>0</v>
      </c>
      <c r="J40" s="111">
        <v>223043</v>
      </c>
      <c r="K40" s="111">
        <v>245821</v>
      </c>
    </row>
    <row r="41" spans="1:11" x14ac:dyDescent="0.25">
      <c r="A41" s="110">
        <v>6</v>
      </c>
      <c r="B41" s="110" t="s">
        <v>967</v>
      </c>
      <c r="C41" s="109" t="s">
        <v>968</v>
      </c>
      <c r="D41" s="111">
        <v>0</v>
      </c>
      <c r="E41" s="111">
        <v>0</v>
      </c>
      <c r="F41" s="111">
        <v>0</v>
      </c>
      <c r="G41" s="111">
        <v>0</v>
      </c>
      <c r="H41" s="111">
        <v>0</v>
      </c>
      <c r="I41" s="111">
        <v>0</v>
      </c>
      <c r="J41" s="111">
        <v>0</v>
      </c>
      <c r="K41" s="111">
        <v>0</v>
      </c>
    </row>
    <row r="42" spans="1:11" x14ac:dyDescent="0.25">
      <c r="A42" s="110" t="s">
        <v>969</v>
      </c>
      <c r="B42" s="110" t="s">
        <v>970</v>
      </c>
      <c r="C42" s="109" t="s">
        <v>971</v>
      </c>
      <c r="D42" s="111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</row>
    <row r="43" spans="1:11" x14ac:dyDescent="0.25">
      <c r="A43" s="110" t="s">
        <v>972</v>
      </c>
      <c r="B43" s="110" t="s">
        <v>973</v>
      </c>
      <c r="C43" s="109" t="s">
        <v>618</v>
      </c>
      <c r="D43" s="111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11">
        <v>0</v>
      </c>
    </row>
    <row r="44" spans="1:11" x14ac:dyDescent="0.25">
      <c r="A44" s="110" t="s">
        <v>974</v>
      </c>
      <c r="B44" s="110" t="s">
        <v>975</v>
      </c>
      <c r="C44" s="109" t="s">
        <v>722</v>
      </c>
      <c r="D44" s="111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</row>
    <row r="45" spans="1:11" x14ac:dyDescent="0.25">
      <c r="A45" s="110" t="s">
        <v>976</v>
      </c>
      <c r="B45" s="110" t="s">
        <v>977</v>
      </c>
      <c r="C45" s="109" t="s">
        <v>978</v>
      </c>
      <c r="D45" s="111">
        <v>0</v>
      </c>
      <c r="E45" s="111">
        <v>0</v>
      </c>
      <c r="F45" s="111">
        <v>0</v>
      </c>
      <c r="G45" s="111">
        <v>0</v>
      </c>
      <c r="H45" s="111">
        <v>0</v>
      </c>
      <c r="I45" s="111">
        <v>0</v>
      </c>
      <c r="J45" s="111">
        <v>0</v>
      </c>
      <c r="K45" s="111">
        <v>0</v>
      </c>
    </row>
    <row r="46" spans="1:11" x14ac:dyDescent="0.25">
      <c r="A46" s="110" t="s">
        <v>979</v>
      </c>
      <c r="B46" s="110" t="s">
        <v>980</v>
      </c>
      <c r="C46" s="109" t="s">
        <v>981</v>
      </c>
      <c r="D46" s="111">
        <v>0</v>
      </c>
      <c r="E46" s="111">
        <v>0</v>
      </c>
      <c r="F46" s="111">
        <v>0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</row>
    <row r="47" spans="1:11" x14ac:dyDescent="0.25">
      <c r="A47" s="110">
        <v>2</v>
      </c>
      <c r="B47" s="110" t="s">
        <v>982</v>
      </c>
      <c r="C47" s="109" t="s">
        <v>983</v>
      </c>
      <c r="D47" s="111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</row>
    <row r="48" spans="1:11" x14ac:dyDescent="0.25">
      <c r="A48" s="110">
        <v>3</v>
      </c>
      <c r="B48" s="110" t="s">
        <v>984</v>
      </c>
      <c r="C48" s="109" t="s">
        <v>985</v>
      </c>
      <c r="D48" s="111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</row>
    <row r="49" spans="1:11" x14ac:dyDescent="0.25">
      <c r="A49" s="110">
        <v>4</v>
      </c>
      <c r="B49" s="110" t="s">
        <v>986</v>
      </c>
      <c r="C49" s="109" t="s">
        <v>987</v>
      </c>
      <c r="D49" s="111">
        <v>0</v>
      </c>
      <c r="E49" s="111">
        <v>0</v>
      </c>
      <c r="F49" s="111">
        <v>0</v>
      </c>
      <c r="G49" s="111">
        <v>0</v>
      </c>
      <c r="H49" s="111">
        <v>0</v>
      </c>
      <c r="I49" s="111">
        <v>0</v>
      </c>
      <c r="J49" s="111">
        <v>0</v>
      </c>
      <c r="K49" s="111">
        <v>0</v>
      </c>
    </row>
    <row r="50" spans="1:11" x14ac:dyDescent="0.25">
      <c r="A50" s="110">
        <v>5</v>
      </c>
      <c r="B50" s="110" t="s">
        <v>988</v>
      </c>
      <c r="C50" s="109" t="s">
        <v>989</v>
      </c>
      <c r="D50" s="111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</row>
    <row r="51" spans="1:11" x14ac:dyDescent="0.25">
      <c r="A51" s="110">
        <v>6</v>
      </c>
      <c r="B51" s="110" t="s">
        <v>990</v>
      </c>
      <c r="C51" s="109" t="s">
        <v>991</v>
      </c>
      <c r="D51" s="111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</row>
    <row r="52" spans="1:11" x14ac:dyDescent="0.25">
      <c r="A52" s="110">
        <v>7</v>
      </c>
      <c r="B52" s="110" t="s">
        <v>992</v>
      </c>
      <c r="C52" s="109" t="s">
        <v>993</v>
      </c>
      <c r="D52" s="111">
        <v>0</v>
      </c>
      <c r="E52" s="111">
        <v>0</v>
      </c>
      <c r="F52" s="111">
        <v>0</v>
      </c>
      <c r="G52" s="111">
        <v>0</v>
      </c>
      <c r="H52" s="111">
        <v>0</v>
      </c>
      <c r="I52" s="111">
        <v>0</v>
      </c>
      <c r="J52" s="111">
        <v>0</v>
      </c>
      <c r="K52" s="111">
        <v>0</v>
      </c>
    </row>
    <row r="53" spans="1:11" x14ac:dyDescent="0.25">
      <c r="A53" s="110">
        <v>8</v>
      </c>
      <c r="B53" s="110" t="s">
        <v>994</v>
      </c>
      <c r="C53" s="109" t="s">
        <v>995</v>
      </c>
      <c r="D53" s="111">
        <v>0</v>
      </c>
      <c r="E53" s="111">
        <v>0</v>
      </c>
      <c r="F53" s="111">
        <v>0</v>
      </c>
      <c r="G53" s="111">
        <v>0</v>
      </c>
      <c r="H53" s="111">
        <v>0</v>
      </c>
      <c r="I53" s="111">
        <v>0</v>
      </c>
      <c r="J53" s="111">
        <v>0</v>
      </c>
      <c r="K53" s="111">
        <v>0</v>
      </c>
    </row>
    <row r="54" spans="1:11" x14ac:dyDescent="0.25">
      <c r="A54" s="110" t="s">
        <v>996</v>
      </c>
      <c r="B54" s="110" t="s">
        <v>997</v>
      </c>
      <c r="C54" s="109" t="s">
        <v>998</v>
      </c>
      <c r="D54" s="111">
        <v>8201.93</v>
      </c>
      <c r="E54" s="111">
        <v>0</v>
      </c>
      <c r="F54" s="111">
        <v>8201.93</v>
      </c>
      <c r="G54" s="111">
        <v>34595.47</v>
      </c>
      <c r="H54" s="111">
        <v>8202</v>
      </c>
      <c r="I54" s="111">
        <v>0</v>
      </c>
      <c r="J54" s="111">
        <v>8202</v>
      </c>
      <c r="K54" s="111">
        <v>34595</v>
      </c>
    </row>
    <row r="55" spans="1:11" x14ac:dyDescent="0.25">
      <c r="A55" s="110" t="s">
        <v>999</v>
      </c>
      <c r="B55" s="110" t="s">
        <v>1000</v>
      </c>
      <c r="C55" s="109" t="s">
        <v>1001</v>
      </c>
      <c r="D55" s="111">
        <v>7217.68</v>
      </c>
      <c r="E55" s="111">
        <v>0</v>
      </c>
      <c r="F55" s="111">
        <v>7217.68</v>
      </c>
      <c r="G55" s="111">
        <v>25267.03</v>
      </c>
      <c r="H55" s="111">
        <v>7218</v>
      </c>
      <c r="I55" s="111">
        <v>0</v>
      </c>
      <c r="J55" s="111">
        <v>7218</v>
      </c>
      <c r="K55" s="111">
        <v>25267</v>
      </c>
    </row>
    <row r="56" spans="1:11" x14ac:dyDescent="0.25">
      <c r="A56" s="110" t="s">
        <v>974</v>
      </c>
      <c r="B56" s="110" t="s">
        <v>975</v>
      </c>
      <c r="C56" s="109" t="s">
        <v>1002</v>
      </c>
      <c r="D56" s="111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</row>
    <row r="57" spans="1:11" x14ac:dyDescent="0.25">
      <c r="A57" s="110" t="s">
        <v>976</v>
      </c>
      <c r="B57" s="110" t="s">
        <v>977</v>
      </c>
      <c r="C57" s="109" t="s">
        <v>1003</v>
      </c>
      <c r="D57" s="111">
        <v>0</v>
      </c>
      <c r="E57" s="111">
        <v>0</v>
      </c>
      <c r="F57" s="111">
        <v>0</v>
      </c>
      <c r="G57" s="111">
        <v>0</v>
      </c>
      <c r="H57" s="111">
        <v>0</v>
      </c>
      <c r="I57" s="111">
        <v>0</v>
      </c>
      <c r="J57" s="111">
        <v>0</v>
      </c>
      <c r="K57" s="111">
        <v>0</v>
      </c>
    </row>
    <row r="58" spans="1:11" x14ac:dyDescent="0.25">
      <c r="A58" s="110" t="s">
        <v>979</v>
      </c>
      <c r="B58" s="110" t="s">
        <v>980</v>
      </c>
      <c r="C58" s="109" t="s">
        <v>1004</v>
      </c>
      <c r="D58" s="111">
        <v>7217.68</v>
      </c>
      <c r="E58" s="111">
        <v>0</v>
      </c>
      <c r="F58" s="111">
        <v>7217.68</v>
      </c>
      <c r="G58" s="111">
        <v>25267.03</v>
      </c>
      <c r="H58" s="111">
        <v>7218</v>
      </c>
      <c r="I58" s="111">
        <v>0</v>
      </c>
      <c r="J58" s="111">
        <v>7218</v>
      </c>
      <c r="K58" s="111">
        <v>25267</v>
      </c>
    </row>
    <row r="59" spans="1:11" x14ac:dyDescent="0.25">
      <c r="A59" s="110">
        <v>2</v>
      </c>
      <c r="B59" s="110" t="s">
        <v>982</v>
      </c>
      <c r="C59" s="109" t="s">
        <v>1005</v>
      </c>
      <c r="D59" s="111">
        <v>0</v>
      </c>
      <c r="E59" s="111">
        <v>0</v>
      </c>
      <c r="F59" s="111">
        <v>0</v>
      </c>
      <c r="G59" s="111">
        <v>0</v>
      </c>
      <c r="H59" s="111">
        <v>0</v>
      </c>
      <c r="I59" s="111">
        <v>0</v>
      </c>
      <c r="J59" s="111">
        <v>0</v>
      </c>
      <c r="K59" s="111">
        <v>0</v>
      </c>
    </row>
    <row r="60" spans="1:11" x14ac:dyDescent="0.25">
      <c r="A60" s="110">
        <v>3</v>
      </c>
      <c r="B60" s="110" t="s">
        <v>984</v>
      </c>
      <c r="C60" s="109" t="s">
        <v>1006</v>
      </c>
      <c r="D60" s="111">
        <v>0</v>
      </c>
      <c r="E60" s="111">
        <v>0</v>
      </c>
      <c r="F60" s="111">
        <v>0</v>
      </c>
      <c r="G60" s="111">
        <v>0</v>
      </c>
      <c r="H60" s="111">
        <v>0</v>
      </c>
      <c r="I60" s="111">
        <v>0</v>
      </c>
      <c r="J60" s="111">
        <v>0</v>
      </c>
      <c r="K60" s="111">
        <v>0</v>
      </c>
    </row>
    <row r="61" spans="1:11" x14ac:dyDescent="0.25">
      <c r="A61" s="110">
        <v>4</v>
      </c>
      <c r="B61" s="110" t="s">
        <v>986</v>
      </c>
      <c r="C61" s="109" t="s">
        <v>1007</v>
      </c>
      <c r="D61" s="111">
        <v>0</v>
      </c>
      <c r="E61" s="111">
        <v>0</v>
      </c>
      <c r="F61" s="111">
        <v>0</v>
      </c>
      <c r="G61" s="111">
        <v>0</v>
      </c>
      <c r="H61" s="111">
        <v>0</v>
      </c>
      <c r="I61" s="111">
        <v>0</v>
      </c>
      <c r="J61" s="111">
        <v>0</v>
      </c>
      <c r="K61" s="111">
        <v>0</v>
      </c>
    </row>
    <row r="62" spans="1:11" x14ac:dyDescent="0.25">
      <c r="A62" s="110">
        <v>5</v>
      </c>
      <c r="B62" s="110" t="s">
        <v>1008</v>
      </c>
      <c r="C62" s="109" t="s">
        <v>619</v>
      </c>
      <c r="D62" s="111">
        <v>0</v>
      </c>
      <c r="E62" s="111">
        <v>0</v>
      </c>
      <c r="F62" s="111">
        <v>0</v>
      </c>
      <c r="G62" s="111">
        <v>0</v>
      </c>
      <c r="H62" s="111">
        <v>0</v>
      </c>
      <c r="I62" s="111">
        <v>0</v>
      </c>
      <c r="J62" s="111">
        <v>0</v>
      </c>
      <c r="K62" s="111">
        <v>0</v>
      </c>
    </row>
    <row r="63" spans="1:11" x14ac:dyDescent="0.25">
      <c r="A63" s="110" t="s">
        <v>1009</v>
      </c>
      <c r="B63" s="110" t="s">
        <v>1010</v>
      </c>
      <c r="C63" s="109" t="s">
        <v>1011</v>
      </c>
      <c r="D63" s="111">
        <v>0</v>
      </c>
      <c r="E63" s="111">
        <v>0</v>
      </c>
      <c r="F63" s="111">
        <v>0</v>
      </c>
      <c r="G63" s="111">
        <v>0</v>
      </c>
      <c r="H63" s="111">
        <v>0</v>
      </c>
      <c r="I63" s="111">
        <v>0</v>
      </c>
      <c r="J63" s="111">
        <v>0</v>
      </c>
      <c r="K63" s="111">
        <v>0</v>
      </c>
    </row>
    <row r="64" spans="1:11" x14ac:dyDescent="0.25">
      <c r="A64" s="110">
        <v>7</v>
      </c>
      <c r="B64" s="110" t="s">
        <v>1012</v>
      </c>
      <c r="C64" s="109" t="s">
        <v>1013</v>
      </c>
      <c r="D64" s="111">
        <v>789.18</v>
      </c>
      <c r="E64" s="111">
        <v>0</v>
      </c>
      <c r="F64" s="111">
        <v>789.18</v>
      </c>
      <c r="G64" s="111">
        <v>9004.25</v>
      </c>
      <c r="H64" s="111">
        <v>789</v>
      </c>
      <c r="I64" s="111">
        <v>0</v>
      </c>
      <c r="J64" s="111">
        <v>789</v>
      </c>
      <c r="K64" s="111">
        <v>9004</v>
      </c>
    </row>
    <row r="65" spans="1:11" x14ac:dyDescent="0.25">
      <c r="A65" s="110">
        <v>8</v>
      </c>
      <c r="B65" s="110" t="s">
        <v>990</v>
      </c>
      <c r="C65" s="109" t="s">
        <v>1014</v>
      </c>
      <c r="D65" s="111">
        <v>0</v>
      </c>
      <c r="E65" s="111">
        <v>0</v>
      </c>
      <c r="F65" s="111">
        <v>0</v>
      </c>
      <c r="G65" s="111">
        <v>0</v>
      </c>
      <c r="H65" s="111">
        <v>0</v>
      </c>
      <c r="I65" s="111">
        <v>0</v>
      </c>
      <c r="J65" s="111">
        <v>0</v>
      </c>
      <c r="K65" s="111">
        <v>0</v>
      </c>
    </row>
    <row r="66" spans="1:11" x14ac:dyDescent="0.25">
      <c r="A66" s="110">
        <v>9</v>
      </c>
      <c r="B66" s="110" t="s">
        <v>1015</v>
      </c>
      <c r="C66" s="109" t="s">
        <v>1016</v>
      </c>
      <c r="D66" s="111">
        <v>195.07</v>
      </c>
      <c r="E66" s="111">
        <v>0</v>
      </c>
      <c r="F66" s="111">
        <v>195.07</v>
      </c>
      <c r="G66" s="111">
        <v>324.19</v>
      </c>
      <c r="H66" s="111">
        <v>195</v>
      </c>
      <c r="I66" s="111">
        <v>0</v>
      </c>
      <c r="J66" s="111">
        <v>195</v>
      </c>
      <c r="K66" s="111">
        <v>324</v>
      </c>
    </row>
    <row r="67" spans="1:11" x14ac:dyDescent="0.25">
      <c r="A67" s="110" t="s">
        <v>1017</v>
      </c>
      <c r="B67" s="110" t="s">
        <v>1018</v>
      </c>
      <c r="C67" s="109" t="s">
        <v>1019</v>
      </c>
      <c r="D67" s="111">
        <v>0</v>
      </c>
      <c r="E67" s="111">
        <v>0</v>
      </c>
      <c r="F67" s="111">
        <v>0</v>
      </c>
      <c r="G67" s="111">
        <v>0</v>
      </c>
      <c r="H67" s="111">
        <v>0</v>
      </c>
      <c r="I67" s="111">
        <v>0</v>
      </c>
      <c r="J67" s="111">
        <v>0</v>
      </c>
      <c r="K67" s="111">
        <v>0</v>
      </c>
    </row>
    <row r="68" spans="1:11" x14ac:dyDescent="0.25">
      <c r="A68" s="110" t="s">
        <v>1020</v>
      </c>
      <c r="B68" s="110" t="s">
        <v>1021</v>
      </c>
      <c r="C68" s="109" t="s">
        <v>1022</v>
      </c>
      <c r="D68" s="111">
        <v>0</v>
      </c>
      <c r="E68" s="111">
        <v>0</v>
      </c>
      <c r="F68" s="111">
        <v>0</v>
      </c>
      <c r="G68" s="111">
        <v>0</v>
      </c>
      <c r="H68" s="111">
        <v>0</v>
      </c>
      <c r="I68" s="111">
        <v>0</v>
      </c>
      <c r="J68" s="111">
        <v>0</v>
      </c>
      <c r="K68" s="111">
        <v>0</v>
      </c>
    </row>
    <row r="69" spans="1:11" x14ac:dyDescent="0.25">
      <c r="A69" s="115">
        <v>2</v>
      </c>
      <c r="B69" s="115" t="s">
        <v>1023</v>
      </c>
      <c r="C69" s="116" t="s">
        <v>1024</v>
      </c>
      <c r="D69" s="117">
        <v>0</v>
      </c>
      <c r="E69" s="117">
        <v>0</v>
      </c>
      <c r="F69" s="117">
        <v>0</v>
      </c>
      <c r="G69" s="117">
        <v>0</v>
      </c>
      <c r="H69" s="117">
        <v>0</v>
      </c>
      <c r="I69" s="117">
        <v>0</v>
      </c>
      <c r="J69" s="117">
        <v>0</v>
      </c>
      <c r="K69" s="117">
        <v>0</v>
      </c>
    </row>
    <row r="70" spans="1:11" x14ac:dyDescent="0.25">
      <c r="A70" s="115">
        <v>3</v>
      </c>
      <c r="B70" s="115" t="s">
        <v>1025</v>
      </c>
      <c r="C70" s="116" t="s">
        <v>1026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</row>
    <row r="71" spans="1:11" x14ac:dyDescent="0.25">
      <c r="A71" s="115">
        <v>4</v>
      </c>
      <c r="B71" s="115" t="s">
        <v>1027</v>
      </c>
      <c r="C71" s="116" t="s">
        <v>1028</v>
      </c>
      <c r="D71" s="117">
        <v>0</v>
      </c>
      <c r="E71" s="117">
        <v>0</v>
      </c>
      <c r="F71" s="117">
        <v>0</v>
      </c>
      <c r="G71" s="117">
        <v>0</v>
      </c>
      <c r="H71" s="117">
        <v>0</v>
      </c>
      <c r="I71" s="117">
        <v>0</v>
      </c>
      <c r="J71" s="117">
        <v>0</v>
      </c>
      <c r="K71" s="117">
        <v>0</v>
      </c>
    </row>
    <row r="72" spans="1:11" x14ac:dyDescent="0.25">
      <c r="A72" s="115" t="s">
        <v>1029</v>
      </c>
      <c r="B72" s="115" t="s">
        <v>1030</v>
      </c>
      <c r="C72" s="116" t="s">
        <v>1031</v>
      </c>
      <c r="D72" s="117">
        <v>-21343.54</v>
      </c>
      <c r="E72" s="117">
        <v>0</v>
      </c>
      <c r="F72" s="117">
        <v>-21343.54</v>
      </c>
      <c r="G72" s="117">
        <v>-22185.759999999998</v>
      </c>
      <c r="H72" s="117">
        <v>-21344</v>
      </c>
      <c r="I72" s="117">
        <v>0</v>
      </c>
      <c r="J72" s="117">
        <v>-21344</v>
      </c>
      <c r="K72" s="117">
        <v>-22186</v>
      </c>
    </row>
    <row r="73" spans="1:11" x14ac:dyDescent="0.25">
      <c r="A73" s="115" t="s">
        <v>1032</v>
      </c>
      <c r="B73" s="115" t="s">
        <v>1033</v>
      </c>
      <c r="C73" s="116" t="s">
        <v>1034</v>
      </c>
      <c r="D73" s="117">
        <v>3270.96</v>
      </c>
      <c r="E73" s="117">
        <v>0</v>
      </c>
      <c r="F73" s="117">
        <v>3270.96</v>
      </c>
      <c r="G73" s="117">
        <v>3015.9</v>
      </c>
      <c r="H73" s="117">
        <v>3271</v>
      </c>
      <c r="I73" s="117">
        <v>0</v>
      </c>
      <c r="J73" s="117">
        <v>3271</v>
      </c>
      <c r="K73" s="117">
        <v>3016</v>
      </c>
    </row>
    <row r="74" spans="1:11" x14ac:dyDescent="0.25">
      <c r="A74" s="115">
        <v>2</v>
      </c>
      <c r="B74" s="115" t="s">
        <v>1035</v>
      </c>
      <c r="C74" s="116" t="s">
        <v>621</v>
      </c>
      <c r="D74" s="117">
        <v>-24614.5</v>
      </c>
      <c r="E74" s="117">
        <v>0</v>
      </c>
      <c r="F74" s="117">
        <v>-24614.5</v>
      </c>
      <c r="G74" s="117">
        <v>-25201.66</v>
      </c>
      <c r="H74" s="117">
        <v>-24615</v>
      </c>
      <c r="I74" s="117">
        <v>0</v>
      </c>
      <c r="J74" s="117">
        <v>-24615</v>
      </c>
      <c r="K74" s="117">
        <v>-25202</v>
      </c>
    </row>
    <row r="75" spans="1:11" x14ac:dyDescent="0.25">
      <c r="A75" s="115" t="s">
        <v>758</v>
      </c>
      <c r="B75" s="115" t="s">
        <v>1036</v>
      </c>
      <c r="C75" s="116" t="s">
        <v>623</v>
      </c>
      <c r="D75" s="117">
        <v>0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</row>
    <row r="76" spans="1:11" x14ac:dyDescent="0.25">
      <c r="A76" s="115" t="s">
        <v>1037</v>
      </c>
      <c r="B76" s="115" t="s">
        <v>1038</v>
      </c>
      <c r="C76" s="116" t="s">
        <v>1039</v>
      </c>
      <c r="D76" s="117">
        <v>0</v>
      </c>
      <c r="E76" s="117">
        <v>0</v>
      </c>
      <c r="F76" s="117">
        <v>0</v>
      </c>
      <c r="G76" s="117">
        <v>0</v>
      </c>
      <c r="H76" s="117">
        <v>0</v>
      </c>
      <c r="I76" s="117">
        <v>0</v>
      </c>
      <c r="J76" s="117">
        <v>0</v>
      </c>
      <c r="K76" s="117">
        <v>0</v>
      </c>
    </row>
    <row r="77" spans="1:11" x14ac:dyDescent="0.25">
      <c r="A77" s="115">
        <v>2</v>
      </c>
      <c r="B77" s="115" t="s">
        <v>1040</v>
      </c>
      <c r="C77" s="116" t="s">
        <v>1041</v>
      </c>
      <c r="D77" s="117">
        <v>0</v>
      </c>
      <c r="E77" s="117">
        <v>0</v>
      </c>
      <c r="F77" s="117">
        <v>0</v>
      </c>
      <c r="G77" s="117">
        <v>0</v>
      </c>
      <c r="H77" s="117">
        <v>0</v>
      </c>
      <c r="I77" s="117">
        <v>0</v>
      </c>
      <c r="J77" s="117">
        <v>0</v>
      </c>
      <c r="K77" s="117">
        <v>0</v>
      </c>
    </row>
    <row r="78" spans="1:11" x14ac:dyDescent="0.25">
      <c r="A78" s="115">
        <v>3</v>
      </c>
      <c r="B78" s="115" t="s">
        <v>1042</v>
      </c>
      <c r="C78" s="116" t="s">
        <v>1043</v>
      </c>
      <c r="D78" s="117">
        <v>0</v>
      </c>
      <c r="E78" s="117">
        <v>0</v>
      </c>
      <c r="F78" s="117">
        <v>0</v>
      </c>
      <c r="G78" s="117">
        <v>0</v>
      </c>
      <c r="H78" s="117">
        <v>0</v>
      </c>
      <c r="I78" s="117">
        <v>0</v>
      </c>
      <c r="J78" s="117">
        <v>0</v>
      </c>
      <c r="K78" s="117">
        <v>0</v>
      </c>
    </row>
    <row r="79" spans="1:11" x14ac:dyDescent="0.25">
      <c r="A79" s="115">
        <v>4</v>
      </c>
      <c r="B79" s="115" t="s">
        <v>1044</v>
      </c>
      <c r="C79" s="116" t="s">
        <v>1045</v>
      </c>
      <c r="D79" s="117">
        <v>0</v>
      </c>
      <c r="E79" s="117">
        <v>0</v>
      </c>
      <c r="F79" s="117">
        <v>0</v>
      </c>
      <c r="G79" s="117">
        <v>0</v>
      </c>
      <c r="H79" s="117">
        <v>0</v>
      </c>
      <c r="I79" s="117">
        <v>0</v>
      </c>
      <c r="J79" s="117">
        <v>0</v>
      </c>
      <c r="K79" s="117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topLeftCell="A2" workbookViewId="0">
      <selection activeCell="C19" sqref="C19"/>
    </sheetView>
  </sheetViews>
  <sheetFormatPr defaultColWidth="9.140625" defaultRowHeight="15" x14ac:dyDescent="0.25"/>
  <cols>
    <col min="1" max="1" width="9.140625" style="113"/>
    <col min="2" max="2" width="79.42578125" style="113" bestFit="1" customWidth="1"/>
    <col min="3" max="3" width="4.42578125" style="112" bestFit="1" customWidth="1"/>
    <col min="4" max="7" width="15.28515625" style="114" bestFit="1" customWidth="1"/>
    <col min="8" max="16384" width="9.140625" style="108"/>
  </cols>
  <sheetData>
    <row r="1" spans="1:7" ht="22.5" x14ac:dyDescent="0.25">
      <c r="A1" s="119" t="s">
        <v>150</v>
      </c>
      <c r="B1" s="119" t="s">
        <v>156</v>
      </c>
      <c r="C1" s="118" t="s">
        <v>171</v>
      </c>
      <c r="D1" s="120" t="s">
        <v>178</v>
      </c>
      <c r="E1" s="120" t="s">
        <v>179</v>
      </c>
      <c r="F1" s="120" t="s">
        <v>157</v>
      </c>
      <c r="G1" s="120" t="s">
        <v>155</v>
      </c>
    </row>
    <row r="2" spans="1:7" ht="23.25" x14ac:dyDescent="0.25">
      <c r="B2" s="233" t="s">
        <v>1046</v>
      </c>
      <c r="C2" s="112" t="s">
        <v>1047</v>
      </c>
      <c r="D2" s="114">
        <v>715310.21</v>
      </c>
      <c r="E2" s="114">
        <v>857648.06</v>
      </c>
      <c r="F2" s="114">
        <v>715312</v>
      </c>
      <c r="G2" s="114">
        <v>857648</v>
      </c>
    </row>
    <row r="3" spans="1:7" x14ac:dyDescent="0.25">
      <c r="A3" s="113" t="s">
        <v>752</v>
      </c>
      <c r="B3" s="113" t="s">
        <v>1048</v>
      </c>
      <c r="C3" s="112" t="s">
        <v>1049</v>
      </c>
      <c r="D3" s="111">
        <v>369438.81</v>
      </c>
      <c r="E3" s="111">
        <v>330564.83</v>
      </c>
      <c r="F3" s="111">
        <v>369439</v>
      </c>
      <c r="G3" s="111">
        <v>330565</v>
      </c>
    </row>
    <row r="4" spans="1:7" x14ac:dyDescent="0.25">
      <c r="A4" s="113" t="s">
        <v>892</v>
      </c>
      <c r="B4" s="113" t="s">
        <v>1050</v>
      </c>
      <c r="C4" s="112" t="s">
        <v>625</v>
      </c>
      <c r="D4" s="114">
        <v>109068</v>
      </c>
      <c r="E4" s="114">
        <v>109068</v>
      </c>
      <c r="F4" s="114">
        <v>109068</v>
      </c>
      <c r="G4" s="114">
        <v>109068</v>
      </c>
    </row>
    <row r="5" spans="1:7" x14ac:dyDescent="0.25">
      <c r="A5" s="113" t="s">
        <v>1051</v>
      </c>
      <c r="B5" s="113" t="s">
        <v>1052</v>
      </c>
      <c r="C5" s="112" t="s">
        <v>626</v>
      </c>
      <c r="D5" s="114">
        <v>109068</v>
      </c>
      <c r="E5" s="114">
        <v>109068</v>
      </c>
      <c r="F5" s="114">
        <v>109068</v>
      </c>
      <c r="G5" s="114">
        <v>109068</v>
      </c>
    </row>
    <row r="6" spans="1:7" x14ac:dyDescent="0.25">
      <c r="A6" s="113">
        <v>2</v>
      </c>
      <c r="B6" s="113" t="s">
        <v>1053</v>
      </c>
      <c r="C6" s="112" t="s">
        <v>1054</v>
      </c>
      <c r="D6" s="114">
        <v>0</v>
      </c>
      <c r="E6" s="114">
        <v>0</v>
      </c>
      <c r="F6" s="114">
        <v>0</v>
      </c>
      <c r="G6" s="114">
        <v>0</v>
      </c>
    </row>
    <row r="7" spans="1:7" x14ac:dyDescent="0.25">
      <c r="A7" s="113">
        <v>3</v>
      </c>
      <c r="B7" s="113" t="s">
        <v>1055</v>
      </c>
      <c r="C7" s="112" t="s">
        <v>1056</v>
      </c>
      <c r="D7" s="114">
        <v>0</v>
      </c>
      <c r="E7" s="114">
        <v>0</v>
      </c>
      <c r="F7" s="114">
        <v>0</v>
      </c>
      <c r="G7" s="114">
        <v>0</v>
      </c>
    </row>
    <row r="8" spans="1:7" x14ac:dyDescent="0.25">
      <c r="A8" s="113" t="s">
        <v>910</v>
      </c>
      <c r="B8" s="113" t="s">
        <v>1057</v>
      </c>
      <c r="C8" s="112" t="s">
        <v>1058</v>
      </c>
      <c r="D8" s="114">
        <v>0</v>
      </c>
      <c r="E8" s="114">
        <v>0</v>
      </c>
      <c r="F8" s="114">
        <v>0</v>
      </c>
      <c r="G8" s="114">
        <v>0</v>
      </c>
    </row>
    <row r="9" spans="1:7" x14ac:dyDescent="0.25">
      <c r="A9" s="113" t="s">
        <v>1059</v>
      </c>
      <c r="B9" s="113" t="s">
        <v>1060</v>
      </c>
      <c r="C9" s="112" t="s">
        <v>628</v>
      </c>
      <c r="D9" s="114">
        <v>0</v>
      </c>
      <c r="E9" s="114">
        <v>0</v>
      </c>
      <c r="F9" s="114">
        <v>0</v>
      </c>
      <c r="G9" s="114">
        <v>0</v>
      </c>
    </row>
    <row r="10" spans="1:7" x14ac:dyDescent="0.25">
      <c r="A10" s="113" t="s">
        <v>1061</v>
      </c>
      <c r="B10" s="113" t="s">
        <v>1062</v>
      </c>
      <c r="C10" s="112" t="s">
        <v>1063</v>
      </c>
      <c r="D10" s="114">
        <v>10906.8</v>
      </c>
      <c r="E10" s="114">
        <v>10906.8</v>
      </c>
      <c r="F10" s="114">
        <v>10907</v>
      </c>
      <c r="G10" s="114">
        <v>10907</v>
      </c>
    </row>
    <row r="11" spans="1:7" x14ac:dyDescent="0.25">
      <c r="A11" s="113" t="s">
        <v>1064</v>
      </c>
      <c r="B11" s="113" t="s">
        <v>1065</v>
      </c>
      <c r="C11" s="112" t="s">
        <v>1066</v>
      </c>
      <c r="D11" s="114">
        <v>10906.8</v>
      </c>
      <c r="E11" s="114">
        <v>10906.8</v>
      </c>
      <c r="F11" s="114">
        <v>10907</v>
      </c>
      <c r="G11" s="114">
        <v>10907</v>
      </c>
    </row>
    <row r="12" spans="1:7" x14ac:dyDescent="0.25">
      <c r="A12" s="113">
        <v>2</v>
      </c>
      <c r="B12" s="113" t="s">
        <v>1067</v>
      </c>
      <c r="C12" s="112" t="s">
        <v>629</v>
      </c>
      <c r="D12" s="114">
        <v>0</v>
      </c>
      <c r="E12" s="114">
        <v>0</v>
      </c>
      <c r="F12" s="114">
        <v>0</v>
      </c>
      <c r="G12" s="114">
        <v>0</v>
      </c>
    </row>
    <row r="13" spans="1:7" x14ac:dyDescent="0.25">
      <c r="A13" s="113" t="s">
        <v>1068</v>
      </c>
      <c r="B13" s="113" t="s">
        <v>1069</v>
      </c>
      <c r="C13" s="112" t="s">
        <v>1070</v>
      </c>
      <c r="D13" s="114">
        <v>0</v>
      </c>
      <c r="E13" s="114">
        <v>0</v>
      </c>
      <c r="F13" s="114">
        <v>0</v>
      </c>
      <c r="G13" s="114">
        <v>0</v>
      </c>
    </row>
    <row r="14" spans="1:7" x14ac:dyDescent="0.25">
      <c r="A14" s="113" t="s">
        <v>1071</v>
      </c>
      <c r="B14" s="113" t="s">
        <v>1072</v>
      </c>
      <c r="C14" s="112" t="s">
        <v>1073</v>
      </c>
      <c r="D14" s="114">
        <v>0</v>
      </c>
      <c r="E14" s="114">
        <v>0</v>
      </c>
      <c r="F14" s="114">
        <v>0</v>
      </c>
      <c r="G14" s="114">
        <v>0</v>
      </c>
    </row>
    <row r="15" spans="1:7" x14ac:dyDescent="0.25">
      <c r="A15" s="113">
        <v>2</v>
      </c>
      <c r="B15" s="113" t="s">
        <v>1074</v>
      </c>
      <c r="C15" s="112" t="s">
        <v>1075</v>
      </c>
      <c r="D15" s="114">
        <v>0</v>
      </c>
      <c r="E15" s="114">
        <v>0</v>
      </c>
      <c r="F15" s="114">
        <v>0</v>
      </c>
      <c r="G15" s="114">
        <v>0</v>
      </c>
    </row>
    <row r="16" spans="1:7" x14ac:dyDescent="0.25">
      <c r="A16" s="113" t="s">
        <v>1076</v>
      </c>
      <c r="B16" s="113" t="s">
        <v>1077</v>
      </c>
      <c r="C16" s="112" t="s">
        <v>1078</v>
      </c>
      <c r="D16" s="114">
        <v>0</v>
      </c>
      <c r="E16" s="114">
        <v>0</v>
      </c>
      <c r="F16" s="114">
        <v>0</v>
      </c>
      <c r="G16" s="114">
        <v>0</v>
      </c>
    </row>
    <row r="17" spans="1:7" x14ac:dyDescent="0.25">
      <c r="A17" s="113" t="s">
        <v>1079</v>
      </c>
      <c r="B17" s="113" t="s">
        <v>1080</v>
      </c>
      <c r="C17" s="112" t="s">
        <v>1081</v>
      </c>
      <c r="D17" s="114">
        <v>0</v>
      </c>
      <c r="E17" s="114">
        <v>0</v>
      </c>
      <c r="F17" s="114">
        <v>0</v>
      </c>
      <c r="G17" s="114">
        <v>0</v>
      </c>
    </row>
    <row r="18" spans="1:7" x14ac:dyDescent="0.25">
      <c r="A18" s="113">
        <v>2</v>
      </c>
      <c r="B18" s="113" t="s">
        <v>1082</v>
      </c>
      <c r="C18" s="112" t="s">
        <v>1083</v>
      </c>
      <c r="D18" s="114">
        <v>0</v>
      </c>
      <c r="E18" s="114">
        <v>0</v>
      </c>
      <c r="F18" s="114">
        <v>0</v>
      </c>
      <c r="G18" s="114">
        <v>0</v>
      </c>
    </row>
    <row r="19" spans="1:7" x14ac:dyDescent="0.25">
      <c r="A19" s="113">
        <v>3</v>
      </c>
      <c r="B19" s="113" t="s">
        <v>1084</v>
      </c>
      <c r="C19" s="112" t="s">
        <v>1085</v>
      </c>
      <c r="D19" s="114">
        <v>0</v>
      </c>
      <c r="E19" s="114">
        <v>0</v>
      </c>
      <c r="F19" s="114">
        <v>0</v>
      </c>
      <c r="G19" s="114">
        <v>0</v>
      </c>
    </row>
    <row r="20" spans="1:7" x14ac:dyDescent="0.25">
      <c r="A20" s="113" t="s">
        <v>1086</v>
      </c>
      <c r="B20" s="113" t="s">
        <v>1087</v>
      </c>
      <c r="C20" s="112" t="s">
        <v>1088</v>
      </c>
      <c r="D20" s="114">
        <v>210590.03</v>
      </c>
      <c r="E20" s="114">
        <v>212861.77</v>
      </c>
      <c r="F20" s="114">
        <v>210590</v>
      </c>
      <c r="G20" s="114">
        <v>212862</v>
      </c>
    </row>
    <row r="21" spans="1:7" x14ac:dyDescent="0.25">
      <c r="A21" s="113" t="s">
        <v>1089</v>
      </c>
      <c r="B21" s="113" t="s">
        <v>1090</v>
      </c>
      <c r="C21" s="112" t="s">
        <v>1091</v>
      </c>
      <c r="D21" s="114">
        <v>210590.03</v>
      </c>
      <c r="E21" s="114">
        <v>212861.77</v>
      </c>
      <c r="F21" s="114">
        <v>210590</v>
      </c>
      <c r="G21" s="114">
        <v>212862</v>
      </c>
    </row>
    <row r="22" spans="1:7" x14ac:dyDescent="0.25">
      <c r="A22" s="113">
        <v>2</v>
      </c>
      <c r="B22" s="113" t="s">
        <v>1092</v>
      </c>
      <c r="C22" s="112" t="s">
        <v>1093</v>
      </c>
      <c r="D22" s="114">
        <v>0</v>
      </c>
      <c r="E22" s="114">
        <v>0</v>
      </c>
      <c r="F22" s="114">
        <v>0</v>
      </c>
      <c r="G22" s="114">
        <v>0</v>
      </c>
    </row>
    <row r="23" spans="1:7" x14ac:dyDescent="0.25">
      <c r="A23" s="113" t="s">
        <v>1094</v>
      </c>
      <c r="B23" s="113" t="s">
        <v>1095</v>
      </c>
      <c r="C23" s="112" t="s">
        <v>1096</v>
      </c>
      <c r="D23" s="114">
        <v>38873.980000000003</v>
      </c>
      <c r="E23" s="114">
        <v>-2271.7399999999998</v>
      </c>
      <c r="F23" s="114">
        <v>38874</v>
      </c>
      <c r="G23" s="114">
        <v>-2272</v>
      </c>
    </row>
    <row r="24" spans="1:7" x14ac:dyDescent="0.25">
      <c r="A24" s="113" t="s">
        <v>755</v>
      </c>
      <c r="B24" s="113" t="s">
        <v>1097</v>
      </c>
      <c r="C24" s="112" t="s">
        <v>1098</v>
      </c>
      <c r="D24" s="114">
        <v>345871.4</v>
      </c>
      <c r="E24" s="114">
        <v>527083.23</v>
      </c>
      <c r="F24" s="114">
        <v>345873</v>
      </c>
      <c r="G24" s="114">
        <v>527083</v>
      </c>
    </row>
    <row r="25" spans="1:7" x14ac:dyDescent="0.25">
      <c r="A25" s="113" t="s">
        <v>953</v>
      </c>
      <c r="B25" s="113" t="s">
        <v>1099</v>
      </c>
      <c r="C25" s="112" t="s">
        <v>1100</v>
      </c>
      <c r="D25" s="114">
        <v>5721.51</v>
      </c>
      <c r="E25" s="114">
        <v>12841.1</v>
      </c>
      <c r="F25" s="114">
        <v>5721</v>
      </c>
      <c r="G25" s="114">
        <v>12841</v>
      </c>
    </row>
    <row r="26" spans="1:7" x14ac:dyDescent="0.25">
      <c r="A26" s="113" t="s">
        <v>956</v>
      </c>
      <c r="B26" s="113" t="s">
        <v>1101</v>
      </c>
      <c r="C26" s="112" t="s">
        <v>1102</v>
      </c>
      <c r="D26" s="114">
        <v>0</v>
      </c>
      <c r="E26" s="114">
        <v>0</v>
      </c>
      <c r="F26" s="114">
        <v>0</v>
      </c>
      <c r="G26" s="114">
        <v>0</v>
      </c>
    </row>
    <row r="27" spans="1:7" x14ac:dyDescent="0.25">
      <c r="A27" s="113" t="s">
        <v>974</v>
      </c>
      <c r="B27" s="113" t="s">
        <v>1103</v>
      </c>
      <c r="C27" s="112" t="s">
        <v>1104</v>
      </c>
      <c r="D27" s="114">
        <v>0</v>
      </c>
      <c r="E27" s="114">
        <v>0</v>
      </c>
      <c r="F27" s="114">
        <v>0</v>
      </c>
      <c r="G27" s="114">
        <v>0</v>
      </c>
    </row>
    <row r="28" spans="1:7" x14ac:dyDescent="0.25">
      <c r="A28" s="113" t="s">
        <v>976</v>
      </c>
      <c r="B28" s="113" t="s">
        <v>1105</v>
      </c>
      <c r="C28" s="112" t="s">
        <v>1106</v>
      </c>
      <c r="D28" s="114">
        <v>0</v>
      </c>
      <c r="E28" s="114">
        <v>0</v>
      </c>
      <c r="F28" s="114">
        <v>0</v>
      </c>
      <c r="G28" s="114">
        <v>0</v>
      </c>
    </row>
    <row r="29" spans="1:7" x14ac:dyDescent="0.25">
      <c r="A29" s="113" t="s">
        <v>979</v>
      </c>
      <c r="B29" s="113" t="s">
        <v>1107</v>
      </c>
      <c r="C29" s="112" t="s">
        <v>1108</v>
      </c>
      <c r="D29" s="114">
        <v>0</v>
      </c>
      <c r="E29" s="114">
        <v>0</v>
      </c>
      <c r="F29" s="114">
        <v>0</v>
      </c>
      <c r="G29" s="114">
        <v>0</v>
      </c>
    </row>
    <row r="30" spans="1:7" x14ac:dyDescent="0.25">
      <c r="A30" s="113">
        <v>2</v>
      </c>
      <c r="B30" s="113" t="s">
        <v>982</v>
      </c>
      <c r="C30" s="112" t="s">
        <v>1109</v>
      </c>
      <c r="D30" s="114">
        <v>0</v>
      </c>
      <c r="E30" s="114">
        <v>0</v>
      </c>
      <c r="F30" s="114">
        <v>0</v>
      </c>
      <c r="G30" s="114">
        <v>0</v>
      </c>
    </row>
    <row r="31" spans="1:7" x14ac:dyDescent="0.25">
      <c r="A31" s="113">
        <v>3</v>
      </c>
      <c r="B31" s="113" t="s">
        <v>1110</v>
      </c>
      <c r="C31" s="112" t="s">
        <v>1111</v>
      </c>
      <c r="D31" s="114">
        <v>0</v>
      </c>
      <c r="E31" s="114">
        <v>0</v>
      </c>
      <c r="F31" s="114">
        <v>0</v>
      </c>
      <c r="G31" s="114">
        <v>0</v>
      </c>
    </row>
    <row r="32" spans="1:7" x14ac:dyDescent="0.25">
      <c r="A32" s="113">
        <v>4</v>
      </c>
      <c r="B32" s="113" t="s">
        <v>1112</v>
      </c>
      <c r="C32" s="112" t="s">
        <v>1113</v>
      </c>
      <c r="D32" s="114">
        <v>0</v>
      </c>
      <c r="E32" s="114">
        <v>0</v>
      </c>
      <c r="F32" s="114">
        <v>0</v>
      </c>
      <c r="G32" s="114">
        <v>0</v>
      </c>
    </row>
    <row r="33" spans="1:7" x14ac:dyDescent="0.25">
      <c r="A33" s="113">
        <v>5</v>
      </c>
      <c r="B33" s="113" t="s">
        <v>1114</v>
      </c>
      <c r="C33" s="112" t="s">
        <v>1115</v>
      </c>
      <c r="D33" s="114">
        <v>4754.4799999999996</v>
      </c>
      <c r="E33" s="114">
        <v>11199.74</v>
      </c>
      <c r="F33" s="114">
        <v>4754</v>
      </c>
      <c r="G33" s="114">
        <v>11200</v>
      </c>
    </row>
    <row r="34" spans="1:7" x14ac:dyDescent="0.25">
      <c r="A34" s="113">
        <v>6</v>
      </c>
      <c r="B34" s="113" t="s">
        <v>1116</v>
      </c>
      <c r="C34" s="112" t="s">
        <v>631</v>
      </c>
      <c r="D34" s="114">
        <v>0</v>
      </c>
      <c r="E34" s="114">
        <v>0</v>
      </c>
      <c r="F34" s="114">
        <v>0</v>
      </c>
      <c r="G34" s="114">
        <v>0</v>
      </c>
    </row>
    <row r="35" spans="1:7" x14ac:dyDescent="0.25">
      <c r="A35" s="113">
        <v>7</v>
      </c>
      <c r="B35" s="113" t="s">
        <v>1117</v>
      </c>
      <c r="C35" s="112" t="s">
        <v>632</v>
      </c>
      <c r="D35" s="114">
        <v>0</v>
      </c>
      <c r="E35" s="114">
        <v>0</v>
      </c>
      <c r="F35" s="114">
        <v>0</v>
      </c>
      <c r="G35" s="114">
        <v>0</v>
      </c>
    </row>
    <row r="36" spans="1:7" x14ac:dyDescent="0.25">
      <c r="A36" s="113">
        <v>8</v>
      </c>
      <c r="B36" s="113" t="s">
        <v>1118</v>
      </c>
      <c r="C36" s="112" t="s">
        <v>1119</v>
      </c>
      <c r="D36" s="114">
        <v>0</v>
      </c>
      <c r="E36" s="114">
        <v>0</v>
      </c>
      <c r="F36" s="114">
        <v>0</v>
      </c>
      <c r="G36" s="114">
        <v>0</v>
      </c>
    </row>
    <row r="37" spans="1:7" x14ac:dyDescent="0.25">
      <c r="A37" s="113">
        <v>9</v>
      </c>
      <c r="B37" s="113" t="s">
        <v>1120</v>
      </c>
      <c r="C37" s="112" t="s">
        <v>1121</v>
      </c>
      <c r="D37" s="114">
        <v>967.03</v>
      </c>
      <c r="E37" s="114">
        <v>1641.36</v>
      </c>
      <c r="F37" s="114">
        <v>967</v>
      </c>
      <c r="G37" s="114">
        <v>1641</v>
      </c>
    </row>
    <row r="38" spans="1:7" x14ac:dyDescent="0.25">
      <c r="A38" s="113">
        <v>10</v>
      </c>
      <c r="B38" s="113" t="s">
        <v>1122</v>
      </c>
      <c r="C38" s="112" t="s">
        <v>1123</v>
      </c>
      <c r="D38" s="114">
        <v>0</v>
      </c>
      <c r="E38" s="114">
        <v>0</v>
      </c>
      <c r="F38" s="114">
        <v>0</v>
      </c>
      <c r="G38" s="114">
        <v>0</v>
      </c>
    </row>
    <row r="39" spans="1:7" x14ac:dyDescent="0.25">
      <c r="A39" s="113">
        <v>11</v>
      </c>
      <c r="B39" s="113" t="s">
        <v>1124</v>
      </c>
      <c r="C39" s="112" t="s">
        <v>1125</v>
      </c>
      <c r="D39" s="114">
        <v>0</v>
      </c>
      <c r="E39" s="114">
        <v>0</v>
      </c>
      <c r="F39" s="114">
        <v>0</v>
      </c>
      <c r="G39" s="114">
        <v>0</v>
      </c>
    </row>
    <row r="40" spans="1:7" x14ac:dyDescent="0.25">
      <c r="A40" s="113">
        <v>12</v>
      </c>
      <c r="B40" s="113" t="s">
        <v>1126</v>
      </c>
      <c r="C40" s="112" t="s">
        <v>1127</v>
      </c>
      <c r="D40" s="114">
        <v>0</v>
      </c>
      <c r="E40" s="114">
        <v>0</v>
      </c>
      <c r="F40" s="114">
        <v>0</v>
      </c>
      <c r="G40" s="114">
        <v>0</v>
      </c>
    </row>
    <row r="41" spans="1:7" x14ac:dyDescent="0.25">
      <c r="A41" s="113" t="s">
        <v>1128</v>
      </c>
      <c r="B41" s="113" t="s">
        <v>1129</v>
      </c>
      <c r="C41" s="112" t="s">
        <v>1130</v>
      </c>
      <c r="D41" s="114">
        <v>0</v>
      </c>
      <c r="E41" s="114">
        <v>0</v>
      </c>
      <c r="F41" s="114">
        <v>0</v>
      </c>
      <c r="G41" s="114">
        <v>0</v>
      </c>
    </row>
    <row r="42" spans="1:7" x14ac:dyDescent="0.25">
      <c r="A42" s="113" t="s">
        <v>1131</v>
      </c>
      <c r="B42" s="113" t="s">
        <v>1132</v>
      </c>
      <c r="C42" s="112" t="s">
        <v>1133</v>
      </c>
      <c r="D42" s="114">
        <v>0</v>
      </c>
      <c r="E42" s="114">
        <v>0</v>
      </c>
      <c r="F42" s="114">
        <v>0</v>
      </c>
      <c r="G42" s="114">
        <v>0</v>
      </c>
    </row>
    <row r="43" spans="1:7" x14ac:dyDescent="0.25">
      <c r="A43" s="113">
        <v>2</v>
      </c>
      <c r="B43" s="113" t="s">
        <v>1134</v>
      </c>
      <c r="C43" s="112" t="s">
        <v>1135</v>
      </c>
      <c r="D43" s="114">
        <v>0</v>
      </c>
      <c r="E43" s="114">
        <v>0</v>
      </c>
      <c r="F43" s="114">
        <v>0</v>
      </c>
      <c r="G43" s="114">
        <v>0</v>
      </c>
    </row>
    <row r="44" spans="1:7" x14ac:dyDescent="0.25">
      <c r="A44" s="113" t="s">
        <v>1136</v>
      </c>
      <c r="B44" s="113" t="s">
        <v>1137</v>
      </c>
      <c r="C44" s="112" t="s">
        <v>1138</v>
      </c>
      <c r="D44" s="114">
        <v>0</v>
      </c>
      <c r="E44" s="114">
        <v>0</v>
      </c>
      <c r="F44" s="114">
        <v>0</v>
      </c>
      <c r="G44" s="114">
        <v>0</v>
      </c>
    </row>
    <row r="45" spans="1:7" x14ac:dyDescent="0.25">
      <c r="A45" s="113" t="s">
        <v>1139</v>
      </c>
      <c r="B45" s="113" t="s">
        <v>1140</v>
      </c>
      <c r="C45" s="112" t="s">
        <v>1141</v>
      </c>
      <c r="D45" s="114">
        <v>245863.61</v>
      </c>
      <c r="E45" s="114">
        <v>289513.52</v>
      </c>
      <c r="F45" s="114">
        <v>245866</v>
      </c>
      <c r="G45" s="114">
        <v>289513</v>
      </c>
    </row>
    <row r="46" spans="1:7" x14ac:dyDescent="0.25">
      <c r="A46" s="113" t="s">
        <v>1142</v>
      </c>
      <c r="B46" s="113" t="s">
        <v>1143</v>
      </c>
      <c r="C46" s="112" t="s">
        <v>634</v>
      </c>
      <c r="D46" s="114">
        <v>127686.11</v>
      </c>
      <c r="E46" s="114">
        <v>159146.81</v>
      </c>
      <c r="F46" s="114">
        <v>127688</v>
      </c>
      <c r="G46" s="114">
        <v>159147</v>
      </c>
    </row>
    <row r="47" spans="1:7" x14ac:dyDescent="0.25">
      <c r="A47" s="113" t="s">
        <v>974</v>
      </c>
      <c r="B47" s="113" t="s">
        <v>1144</v>
      </c>
      <c r="C47" s="112" t="s">
        <v>635</v>
      </c>
      <c r="D47" s="114">
        <v>0</v>
      </c>
      <c r="E47" s="114">
        <v>0</v>
      </c>
      <c r="F47" s="114">
        <v>0</v>
      </c>
      <c r="G47" s="114">
        <v>0</v>
      </c>
    </row>
    <row r="48" spans="1:7" x14ac:dyDescent="0.25">
      <c r="A48" s="113" t="s">
        <v>976</v>
      </c>
      <c r="B48" s="113" t="s">
        <v>1145</v>
      </c>
      <c r="C48" s="112" t="s">
        <v>1146</v>
      </c>
      <c r="D48" s="114">
        <v>0</v>
      </c>
      <c r="E48" s="114">
        <v>0</v>
      </c>
      <c r="F48" s="114">
        <v>0</v>
      </c>
      <c r="G48" s="114">
        <v>0</v>
      </c>
    </row>
    <row r="49" spans="1:7" x14ac:dyDescent="0.25">
      <c r="A49" s="113" t="s">
        <v>979</v>
      </c>
      <c r="B49" s="113" t="s">
        <v>1147</v>
      </c>
      <c r="C49" s="112" t="s">
        <v>1148</v>
      </c>
      <c r="D49" s="114">
        <v>127686.11</v>
      </c>
      <c r="E49" s="114">
        <v>159146.81</v>
      </c>
      <c r="F49" s="114">
        <v>127688</v>
      </c>
      <c r="G49" s="114">
        <v>159147</v>
      </c>
    </row>
    <row r="50" spans="1:7" x14ac:dyDescent="0.25">
      <c r="A50" s="113">
        <v>2</v>
      </c>
      <c r="B50" s="113" t="s">
        <v>982</v>
      </c>
      <c r="C50" s="112" t="s">
        <v>1149</v>
      </c>
      <c r="D50" s="114">
        <v>0</v>
      </c>
      <c r="E50" s="114">
        <v>0</v>
      </c>
      <c r="F50" s="114">
        <v>0</v>
      </c>
      <c r="G50" s="114">
        <v>0</v>
      </c>
    </row>
    <row r="51" spans="1:7" x14ac:dyDescent="0.25">
      <c r="A51" s="113">
        <v>3</v>
      </c>
      <c r="B51" s="113" t="s">
        <v>1150</v>
      </c>
      <c r="C51" s="112" t="s">
        <v>1151</v>
      </c>
      <c r="D51" s="114">
        <v>0</v>
      </c>
      <c r="E51" s="114">
        <v>0</v>
      </c>
      <c r="F51" s="114">
        <v>0</v>
      </c>
      <c r="G51" s="114">
        <v>0</v>
      </c>
    </row>
    <row r="52" spans="1:7" x14ac:dyDescent="0.25">
      <c r="A52" s="113">
        <v>4</v>
      </c>
      <c r="B52" s="113" t="s">
        <v>1152</v>
      </c>
      <c r="C52" s="112" t="s">
        <v>1153</v>
      </c>
      <c r="D52" s="114">
        <v>0</v>
      </c>
      <c r="E52" s="114">
        <v>0</v>
      </c>
      <c r="F52" s="114">
        <v>0</v>
      </c>
      <c r="G52" s="114">
        <v>0</v>
      </c>
    </row>
    <row r="53" spans="1:7" x14ac:dyDescent="0.25">
      <c r="A53" s="113">
        <v>5</v>
      </c>
      <c r="B53" s="113" t="s">
        <v>1154</v>
      </c>
      <c r="C53" s="112" t="s">
        <v>1155</v>
      </c>
      <c r="D53" s="114">
        <v>83161.27</v>
      </c>
      <c r="E53" s="114">
        <v>102100.27</v>
      </c>
      <c r="F53" s="114">
        <v>83161</v>
      </c>
      <c r="G53" s="114">
        <v>102100</v>
      </c>
    </row>
    <row r="54" spans="1:7" x14ac:dyDescent="0.25">
      <c r="A54" s="113">
        <v>6</v>
      </c>
      <c r="B54" s="113" t="s">
        <v>1156</v>
      </c>
      <c r="C54" s="112" t="s">
        <v>636</v>
      </c>
      <c r="D54" s="114">
        <v>9169.42</v>
      </c>
      <c r="E54" s="114">
        <v>8371.84</v>
      </c>
      <c r="F54" s="114">
        <v>9169</v>
      </c>
      <c r="G54" s="114">
        <v>8372</v>
      </c>
    </row>
    <row r="55" spans="1:7" x14ac:dyDescent="0.25">
      <c r="A55" s="113">
        <v>7</v>
      </c>
      <c r="B55" s="113" t="s">
        <v>1157</v>
      </c>
      <c r="C55" s="112" t="s">
        <v>637</v>
      </c>
      <c r="D55" s="114">
        <v>4733.7700000000004</v>
      </c>
      <c r="E55" s="114">
        <v>4866.21</v>
      </c>
      <c r="F55" s="114">
        <v>4734</v>
      </c>
      <c r="G55" s="114">
        <v>4866</v>
      </c>
    </row>
    <row r="56" spans="1:7" x14ac:dyDescent="0.25">
      <c r="A56" s="113">
        <v>8</v>
      </c>
      <c r="B56" s="113" t="s">
        <v>1158</v>
      </c>
      <c r="C56" s="112" t="s">
        <v>1159</v>
      </c>
      <c r="D56" s="114">
        <v>20380.52</v>
      </c>
      <c r="E56" s="114">
        <v>14475.39</v>
      </c>
      <c r="F56" s="114">
        <v>20381</v>
      </c>
      <c r="G56" s="114">
        <v>14475</v>
      </c>
    </row>
    <row r="57" spans="1:7" x14ac:dyDescent="0.25">
      <c r="A57" s="113">
        <v>9</v>
      </c>
      <c r="B57" s="113" t="s">
        <v>1160</v>
      </c>
      <c r="C57" s="112" t="s">
        <v>1161</v>
      </c>
      <c r="D57" s="114">
        <v>0</v>
      </c>
      <c r="E57" s="114">
        <v>0</v>
      </c>
      <c r="F57" s="114">
        <v>0</v>
      </c>
      <c r="G57" s="114">
        <v>0</v>
      </c>
    </row>
    <row r="58" spans="1:7" x14ac:dyDescent="0.25">
      <c r="A58" s="113">
        <v>10</v>
      </c>
      <c r="B58" s="113" t="s">
        <v>1162</v>
      </c>
      <c r="C58" s="112" t="s">
        <v>1163</v>
      </c>
      <c r="D58" s="114">
        <v>732.52</v>
      </c>
      <c r="E58" s="114">
        <v>553</v>
      </c>
      <c r="F58" s="114">
        <v>733</v>
      </c>
      <c r="G58" s="114">
        <v>553</v>
      </c>
    </row>
    <row r="59" spans="1:7" x14ac:dyDescent="0.25">
      <c r="A59" s="113" t="s">
        <v>1029</v>
      </c>
      <c r="B59" s="113" t="s">
        <v>1164</v>
      </c>
      <c r="C59" s="112" t="s">
        <v>1165</v>
      </c>
      <c r="D59" s="114">
        <v>1091.28</v>
      </c>
      <c r="E59" s="114">
        <v>2953.61</v>
      </c>
      <c r="F59" s="114">
        <v>1091</v>
      </c>
      <c r="G59" s="114">
        <v>2954</v>
      </c>
    </row>
    <row r="60" spans="1:7" x14ac:dyDescent="0.25">
      <c r="A60" s="113" t="s">
        <v>1032</v>
      </c>
      <c r="B60" s="113" t="s">
        <v>1166</v>
      </c>
      <c r="C60" s="112" t="s">
        <v>1167</v>
      </c>
      <c r="D60" s="114">
        <v>1091.28</v>
      </c>
      <c r="E60" s="114">
        <v>2953.61</v>
      </c>
      <c r="F60" s="114">
        <v>1091</v>
      </c>
      <c r="G60" s="114">
        <v>2954</v>
      </c>
    </row>
    <row r="61" spans="1:7" x14ac:dyDescent="0.25">
      <c r="A61" s="113">
        <v>2</v>
      </c>
      <c r="B61" s="113" t="s">
        <v>1168</v>
      </c>
      <c r="C61" s="112" t="s">
        <v>1169</v>
      </c>
      <c r="D61" s="114">
        <v>0</v>
      </c>
      <c r="E61" s="114">
        <v>0</v>
      </c>
      <c r="F61" s="114">
        <v>0</v>
      </c>
      <c r="G61" s="114">
        <v>0</v>
      </c>
    </row>
    <row r="62" spans="1:7" x14ac:dyDescent="0.25">
      <c r="A62" s="113" t="s">
        <v>1170</v>
      </c>
      <c r="B62" s="113" t="s">
        <v>1171</v>
      </c>
      <c r="C62" s="112" t="s">
        <v>1172</v>
      </c>
      <c r="D62" s="114">
        <v>93195</v>
      </c>
      <c r="E62" s="114">
        <v>221775</v>
      </c>
      <c r="F62" s="114">
        <v>93195</v>
      </c>
      <c r="G62" s="114">
        <v>221775</v>
      </c>
    </row>
    <row r="63" spans="1:7" x14ac:dyDescent="0.25">
      <c r="A63" s="113" t="s">
        <v>1173</v>
      </c>
      <c r="B63" s="113" t="s">
        <v>1174</v>
      </c>
      <c r="C63" s="112" t="s">
        <v>1175</v>
      </c>
      <c r="D63" s="114">
        <v>0</v>
      </c>
      <c r="E63" s="114">
        <v>0</v>
      </c>
      <c r="F63" s="114">
        <v>0</v>
      </c>
      <c r="G63" s="114">
        <v>0</v>
      </c>
    </row>
    <row r="64" spans="1:7" x14ac:dyDescent="0.25">
      <c r="A64" s="113" t="s">
        <v>758</v>
      </c>
      <c r="B64" s="113" t="s">
        <v>1176</v>
      </c>
      <c r="C64" s="112" t="s">
        <v>1177</v>
      </c>
      <c r="D64" s="114">
        <v>0</v>
      </c>
      <c r="E64" s="114">
        <v>0</v>
      </c>
      <c r="F64" s="114">
        <v>0</v>
      </c>
      <c r="G64" s="114">
        <v>0</v>
      </c>
    </row>
    <row r="65" spans="1:7" x14ac:dyDescent="0.25">
      <c r="A65" s="113" t="s">
        <v>1037</v>
      </c>
      <c r="B65" s="113" t="s">
        <v>1178</v>
      </c>
      <c r="C65" s="112" t="s">
        <v>1179</v>
      </c>
      <c r="D65" s="114">
        <v>0</v>
      </c>
      <c r="E65" s="114">
        <v>0</v>
      </c>
      <c r="F65" s="114">
        <v>0</v>
      </c>
      <c r="G65" s="114">
        <v>0</v>
      </c>
    </row>
    <row r="66" spans="1:7" x14ac:dyDescent="0.25">
      <c r="A66" s="113">
        <v>2</v>
      </c>
      <c r="B66" s="113" t="s">
        <v>1180</v>
      </c>
      <c r="C66" s="112" t="s">
        <v>1181</v>
      </c>
      <c r="D66" s="114">
        <v>0</v>
      </c>
      <c r="E66" s="114">
        <v>0</v>
      </c>
      <c r="F66" s="114">
        <v>0</v>
      </c>
      <c r="G66" s="114">
        <v>0</v>
      </c>
    </row>
    <row r="67" spans="1:7" x14ac:dyDescent="0.25">
      <c r="A67" s="113">
        <v>3</v>
      </c>
      <c r="B67" s="113" t="s">
        <v>1182</v>
      </c>
      <c r="C67" s="112" t="s">
        <v>1183</v>
      </c>
      <c r="D67" s="114">
        <v>0</v>
      </c>
      <c r="E67" s="114">
        <v>0</v>
      </c>
      <c r="F67" s="114">
        <v>0</v>
      </c>
      <c r="G67" s="114">
        <v>0</v>
      </c>
    </row>
    <row r="68" spans="1:7" x14ac:dyDescent="0.25">
      <c r="A68" s="113">
        <v>4</v>
      </c>
      <c r="B68" s="113" t="s">
        <v>1184</v>
      </c>
      <c r="C68" s="112" t="s">
        <v>1185</v>
      </c>
      <c r="D68" s="114">
        <v>0</v>
      </c>
      <c r="E68" s="114">
        <v>0</v>
      </c>
      <c r="F68" s="114">
        <v>0</v>
      </c>
      <c r="G68" s="114">
        <v>0</v>
      </c>
    </row>
  </sheetData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79"/>
  <sheetViews>
    <sheetView workbookViewId="0">
      <selection activeCell="G20" sqref="G20"/>
    </sheetView>
  </sheetViews>
  <sheetFormatPr defaultColWidth="9.140625" defaultRowHeight="15" x14ac:dyDescent="0.25"/>
  <cols>
    <col min="1" max="1" width="8.28515625" style="113" bestFit="1" customWidth="1"/>
    <col min="2" max="2" width="63.5703125" style="113" bestFit="1" customWidth="1"/>
    <col min="3" max="3" width="4.42578125" style="112" bestFit="1" customWidth="1"/>
    <col min="4" max="11" width="15.28515625" style="114" bestFit="1" customWidth="1"/>
    <col min="12" max="16384" width="9.140625" style="108"/>
  </cols>
  <sheetData>
    <row r="1" spans="1:11" ht="22.5" x14ac:dyDescent="0.25">
      <c r="A1" s="119" t="s">
        <v>150</v>
      </c>
      <c r="B1" s="119" t="s">
        <v>151</v>
      </c>
      <c r="C1" s="118" t="s">
        <v>171</v>
      </c>
      <c r="D1" s="120" t="s">
        <v>174</v>
      </c>
      <c r="E1" s="120" t="s">
        <v>175</v>
      </c>
      <c r="F1" s="120" t="s">
        <v>176</v>
      </c>
      <c r="G1" s="120" t="s">
        <v>177</v>
      </c>
      <c r="H1" s="120" t="s">
        <v>152</v>
      </c>
      <c r="I1" s="120" t="s">
        <v>153</v>
      </c>
      <c r="J1" s="120" t="s">
        <v>154</v>
      </c>
      <c r="K1" s="120" t="s">
        <v>155</v>
      </c>
    </row>
    <row r="2" spans="1:11" x14ac:dyDescent="0.25">
      <c r="B2" s="113" t="s">
        <v>888</v>
      </c>
      <c r="C2" s="112" t="s">
        <v>889</v>
      </c>
      <c r="D2" s="114">
        <v>1167387.54</v>
      </c>
      <c r="E2" s="114">
        <v>309739.48</v>
      </c>
      <c r="F2" s="114">
        <v>857648.06</v>
      </c>
      <c r="G2" s="114">
        <v>990905.86</v>
      </c>
      <c r="H2" s="114">
        <v>1167388</v>
      </c>
      <c r="I2" s="114">
        <v>309740</v>
      </c>
      <c r="J2" s="114">
        <v>857648</v>
      </c>
      <c r="K2" s="114">
        <v>990907</v>
      </c>
    </row>
    <row r="3" spans="1:11" x14ac:dyDescent="0.25">
      <c r="A3" s="113" t="s">
        <v>752</v>
      </c>
      <c r="B3" s="113" t="s">
        <v>890</v>
      </c>
      <c r="C3" s="112" t="s">
        <v>891</v>
      </c>
      <c r="D3" s="111">
        <v>904755.3</v>
      </c>
      <c r="E3" s="111">
        <v>309739.48</v>
      </c>
      <c r="F3" s="111">
        <v>595015.81999999995</v>
      </c>
      <c r="G3" s="111">
        <v>645663.80000000005</v>
      </c>
      <c r="H3" s="111">
        <v>904756</v>
      </c>
      <c r="I3" s="111">
        <v>309740</v>
      </c>
      <c r="J3" s="111">
        <v>595016</v>
      </c>
      <c r="K3" s="111">
        <v>645665</v>
      </c>
    </row>
    <row r="4" spans="1:11" x14ac:dyDescent="0.25">
      <c r="A4" s="113" t="s">
        <v>892</v>
      </c>
      <c r="B4" s="113" t="s">
        <v>893</v>
      </c>
      <c r="C4" s="112" t="s">
        <v>894</v>
      </c>
      <c r="D4" s="114">
        <v>38107.46</v>
      </c>
      <c r="E4" s="114">
        <v>27496.639999999999</v>
      </c>
      <c r="F4" s="114">
        <v>10610.82</v>
      </c>
      <c r="G4" s="114">
        <v>11621.38</v>
      </c>
      <c r="H4" s="114">
        <v>38108</v>
      </c>
      <c r="I4" s="114">
        <v>27497</v>
      </c>
      <c r="J4" s="114">
        <v>10611</v>
      </c>
      <c r="K4" s="114">
        <v>11622</v>
      </c>
    </row>
    <row r="5" spans="1:11" x14ac:dyDescent="0.25">
      <c r="A5" s="113" t="s">
        <v>895</v>
      </c>
      <c r="B5" s="113" t="s">
        <v>896</v>
      </c>
      <c r="C5" s="112" t="s">
        <v>897</v>
      </c>
      <c r="D5" s="114">
        <v>0</v>
      </c>
      <c r="E5" s="114">
        <v>0</v>
      </c>
      <c r="F5" s="114">
        <v>0</v>
      </c>
      <c r="G5" s="114">
        <v>0</v>
      </c>
      <c r="H5" s="114">
        <v>0</v>
      </c>
      <c r="I5" s="114">
        <v>0</v>
      </c>
      <c r="J5" s="114">
        <v>0</v>
      </c>
      <c r="K5" s="114">
        <v>0</v>
      </c>
    </row>
    <row r="6" spans="1:11" x14ac:dyDescent="0.25">
      <c r="A6" s="113">
        <v>2</v>
      </c>
      <c r="B6" s="113" t="s">
        <v>898</v>
      </c>
      <c r="C6" s="112" t="s">
        <v>899</v>
      </c>
      <c r="D6" s="114">
        <v>25980.799999999999</v>
      </c>
      <c r="E6" s="114">
        <v>25980.799999999999</v>
      </c>
      <c r="F6" s="114">
        <v>0</v>
      </c>
      <c r="G6" s="114">
        <v>0</v>
      </c>
      <c r="H6" s="114">
        <v>25981</v>
      </c>
      <c r="I6" s="114">
        <v>25981</v>
      </c>
      <c r="J6" s="114">
        <v>0</v>
      </c>
      <c r="K6" s="114">
        <v>0</v>
      </c>
    </row>
    <row r="7" spans="1:11" x14ac:dyDescent="0.25">
      <c r="A7" s="113">
        <v>3</v>
      </c>
      <c r="B7" s="113" t="s">
        <v>900</v>
      </c>
      <c r="C7" s="112" t="s">
        <v>901</v>
      </c>
      <c r="D7" s="114">
        <v>12126.66</v>
      </c>
      <c r="E7" s="114">
        <v>1515.84</v>
      </c>
      <c r="F7" s="114">
        <v>10610.82</v>
      </c>
      <c r="G7" s="114">
        <v>11621.38</v>
      </c>
      <c r="H7" s="114">
        <v>12127</v>
      </c>
      <c r="I7" s="114">
        <v>1516</v>
      </c>
      <c r="J7" s="114">
        <v>10611</v>
      </c>
      <c r="K7" s="114">
        <v>11622</v>
      </c>
    </row>
    <row r="8" spans="1:11" x14ac:dyDescent="0.25">
      <c r="A8" s="113">
        <v>4</v>
      </c>
      <c r="B8" s="113" t="s">
        <v>902</v>
      </c>
      <c r="C8" s="112" t="s">
        <v>903</v>
      </c>
      <c r="D8" s="114">
        <v>0</v>
      </c>
      <c r="E8" s="114">
        <v>0</v>
      </c>
      <c r="F8" s="114">
        <v>0</v>
      </c>
      <c r="G8" s="114">
        <v>0</v>
      </c>
      <c r="H8" s="114">
        <v>0</v>
      </c>
      <c r="I8" s="114">
        <v>0</v>
      </c>
      <c r="J8" s="114">
        <v>0</v>
      </c>
      <c r="K8" s="114">
        <v>0</v>
      </c>
    </row>
    <row r="9" spans="1:11" x14ac:dyDescent="0.25">
      <c r="A9" s="113">
        <v>5</v>
      </c>
      <c r="B9" s="113" t="s">
        <v>904</v>
      </c>
      <c r="C9" s="112" t="s">
        <v>905</v>
      </c>
      <c r="D9" s="114">
        <v>0</v>
      </c>
      <c r="E9" s="114">
        <v>0</v>
      </c>
      <c r="F9" s="114">
        <v>0</v>
      </c>
      <c r="G9" s="114">
        <v>0</v>
      </c>
      <c r="H9" s="114">
        <v>0</v>
      </c>
      <c r="I9" s="114">
        <v>0</v>
      </c>
      <c r="J9" s="114">
        <v>0</v>
      </c>
      <c r="K9" s="114">
        <v>0</v>
      </c>
    </row>
    <row r="10" spans="1:11" x14ac:dyDescent="0.25">
      <c r="A10" s="113">
        <v>6</v>
      </c>
      <c r="B10" s="113" t="s">
        <v>906</v>
      </c>
      <c r="C10" s="112" t="s">
        <v>907</v>
      </c>
      <c r="D10" s="114">
        <v>0</v>
      </c>
      <c r="E10" s="114">
        <v>0</v>
      </c>
      <c r="F10" s="114">
        <v>0</v>
      </c>
      <c r="G10" s="114">
        <v>0</v>
      </c>
      <c r="H10" s="114">
        <v>0</v>
      </c>
      <c r="I10" s="114">
        <v>0</v>
      </c>
      <c r="J10" s="114">
        <v>0</v>
      </c>
      <c r="K10" s="114">
        <v>0</v>
      </c>
    </row>
    <row r="11" spans="1:11" x14ac:dyDescent="0.25">
      <c r="A11" s="113">
        <v>7</v>
      </c>
      <c r="B11" s="113" t="s">
        <v>908</v>
      </c>
      <c r="C11" s="112" t="s">
        <v>909</v>
      </c>
      <c r="D11" s="114">
        <v>0</v>
      </c>
      <c r="E11" s="114">
        <v>0</v>
      </c>
      <c r="F11" s="114">
        <v>0</v>
      </c>
      <c r="G11" s="114">
        <v>0</v>
      </c>
      <c r="H11" s="114">
        <v>0</v>
      </c>
      <c r="I11" s="114">
        <v>0</v>
      </c>
      <c r="J11" s="114">
        <v>0</v>
      </c>
      <c r="K11" s="114">
        <v>0</v>
      </c>
    </row>
    <row r="12" spans="1:11" x14ac:dyDescent="0.25">
      <c r="A12" s="113" t="s">
        <v>910</v>
      </c>
      <c r="B12" s="113" t="s">
        <v>911</v>
      </c>
      <c r="C12" s="112" t="s">
        <v>912</v>
      </c>
      <c r="D12" s="114">
        <v>500617.81</v>
      </c>
      <c r="E12" s="114">
        <v>282242.84000000003</v>
      </c>
      <c r="F12" s="114">
        <v>218374.97</v>
      </c>
      <c r="G12" s="114">
        <v>268852.39</v>
      </c>
      <c r="H12" s="114">
        <v>500618</v>
      </c>
      <c r="I12" s="114">
        <v>282243</v>
      </c>
      <c r="J12" s="114">
        <v>218375</v>
      </c>
      <c r="K12" s="114">
        <v>268853</v>
      </c>
    </row>
    <row r="13" spans="1:11" x14ac:dyDescent="0.25">
      <c r="A13" s="113" t="s">
        <v>913</v>
      </c>
      <c r="B13" s="113" t="s">
        <v>914</v>
      </c>
      <c r="C13" s="112" t="s">
        <v>915</v>
      </c>
      <c r="D13" s="114">
        <v>34418</v>
      </c>
      <c r="E13" s="114">
        <v>0</v>
      </c>
      <c r="F13" s="114">
        <v>34418</v>
      </c>
      <c r="G13" s="114">
        <v>34418</v>
      </c>
      <c r="H13" s="114">
        <v>34418</v>
      </c>
      <c r="I13" s="114">
        <v>0</v>
      </c>
      <c r="J13" s="114">
        <v>34418</v>
      </c>
      <c r="K13" s="114">
        <v>34418</v>
      </c>
    </row>
    <row r="14" spans="1:11" x14ac:dyDescent="0.25">
      <c r="A14" s="113">
        <v>2</v>
      </c>
      <c r="B14" s="113" t="s">
        <v>916</v>
      </c>
      <c r="C14" s="112" t="s">
        <v>607</v>
      </c>
      <c r="D14" s="114">
        <v>163499.4</v>
      </c>
      <c r="E14" s="114">
        <v>62127.01</v>
      </c>
      <c r="F14" s="114">
        <v>101372.39</v>
      </c>
      <c r="G14" s="114">
        <v>109547.36</v>
      </c>
      <c r="H14" s="114">
        <v>163499</v>
      </c>
      <c r="I14" s="114">
        <v>62127</v>
      </c>
      <c r="J14" s="114">
        <v>101372</v>
      </c>
      <c r="K14" s="114">
        <v>109547</v>
      </c>
    </row>
    <row r="15" spans="1:11" x14ac:dyDescent="0.25">
      <c r="A15" s="113">
        <v>3</v>
      </c>
      <c r="B15" s="113" t="s">
        <v>917</v>
      </c>
      <c r="C15" s="112" t="s">
        <v>609</v>
      </c>
      <c r="D15" s="114">
        <v>209196.72</v>
      </c>
      <c r="E15" s="114">
        <v>161094.73000000001</v>
      </c>
      <c r="F15" s="114">
        <v>48101.99</v>
      </c>
      <c r="G15" s="114">
        <v>12432.51</v>
      </c>
      <c r="H15" s="114">
        <v>209197</v>
      </c>
      <c r="I15" s="114">
        <v>161095</v>
      </c>
      <c r="J15" s="114">
        <v>48102</v>
      </c>
      <c r="K15" s="114">
        <v>12433</v>
      </c>
    </row>
    <row r="16" spans="1:11" x14ac:dyDescent="0.25">
      <c r="A16" s="113">
        <v>4</v>
      </c>
      <c r="B16" s="113" t="s">
        <v>918</v>
      </c>
      <c r="C16" s="112" t="s">
        <v>919</v>
      </c>
      <c r="D16" s="114">
        <v>0</v>
      </c>
      <c r="E16" s="114">
        <v>0</v>
      </c>
      <c r="F16" s="114">
        <v>0</v>
      </c>
      <c r="G16" s="114">
        <v>0</v>
      </c>
      <c r="H16" s="114">
        <v>0</v>
      </c>
      <c r="I16" s="114">
        <v>0</v>
      </c>
      <c r="J16" s="114">
        <v>0</v>
      </c>
      <c r="K16" s="114">
        <v>0</v>
      </c>
    </row>
    <row r="17" spans="1:11" x14ac:dyDescent="0.25">
      <c r="A17" s="113">
        <v>5</v>
      </c>
      <c r="B17" s="113" t="s">
        <v>920</v>
      </c>
      <c r="C17" s="112" t="s">
        <v>921</v>
      </c>
      <c r="D17" s="114">
        <v>3500</v>
      </c>
      <c r="E17" s="114">
        <v>1625.02</v>
      </c>
      <c r="F17" s="114">
        <v>1874.98</v>
      </c>
      <c r="G17" s="114">
        <v>2416.65</v>
      </c>
      <c r="H17" s="114">
        <v>3500</v>
      </c>
      <c r="I17" s="114">
        <v>1625</v>
      </c>
      <c r="J17" s="114">
        <v>1875</v>
      </c>
      <c r="K17" s="114">
        <v>2417</v>
      </c>
    </row>
    <row r="18" spans="1:11" x14ac:dyDescent="0.25">
      <c r="A18" s="113">
        <v>6</v>
      </c>
      <c r="B18" s="113" t="s">
        <v>922</v>
      </c>
      <c r="C18" s="112" t="s">
        <v>923</v>
      </c>
      <c r="D18" s="114">
        <v>90003.69</v>
      </c>
      <c r="E18" s="114">
        <v>57396.08</v>
      </c>
      <c r="F18" s="114">
        <v>32607.61</v>
      </c>
      <c r="G18" s="114">
        <v>52337.87</v>
      </c>
      <c r="H18" s="114">
        <v>90004</v>
      </c>
      <c r="I18" s="114">
        <v>57396</v>
      </c>
      <c r="J18" s="114">
        <v>32608</v>
      </c>
      <c r="K18" s="114">
        <v>52338</v>
      </c>
    </row>
    <row r="19" spans="1:11" x14ac:dyDescent="0.25">
      <c r="A19" s="113">
        <v>7</v>
      </c>
      <c r="B19" s="113" t="s">
        <v>924</v>
      </c>
      <c r="C19" s="112" t="s">
        <v>925</v>
      </c>
      <c r="D19" s="114">
        <v>0</v>
      </c>
      <c r="E19" s="114">
        <v>0</v>
      </c>
      <c r="F19" s="114">
        <v>0</v>
      </c>
      <c r="G19" s="114">
        <v>57700</v>
      </c>
      <c r="H19" s="114">
        <v>0</v>
      </c>
      <c r="I19" s="114">
        <v>0</v>
      </c>
      <c r="J19" s="114">
        <v>0</v>
      </c>
      <c r="K19" s="114">
        <v>57700</v>
      </c>
    </row>
    <row r="20" spans="1:11" x14ac:dyDescent="0.25">
      <c r="A20" s="113">
        <v>8</v>
      </c>
      <c r="B20" s="113" t="s">
        <v>926</v>
      </c>
      <c r="C20" s="112" t="s">
        <v>927</v>
      </c>
      <c r="D20" s="114">
        <v>0</v>
      </c>
      <c r="E20" s="114">
        <v>0</v>
      </c>
      <c r="F20" s="114">
        <v>0</v>
      </c>
      <c r="G20" s="114">
        <v>0</v>
      </c>
      <c r="H20" s="114">
        <v>0</v>
      </c>
      <c r="I20" s="114">
        <v>0</v>
      </c>
      <c r="J20" s="114">
        <v>0</v>
      </c>
      <c r="K20" s="114">
        <v>0</v>
      </c>
    </row>
    <row r="21" spans="1:11" x14ac:dyDescent="0.25">
      <c r="A21" s="113">
        <v>9</v>
      </c>
      <c r="B21" s="113" t="s">
        <v>928</v>
      </c>
      <c r="C21" s="112" t="s">
        <v>929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4">
        <v>0</v>
      </c>
      <c r="J21" s="114">
        <v>0</v>
      </c>
      <c r="K21" s="114">
        <v>0</v>
      </c>
    </row>
    <row r="22" spans="1:11" x14ac:dyDescent="0.25">
      <c r="A22" s="113" t="s">
        <v>930</v>
      </c>
      <c r="B22" s="113" t="s">
        <v>931</v>
      </c>
      <c r="C22" s="112" t="s">
        <v>610</v>
      </c>
      <c r="D22" s="114">
        <v>366030.03</v>
      </c>
      <c r="E22" s="114">
        <v>0</v>
      </c>
      <c r="F22" s="114">
        <v>366030.03</v>
      </c>
      <c r="G22" s="114">
        <v>365190.03</v>
      </c>
      <c r="H22" s="114">
        <v>366030</v>
      </c>
      <c r="I22" s="114">
        <v>0</v>
      </c>
      <c r="J22" s="114">
        <v>366030</v>
      </c>
      <c r="K22" s="114">
        <v>365190</v>
      </c>
    </row>
    <row r="23" spans="1:11" x14ac:dyDescent="0.25">
      <c r="A23" s="113" t="s">
        <v>932</v>
      </c>
      <c r="B23" s="113" t="s">
        <v>933</v>
      </c>
      <c r="C23" s="112" t="s">
        <v>611</v>
      </c>
      <c r="D23" s="114">
        <v>366030.03</v>
      </c>
      <c r="E23" s="114">
        <v>0</v>
      </c>
      <c r="F23" s="114">
        <v>366030.03</v>
      </c>
      <c r="G23" s="114">
        <v>365190.03</v>
      </c>
      <c r="H23" s="114">
        <v>366030</v>
      </c>
      <c r="I23" s="114">
        <v>0</v>
      </c>
      <c r="J23" s="114">
        <v>366030</v>
      </c>
      <c r="K23" s="114">
        <v>365190</v>
      </c>
    </row>
    <row r="24" spans="1:11" x14ac:dyDescent="0.25">
      <c r="A24" s="113">
        <v>2</v>
      </c>
      <c r="B24" s="113" t="s">
        <v>934</v>
      </c>
      <c r="C24" s="112" t="s">
        <v>935</v>
      </c>
      <c r="D24" s="114">
        <v>0</v>
      </c>
      <c r="E24" s="114">
        <v>0</v>
      </c>
      <c r="F24" s="114">
        <v>0</v>
      </c>
      <c r="G24" s="114">
        <v>0</v>
      </c>
      <c r="H24" s="114">
        <v>0</v>
      </c>
      <c r="I24" s="114">
        <v>0</v>
      </c>
      <c r="J24" s="114">
        <v>0</v>
      </c>
      <c r="K24" s="114">
        <v>0</v>
      </c>
    </row>
    <row r="25" spans="1:11" x14ac:dyDescent="0.25">
      <c r="A25" s="113">
        <v>3</v>
      </c>
      <c r="B25" s="113" t="s">
        <v>936</v>
      </c>
      <c r="C25" s="112" t="s">
        <v>937</v>
      </c>
      <c r="D25" s="114">
        <v>0</v>
      </c>
      <c r="E25" s="114">
        <v>0</v>
      </c>
      <c r="F25" s="114">
        <v>0</v>
      </c>
      <c r="G25" s="114">
        <v>0</v>
      </c>
      <c r="H25" s="114">
        <v>0</v>
      </c>
      <c r="I25" s="114">
        <v>0</v>
      </c>
      <c r="J25" s="114">
        <v>0</v>
      </c>
      <c r="K25" s="114">
        <v>0</v>
      </c>
    </row>
    <row r="26" spans="1:11" x14ac:dyDescent="0.25">
      <c r="A26" s="113">
        <v>4</v>
      </c>
      <c r="B26" s="113" t="s">
        <v>938</v>
      </c>
      <c r="C26" s="112" t="s">
        <v>939</v>
      </c>
      <c r="D26" s="114">
        <v>0</v>
      </c>
      <c r="E26" s="114">
        <v>0</v>
      </c>
      <c r="F26" s="114">
        <v>0</v>
      </c>
      <c r="G26" s="114">
        <v>0</v>
      </c>
      <c r="H26" s="114">
        <v>0</v>
      </c>
      <c r="I26" s="114">
        <v>0</v>
      </c>
      <c r="J26" s="114">
        <v>0</v>
      </c>
      <c r="K26" s="114">
        <v>0</v>
      </c>
    </row>
    <row r="27" spans="1:11" x14ac:dyDescent="0.25">
      <c r="A27" s="113">
        <v>5</v>
      </c>
      <c r="B27" s="113" t="s">
        <v>940</v>
      </c>
      <c r="C27" s="112" t="s">
        <v>613</v>
      </c>
      <c r="D27" s="114">
        <v>0</v>
      </c>
      <c r="E27" s="114">
        <v>0</v>
      </c>
      <c r="F27" s="114">
        <v>0</v>
      </c>
      <c r="G27" s="114">
        <v>0</v>
      </c>
      <c r="H27" s="114">
        <v>0</v>
      </c>
      <c r="I27" s="114">
        <v>0</v>
      </c>
      <c r="J27" s="114">
        <v>0</v>
      </c>
      <c r="K27" s="114">
        <v>0</v>
      </c>
    </row>
    <row r="28" spans="1:11" x14ac:dyDescent="0.25">
      <c r="A28" s="113">
        <v>6</v>
      </c>
      <c r="B28" s="113" t="s">
        <v>941</v>
      </c>
      <c r="C28" s="112" t="s">
        <v>942</v>
      </c>
      <c r="D28" s="114">
        <v>0</v>
      </c>
      <c r="E28" s="114">
        <v>0</v>
      </c>
      <c r="F28" s="114">
        <v>0</v>
      </c>
      <c r="G28" s="114">
        <v>0</v>
      </c>
      <c r="H28" s="114">
        <v>0</v>
      </c>
      <c r="I28" s="114">
        <v>0</v>
      </c>
      <c r="J28" s="114">
        <v>0</v>
      </c>
      <c r="K28" s="114">
        <v>0</v>
      </c>
    </row>
    <row r="29" spans="1:11" x14ac:dyDescent="0.25">
      <c r="A29" s="113">
        <v>7</v>
      </c>
      <c r="B29" s="113" t="s">
        <v>943</v>
      </c>
      <c r="C29" s="112" t="s">
        <v>944</v>
      </c>
      <c r="D29" s="114">
        <v>0</v>
      </c>
      <c r="E29" s="114">
        <v>0</v>
      </c>
      <c r="F29" s="114">
        <v>0</v>
      </c>
      <c r="G29" s="114">
        <v>0</v>
      </c>
      <c r="H29" s="114">
        <v>0</v>
      </c>
      <c r="I29" s="114">
        <v>0</v>
      </c>
      <c r="J29" s="114">
        <v>0</v>
      </c>
      <c r="K29" s="114">
        <v>0</v>
      </c>
    </row>
    <row r="30" spans="1:11" x14ac:dyDescent="0.25">
      <c r="A30" s="113">
        <v>8</v>
      </c>
      <c r="B30" s="113" t="s">
        <v>945</v>
      </c>
      <c r="C30" s="112" t="s">
        <v>615</v>
      </c>
      <c r="D30" s="114">
        <v>0</v>
      </c>
      <c r="E30" s="114">
        <v>0</v>
      </c>
      <c r="F30" s="114">
        <v>0</v>
      </c>
      <c r="G30" s="114">
        <v>0</v>
      </c>
      <c r="H30" s="114">
        <v>0</v>
      </c>
      <c r="I30" s="114">
        <v>0</v>
      </c>
      <c r="J30" s="114">
        <v>0</v>
      </c>
      <c r="K30" s="114">
        <v>0</v>
      </c>
    </row>
    <row r="31" spans="1:11" x14ac:dyDescent="0.25">
      <c r="A31" s="113">
        <v>9</v>
      </c>
      <c r="B31" s="113" t="s">
        <v>946</v>
      </c>
      <c r="C31" s="112" t="s">
        <v>947</v>
      </c>
      <c r="D31" s="114">
        <v>0</v>
      </c>
      <c r="E31" s="114">
        <v>0</v>
      </c>
      <c r="F31" s="114">
        <v>0</v>
      </c>
      <c r="G31" s="114">
        <v>0</v>
      </c>
      <c r="H31" s="114">
        <v>0</v>
      </c>
      <c r="I31" s="114">
        <v>0</v>
      </c>
      <c r="J31" s="114">
        <v>0</v>
      </c>
      <c r="K31" s="114">
        <v>0</v>
      </c>
    </row>
    <row r="32" spans="1:11" x14ac:dyDescent="0.25">
      <c r="A32" s="113">
        <v>10</v>
      </c>
      <c r="B32" s="113" t="s">
        <v>948</v>
      </c>
      <c r="C32" s="112" t="s">
        <v>617</v>
      </c>
      <c r="D32" s="114">
        <v>0</v>
      </c>
      <c r="E32" s="114">
        <v>0</v>
      </c>
      <c r="F32" s="114">
        <v>0</v>
      </c>
      <c r="G32" s="114">
        <v>0</v>
      </c>
      <c r="H32" s="114">
        <v>0</v>
      </c>
      <c r="I32" s="114">
        <v>0</v>
      </c>
      <c r="J32" s="114">
        <v>0</v>
      </c>
      <c r="K32" s="114">
        <v>0</v>
      </c>
    </row>
    <row r="33" spans="1:11" x14ac:dyDescent="0.25">
      <c r="A33" s="113">
        <v>11</v>
      </c>
      <c r="B33" s="113" t="s">
        <v>949</v>
      </c>
      <c r="C33" s="112" t="s">
        <v>950</v>
      </c>
      <c r="D33" s="114">
        <v>0</v>
      </c>
      <c r="E33" s="114">
        <v>0</v>
      </c>
      <c r="F33" s="114">
        <v>0</v>
      </c>
      <c r="G33" s="114">
        <v>0</v>
      </c>
      <c r="H33" s="114">
        <v>0</v>
      </c>
      <c r="I33" s="114">
        <v>0</v>
      </c>
      <c r="J33" s="114">
        <v>0</v>
      </c>
      <c r="K33" s="114">
        <v>0</v>
      </c>
    </row>
    <row r="34" spans="1:11" x14ac:dyDescent="0.25">
      <c r="A34" s="113" t="s">
        <v>755</v>
      </c>
      <c r="B34" s="113" t="s">
        <v>951</v>
      </c>
      <c r="C34" s="112" t="s">
        <v>952</v>
      </c>
      <c r="D34" s="114">
        <v>262632.24</v>
      </c>
      <c r="E34" s="114">
        <v>0</v>
      </c>
      <c r="F34" s="114">
        <v>262632.24</v>
      </c>
      <c r="G34" s="114">
        <v>345242.06</v>
      </c>
      <c r="H34" s="114">
        <v>262632</v>
      </c>
      <c r="I34" s="114">
        <v>0</v>
      </c>
      <c r="J34" s="114">
        <v>262632</v>
      </c>
      <c r="K34" s="114">
        <v>345242</v>
      </c>
    </row>
    <row r="35" spans="1:11" x14ac:dyDescent="0.25">
      <c r="A35" s="113" t="s">
        <v>953</v>
      </c>
      <c r="B35" s="113" t="s">
        <v>954</v>
      </c>
      <c r="C35" s="112" t="s">
        <v>955</v>
      </c>
      <c r="D35" s="114">
        <v>250222.53</v>
      </c>
      <c r="E35" s="114">
        <v>0</v>
      </c>
      <c r="F35" s="114">
        <v>250222.53</v>
      </c>
      <c r="G35" s="114">
        <v>282935.64</v>
      </c>
      <c r="H35" s="114">
        <v>250223</v>
      </c>
      <c r="I35" s="114">
        <v>0</v>
      </c>
      <c r="J35" s="114">
        <v>250223</v>
      </c>
      <c r="K35" s="114">
        <v>282936</v>
      </c>
    </row>
    <row r="36" spans="1:11" x14ac:dyDescent="0.25">
      <c r="A36" s="113" t="s">
        <v>956</v>
      </c>
      <c r="B36" s="113" t="s">
        <v>957</v>
      </c>
      <c r="C36" s="112" t="s">
        <v>958</v>
      </c>
      <c r="D36" s="114">
        <v>157.55000000000001</v>
      </c>
      <c r="E36" s="114">
        <v>0</v>
      </c>
      <c r="F36" s="114">
        <v>157.55000000000001</v>
      </c>
      <c r="G36" s="114">
        <v>178.53</v>
      </c>
      <c r="H36" s="114">
        <v>158</v>
      </c>
      <c r="I36" s="114">
        <v>0</v>
      </c>
      <c r="J36" s="114">
        <v>158</v>
      </c>
      <c r="K36" s="114">
        <v>179</v>
      </c>
    </row>
    <row r="37" spans="1:11" x14ac:dyDescent="0.25">
      <c r="A37" s="113">
        <v>2</v>
      </c>
      <c r="B37" s="113" t="s">
        <v>959</v>
      </c>
      <c r="C37" s="112" t="s">
        <v>960</v>
      </c>
      <c r="D37" s="114">
        <v>0</v>
      </c>
      <c r="E37" s="114">
        <v>0</v>
      </c>
      <c r="F37" s="114">
        <v>0</v>
      </c>
      <c r="G37" s="114">
        <v>0</v>
      </c>
      <c r="H37" s="114">
        <v>0</v>
      </c>
      <c r="I37" s="114">
        <v>0</v>
      </c>
      <c r="J37" s="114">
        <v>0</v>
      </c>
      <c r="K37" s="114">
        <v>0</v>
      </c>
    </row>
    <row r="38" spans="1:11" x14ac:dyDescent="0.25">
      <c r="A38" s="113">
        <v>3</v>
      </c>
      <c r="B38" s="113" t="s">
        <v>961</v>
      </c>
      <c r="C38" s="112" t="s">
        <v>962</v>
      </c>
      <c r="D38" s="114">
        <v>144</v>
      </c>
      <c r="E38" s="114">
        <v>0</v>
      </c>
      <c r="F38" s="114">
        <v>144</v>
      </c>
      <c r="G38" s="114">
        <v>0</v>
      </c>
      <c r="H38" s="114">
        <v>144</v>
      </c>
      <c r="I38" s="114">
        <v>0</v>
      </c>
      <c r="J38" s="114">
        <v>144</v>
      </c>
      <c r="K38" s="114">
        <v>0</v>
      </c>
    </row>
    <row r="39" spans="1:11" x14ac:dyDescent="0.25">
      <c r="A39" s="113">
        <v>4</v>
      </c>
      <c r="B39" s="113" t="s">
        <v>963</v>
      </c>
      <c r="C39" s="112" t="s">
        <v>964</v>
      </c>
      <c r="D39" s="114">
        <v>4100</v>
      </c>
      <c r="E39" s="114">
        <v>0</v>
      </c>
      <c r="F39" s="114">
        <v>4100</v>
      </c>
      <c r="G39" s="114">
        <v>2900</v>
      </c>
      <c r="H39" s="114">
        <v>4100</v>
      </c>
      <c r="I39" s="114">
        <v>0</v>
      </c>
      <c r="J39" s="114">
        <v>4100</v>
      </c>
      <c r="K39" s="114">
        <v>2900</v>
      </c>
    </row>
    <row r="40" spans="1:11" x14ac:dyDescent="0.25">
      <c r="A40" s="113">
        <v>5</v>
      </c>
      <c r="B40" s="113" t="s">
        <v>965</v>
      </c>
      <c r="C40" s="112" t="s">
        <v>966</v>
      </c>
      <c r="D40" s="114">
        <v>245820.98</v>
      </c>
      <c r="E40" s="114">
        <v>0</v>
      </c>
      <c r="F40" s="114">
        <v>245820.98</v>
      </c>
      <c r="G40" s="114">
        <v>279857.11</v>
      </c>
      <c r="H40" s="114">
        <v>245821</v>
      </c>
      <c r="I40" s="114">
        <v>0</v>
      </c>
      <c r="J40" s="114">
        <v>245821</v>
      </c>
      <c r="K40" s="114">
        <v>279857</v>
      </c>
    </row>
    <row r="41" spans="1:11" x14ac:dyDescent="0.25">
      <c r="A41" s="113">
        <v>6</v>
      </c>
      <c r="B41" s="113" t="s">
        <v>967</v>
      </c>
      <c r="C41" s="112" t="s">
        <v>968</v>
      </c>
      <c r="D41" s="114">
        <v>0</v>
      </c>
      <c r="E41" s="114">
        <v>0</v>
      </c>
      <c r="F41" s="114">
        <v>0</v>
      </c>
      <c r="G41" s="114">
        <v>0</v>
      </c>
      <c r="H41" s="114">
        <v>0</v>
      </c>
      <c r="I41" s="114">
        <v>0</v>
      </c>
      <c r="J41" s="114">
        <v>0</v>
      </c>
      <c r="K41" s="114">
        <v>0</v>
      </c>
    </row>
    <row r="42" spans="1:11" x14ac:dyDescent="0.25">
      <c r="A42" s="113" t="s">
        <v>969</v>
      </c>
      <c r="B42" s="113" t="s">
        <v>970</v>
      </c>
      <c r="C42" s="112" t="s">
        <v>971</v>
      </c>
      <c r="D42" s="114">
        <v>0</v>
      </c>
      <c r="E42" s="114">
        <v>0</v>
      </c>
      <c r="F42" s="114">
        <v>0</v>
      </c>
      <c r="G42" s="114">
        <v>0</v>
      </c>
      <c r="H42" s="114">
        <v>0</v>
      </c>
      <c r="I42" s="114">
        <v>0</v>
      </c>
      <c r="J42" s="114">
        <v>0</v>
      </c>
      <c r="K42" s="114">
        <v>0</v>
      </c>
    </row>
    <row r="43" spans="1:11" x14ac:dyDescent="0.25">
      <c r="A43" s="113" t="s">
        <v>972</v>
      </c>
      <c r="B43" s="113" t="s">
        <v>973</v>
      </c>
      <c r="C43" s="112" t="s">
        <v>618</v>
      </c>
      <c r="D43" s="114">
        <v>0</v>
      </c>
      <c r="E43" s="114">
        <v>0</v>
      </c>
      <c r="F43" s="114">
        <v>0</v>
      </c>
      <c r="G43" s="114">
        <v>0</v>
      </c>
      <c r="H43" s="114">
        <v>0</v>
      </c>
      <c r="I43" s="114">
        <v>0</v>
      </c>
      <c r="J43" s="114">
        <v>0</v>
      </c>
      <c r="K43" s="114">
        <v>0</v>
      </c>
    </row>
    <row r="44" spans="1:11" x14ac:dyDescent="0.25">
      <c r="A44" s="113" t="s">
        <v>974</v>
      </c>
      <c r="B44" s="113" t="s">
        <v>975</v>
      </c>
      <c r="C44" s="112" t="s">
        <v>722</v>
      </c>
      <c r="D44" s="114">
        <v>0</v>
      </c>
      <c r="E44" s="114">
        <v>0</v>
      </c>
      <c r="F44" s="114">
        <v>0</v>
      </c>
      <c r="G44" s="114">
        <v>0</v>
      </c>
      <c r="H44" s="114">
        <v>0</v>
      </c>
      <c r="I44" s="114">
        <v>0</v>
      </c>
      <c r="J44" s="114">
        <v>0</v>
      </c>
      <c r="K44" s="114">
        <v>0</v>
      </c>
    </row>
    <row r="45" spans="1:11" x14ac:dyDescent="0.25">
      <c r="A45" s="113" t="s">
        <v>976</v>
      </c>
      <c r="B45" s="113" t="s">
        <v>977</v>
      </c>
      <c r="C45" s="112" t="s">
        <v>978</v>
      </c>
      <c r="D45" s="114">
        <v>0</v>
      </c>
      <c r="E45" s="114">
        <v>0</v>
      </c>
      <c r="F45" s="114">
        <v>0</v>
      </c>
      <c r="G45" s="114">
        <v>0</v>
      </c>
      <c r="H45" s="114">
        <v>0</v>
      </c>
      <c r="I45" s="114">
        <v>0</v>
      </c>
      <c r="J45" s="114">
        <v>0</v>
      </c>
      <c r="K45" s="114">
        <v>0</v>
      </c>
    </row>
    <row r="46" spans="1:11" x14ac:dyDescent="0.25">
      <c r="A46" s="113" t="s">
        <v>979</v>
      </c>
      <c r="B46" s="113" t="s">
        <v>980</v>
      </c>
      <c r="C46" s="112" t="s">
        <v>981</v>
      </c>
      <c r="D46" s="114">
        <v>0</v>
      </c>
      <c r="E46" s="114">
        <v>0</v>
      </c>
      <c r="F46" s="114">
        <v>0</v>
      </c>
      <c r="G46" s="114">
        <v>0</v>
      </c>
      <c r="H46" s="114">
        <v>0</v>
      </c>
      <c r="I46" s="114">
        <v>0</v>
      </c>
      <c r="J46" s="114">
        <v>0</v>
      </c>
      <c r="K46" s="114">
        <v>0</v>
      </c>
    </row>
    <row r="47" spans="1:11" x14ac:dyDescent="0.25">
      <c r="A47" s="113">
        <v>2</v>
      </c>
      <c r="B47" s="113" t="s">
        <v>982</v>
      </c>
      <c r="C47" s="112" t="s">
        <v>983</v>
      </c>
      <c r="D47" s="114">
        <v>0</v>
      </c>
      <c r="E47" s="114">
        <v>0</v>
      </c>
      <c r="F47" s="114">
        <v>0</v>
      </c>
      <c r="G47" s="114">
        <v>0</v>
      </c>
      <c r="H47" s="114">
        <v>0</v>
      </c>
      <c r="I47" s="114">
        <v>0</v>
      </c>
      <c r="J47" s="114">
        <v>0</v>
      </c>
      <c r="K47" s="114">
        <v>0</v>
      </c>
    </row>
    <row r="48" spans="1:11" x14ac:dyDescent="0.25">
      <c r="A48" s="113">
        <v>3</v>
      </c>
      <c r="B48" s="113" t="s">
        <v>984</v>
      </c>
      <c r="C48" s="112" t="s">
        <v>985</v>
      </c>
      <c r="D48" s="114">
        <v>0</v>
      </c>
      <c r="E48" s="114">
        <v>0</v>
      </c>
      <c r="F48" s="114">
        <v>0</v>
      </c>
      <c r="G48" s="114">
        <v>0</v>
      </c>
      <c r="H48" s="114">
        <v>0</v>
      </c>
      <c r="I48" s="114">
        <v>0</v>
      </c>
      <c r="J48" s="114">
        <v>0</v>
      </c>
      <c r="K48" s="114">
        <v>0</v>
      </c>
    </row>
    <row r="49" spans="1:11" x14ac:dyDescent="0.25">
      <c r="A49" s="113">
        <v>4</v>
      </c>
      <c r="B49" s="113" t="s">
        <v>986</v>
      </c>
      <c r="C49" s="112" t="s">
        <v>987</v>
      </c>
      <c r="D49" s="114">
        <v>0</v>
      </c>
      <c r="E49" s="114">
        <v>0</v>
      </c>
      <c r="F49" s="114">
        <v>0</v>
      </c>
      <c r="G49" s="114">
        <v>0</v>
      </c>
      <c r="H49" s="114">
        <v>0</v>
      </c>
      <c r="I49" s="114">
        <v>0</v>
      </c>
      <c r="J49" s="114">
        <v>0</v>
      </c>
      <c r="K49" s="114">
        <v>0</v>
      </c>
    </row>
    <row r="50" spans="1:11" x14ac:dyDescent="0.25">
      <c r="A50" s="113">
        <v>5</v>
      </c>
      <c r="B50" s="113" t="s">
        <v>988</v>
      </c>
      <c r="C50" s="112" t="s">
        <v>989</v>
      </c>
      <c r="D50" s="114">
        <v>0</v>
      </c>
      <c r="E50" s="114">
        <v>0</v>
      </c>
      <c r="F50" s="114">
        <v>0</v>
      </c>
      <c r="G50" s="114">
        <v>0</v>
      </c>
      <c r="H50" s="114">
        <v>0</v>
      </c>
      <c r="I50" s="114">
        <v>0</v>
      </c>
      <c r="J50" s="114">
        <v>0</v>
      </c>
      <c r="K50" s="114">
        <v>0</v>
      </c>
    </row>
    <row r="51" spans="1:11" x14ac:dyDescent="0.25">
      <c r="A51" s="113">
        <v>6</v>
      </c>
      <c r="B51" s="113" t="s">
        <v>990</v>
      </c>
      <c r="C51" s="112" t="s">
        <v>991</v>
      </c>
      <c r="D51" s="114">
        <v>0</v>
      </c>
      <c r="E51" s="114">
        <v>0</v>
      </c>
      <c r="F51" s="114">
        <v>0</v>
      </c>
      <c r="G51" s="114">
        <v>0</v>
      </c>
      <c r="H51" s="114">
        <v>0</v>
      </c>
      <c r="I51" s="114">
        <v>0</v>
      </c>
      <c r="J51" s="114">
        <v>0</v>
      </c>
      <c r="K51" s="114">
        <v>0</v>
      </c>
    </row>
    <row r="52" spans="1:11" x14ac:dyDescent="0.25">
      <c r="A52" s="113">
        <v>7</v>
      </c>
      <c r="B52" s="113" t="s">
        <v>992</v>
      </c>
      <c r="C52" s="112" t="s">
        <v>993</v>
      </c>
      <c r="D52" s="114">
        <v>0</v>
      </c>
      <c r="E52" s="114">
        <v>0</v>
      </c>
      <c r="F52" s="114">
        <v>0</v>
      </c>
      <c r="G52" s="114">
        <v>0</v>
      </c>
      <c r="H52" s="114">
        <v>0</v>
      </c>
      <c r="I52" s="114">
        <v>0</v>
      </c>
      <c r="J52" s="114">
        <v>0</v>
      </c>
      <c r="K52" s="114">
        <v>0</v>
      </c>
    </row>
    <row r="53" spans="1:11" x14ac:dyDescent="0.25">
      <c r="A53" s="113">
        <v>8</v>
      </c>
      <c r="B53" s="113" t="s">
        <v>994</v>
      </c>
      <c r="C53" s="112" t="s">
        <v>995</v>
      </c>
      <c r="D53" s="114">
        <v>0</v>
      </c>
      <c r="E53" s="114">
        <v>0</v>
      </c>
      <c r="F53" s="114">
        <v>0</v>
      </c>
      <c r="G53" s="114">
        <v>0</v>
      </c>
      <c r="H53" s="114">
        <v>0</v>
      </c>
      <c r="I53" s="114">
        <v>0</v>
      </c>
      <c r="J53" s="114">
        <v>0</v>
      </c>
      <c r="K53" s="114">
        <v>0</v>
      </c>
    </row>
    <row r="54" spans="1:11" x14ac:dyDescent="0.25">
      <c r="A54" s="113" t="s">
        <v>996</v>
      </c>
      <c r="B54" s="113" t="s">
        <v>997</v>
      </c>
      <c r="C54" s="112" t="s">
        <v>998</v>
      </c>
      <c r="D54" s="114">
        <v>34595.47</v>
      </c>
      <c r="E54" s="114">
        <v>0</v>
      </c>
      <c r="F54" s="114">
        <v>34595.47</v>
      </c>
      <c r="G54" s="114">
        <v>86015.56</v>
      </c>
      <c r="H54" s="114">
        <v>34595</v>
      </c>
      <c r="I54" s="114">
        <v>0</v>
      </c>
      <c r="J54" s="114">
        <v>34595</v>
      </c>
      <c r="K54" s="114">
        <v>86015</v>
      </c>
    </row>
    <row r="55" spans="1:11" x14ac:dyDescent="0.25">
      <c r="A55" s="113" t="s">
        <v>999</v>
      </c>
      <c r="B55" s="113" t="s">
        <v>1000</v>
      </c>
      <c r="C55" s="112" t="s">
        <v>1001</v>
      </c>
      <c r="D55" s="114">
        <v>25267.03</v>
      </c>
      <c r="E55" s="114">
        <v>0</v>
      </c>
      <c r="F55" s="114">
        <v>25267.03</v>
      </c>
      <c r="G55" s="114">
        <v>36188.25</v>
      </c>
      <c r="H55" s="114">
        <v>25267</v>
      </c>
      <c r="I55" s="114">
        <v>0</v>
      </c>
      <c r="J55" s="114">
        <v>25267</v>
      </c>
      <c r="K55" s="114">
        <v>36188</v>
      </c>
    </row>
    <row r="56" spans="1:11" x14ac:dyDescent="0.25">
      <c r="A56" s="113" t="s">
        <v>974</v>
      </c>
      <c r="B56" s="113" t="s">
        <v>975</v>
      </c>
      <c r="C56" s="112" t="s">
        <v>1002</v>
      </c>
      <c r="D56" s="114">
        <v>0</v>
      </c>
      <c r="E56" s="114">
        <v>0</v>
      </c>
      <c r="F56" s="114">
        <v>0</v>
      </c>
      <c r="G56" s="114">
        <v>0</v>
      </c>
      <c r="H56" s="114">
        <v>0</v>
      </c>
      <c r="I56" s="114">
        <v>0</v>
      </c>
      <c r="J56" s="114">
        <v>0</v>
      </c>
      <c r="K56" s="114">
        <v>0</v>
      </c>
    </row>
    <row r="57" spans="1:11" x14ac:dyDescent="0.25">
      <c r="A57" s="113" t="s">
        <v>976</v>
      </c>
      <c r="B57" s="113" t="s">
        <v>977</v>
      </c>
      <c r="C57" s="112" t="s">
        <v>1003</v>
      </c>
      <c r="D57" s="114">
        <v>0</v>
      </c>
      <c r="E57" s="114">
        <v>0</v>
      </c>
      <c r="F57" s="114">
        <v>0</v>
      </c>
      <c r="G57" s="114">
        <v>0</v>
      </c>
      <c r="H57" s="114">
        <v>0</v>
      </c>
      <c r="I57" s="114">
        <v>0</v>
      </c>
      <c r="J57" s="114">
        <v>0</v>
      </c>
      <c r="K57" s="114">
        <v>0</v>
      </c>
    </row>
    <row r="58" spans="1:11" x14ac:dyDescent="0.25">
      <c r="A58" s="113" t="s">
        <v>979</v>
      </c>
      <c r="B58" s="113" t="s">
        <v>980</v>
      </c>
      <c r="C58" s="112" t="s">
        <v>1004</v>
      </c>
      <c r="D58" s="114">
        <v>25267.03</v>
      </c>
      <c r="E58" s="114">
        <v>0</v>
      </c>
      <c r="F58" s="114">
        <v>25267.03</v>
      </c>
      <c r="G58" s="114">
        <v>36188.25</v>
      </c>
      <c r="H58" s="114">
        <v>25267</v>
      </c>
      <c r="I58" s="114">
        <v>0</v>
      </c>
      <c r="J58" s="114">
        <v>25267</v>
      </c>
      <c r="K58" s="114">
        <v>36188</v>
      </c>
    </row>
    <row r="59" spans="1:11" x14ac:dyDescent="0.25">
      <c r="A59" s="113">
        <v>2</v>
      </c>
      <c r="B59" s="113" t="s">
        <v>982</v>
      </c>
      <c r="C59" s="112" t="s">
        <v>1005</v>
      </c>
      <c r="D59" s="114">
        <v>0</v>
      </c>
      <c r="E59" s="114">
        <v>0</v>
      </c>
      <c r="F59" s="114">
        <v>0</v>
      </c>
      <c r="G59" s="114">
        <v>0</v>
      </c>
      <c r="H59" s="114">
        <v>0</v>
      </c>
      <c r="I59" s="114">
        <v>0</v>
      </c>
      <c r="J59" s="114">
        <v>0</v>
      </c>
      <c r="K59" s="114">
        <v>0</v>
      </c>
    </row>
    <row r="60" spans="1:11" x14ac:dyDescent="0.25">
      <c r="A60" s="113">
        <v>3</v>
      </c>
      <c r="B60" s="113" t="s">
        <v>984</v>
      </c>
      <c r="C60" s="112" t="s">
        <v>1006</v>
      </c>
      <c r="D60" s="114">
        <v>0</v>
      </c>
      <c r="E60" s="114">
        <v>0</v>
      </c>
      <c r="F60" s="114">
        <v>0</v>
      </c>
      <c r="G60" s="114">
        <v>0</v>
      </c>
      <c r="H60" s="114">
        <v>0</v>
      </c>
      <c r="I60" s="114">
        <v>0</v>
      </c>
      <c r="J60" s="114">
        <v>0</v>
      </c>
      <c r="K60" s="114">
        <v>0</v>
      </c>
    </row>
    <row r="61" spans="1:11" x14ac:dyDescent="0.25">
      <c r="A61" s="113">
        <v>4</v>
      </c>
      <c r="B61" s="113" t="s">
        <v>986</v>
      </c>
      <c r="C61" s="112" t="s">
        <v>1007</v>
      </c>
      <c r="D61" s="114">
        <v>0</v>
      </c>
      <c r="E61" s="114">
        <v>0</v>
      </c>
      <c r="F61" s="114">
        <v>0</v>
      </c>
      <c r="G61" s="114">
        <v>0</v>
      </c>
      <c r="H61" s="114">
        <v>0</v>
      </c>
      <c r="I61" s="114">
        <v>0</v>
      </c>
      <c r="J61" s="114">
        <v>0</v>
      </c>
      <c r="K61" s="114">
        <v>0</v>
      </c>
    </row>
    <row r="62" spans="1:11" x14ac:dyDescent="0.25">
      <c r="A62" s="113">
        <v>5</v>
      </c>
      <c r="B62" s="113" t="s">
        <v>1008</v>
      </c>
      <c r="C62" s="112" t="s">
        <v>619</v>
      </c>
      <c r="D62" s="114">
        <v>0</v>
      </c>
      <c r="E62" s="114">
        <v>0</v>
      </c>
      <c r="F62" s="114">
        <v>0</v>
      </c>
      <c r="G62" s="114">
        <v>0</v>
      </c>
      <c r="H62" s="114">
        <v>0</v>
      </c>
      <c r="I62" s="114">
        <v>0</v>
      </c>
      <c r="J62" s="114">
        <v>0</v>
      </c>
      <c r="K62" s="114">
        <v>0</v>
      </c>
    </row>
    <row r="63" spans="1:11" x14ac:dyDescent="0.25">
      <c r="A63" s="113" t="s">
        <v>1009</v>
      </c>
      <c r="B63" s="113" t="s">
        <v>1010</v>
      </c>
      <c r="C63" s="112" t="s">
        <v>1011</v>
      </c>
      <c r="D63" s="114">
        <v>0</v>
      </c>
      <c r="E63" s="114">
        <v>0</v>
      </c>
      <c r="F63" s="114">
        <v>0</v>
      </c>
      <c r="G63" s="114">
        <v>0</v>
      </c>
      <c r="H63" s="114">
        <v>0</v>
      </c>
      <c r="I63" s="114">
        <v>0</v>
      </c>
      <c r="J63" s="114">
        <v>0</v>
      </c>
      <c r="K63" s="114">
        <v>0</v>
      </c>
    </row>
    <row r="64" spans="1:11" x14ac:dyDescent="0.25">
      <c r="A64" s="113">
        <v>7</v>
      </c>
      <c r="B64" s="113" t="s">
        <v>1012</v>
      </c>
      <c r="C64" s="112" t="s">
        <v>1013</v>
      </c>
      <c r="D64" s="114">
        <v>9004.25</v>
      </c>
      <c r="E64" s="114">
        <v>0</v>
      </c>
      <c r="F64" s="114">
        <v>9004.25</v>
      </c>
      <c r="G64" s="114">
        <v>49577.1</v>
      </c>
      <c r="H64" s="114">
        <v>9004</v>
      </c>
      <c r="I64" s="114">
        <v>0</v>
      </c>
      <c r="J64" s="114">
        <v>9004</v>
      </c>
      <c r="K64" s="114">
        <v>49577</v>
      </c>
    </row>
    <row r="65" spans="1:11" x14ac:dyDescent="0.25">
      <c r="A65" s="113">
        <v>8</v>
      </c>
      <c r="B65" s="113" t="s">
        <v>990</v>
      </c>
      <c r="C65" s="112" t="s">
        <v>1014</v>
      </c>
      <c r="D65" s="114">
        <v>0</v>
      </c>
      <c r="E65" s="114">
        <v>0</v>
      </c>
      <c r="F65" s="114">
        <v>0</v>
      </c>
      <c r="G65" s="114">
        <v>0</v>
      </c>
      <c r="H65" s="114">
        <v>0</v>
      </c>
      <c r="I65" s="114">
        <v>0</v>
      </c>
      <c r="J65" s="114">
        <v>0</v>
      </c>
      <c r="K65" s="114">
        <v>0</v>
      </c>
    </row>
    <row r="66" spans="1:11" x14ac:dyDescent="0.25">
      <c r="A66" s="113">
        <v>9</v>
      </c>
      <c r="B66" s="113" t="s">
        <v>1015</v>
      </c>
      <c r="C66" s="112" t="s">
        <v>1016</v>
      </c>
      <c r="D66" s="114">
        <v>324.19</v>
      </c>
      <c r="E66" s="114">
        <v>0</v>
      </c>
      <c r="F66" s="114">
        <v>324.19</v>
      </c>
      <c r="G66" s="114">
        <v>250.21</v>
      </c>
      <c r="H66" s="114">
        <v>324</v>
      </c>
      <c r="I66" s="114">
        <v>0</v>
      </c>
      <c r="J66" s="114">
        <v>324</v>
      </c>
      <c r="K66" s="114">
        <v>250</v>
      </c>
    </row>
    <row r="67" spans="1:11" x14ac:dyDescent="0.25">
      <c r="A67" s="113" t="s">
        <v>1017</v>
      </c>
      <c r="B67" s="113" t="s">
        <v>1018</v>
      </c>
      <c r="C67" s="112" t="s">
        <v>1019</v>
      </c>
      <c r="D67" s="114">
        <v>0</v>
      </c>
      <c r="E67" s="114">
        <v>0</v>
      </c>
      <c r="F67" s="114">
        <v>0</v>
      </c>
      <c r="G67" s="114">
        <v>0</v>
      </c>
      <c r="H67" s="114">
        <v>0</v>
      </c>
      <c r="I67" s="114">
        <v>0</v>
      </c>
      <c r="J67" s="114">
        <v>0</v>
      </c>
      <c r="K67" s="114">
        <v>0</v>
      </c>
    </row>
    <row r="68" spans="1:11" x14ac:dyDescent="0.25">
      <c r="A68" s="113" t="s">
        <v>1020</v>
      </c>
      <c r="B68" s="113" t="s">
        <v>1021</v>
      </c>
      <c r="C68" s="112" t="s">
        <v>1022</v>
      </c>
      <c r="D68" s="114">
        <v>0</v>
      </c>
      <c r="E68" s="114">
        <v>0</v>
      </c>
      <c r="F68" s="114">
        <v>0</v>
      </c>
      <c r="G68" s="114">
        <v>0</v>
      </c>
      <c r="H68" s="114">
        <v>0</v>
      </c>
      <c r="I68" s="114">
        <v>0</v>
      </c>
      <c r="J68" s="114">
        <v>0</v>
      </c>
      <c r="K68" s="114">
        <v>0</v>
      </c>
    </row>
    <row r="69" spans="1:11" x14ac:dyDescent="0.25">
      <c r="A69" s="113">
        <v>2</v>
      </c>
      <c r="B69" s="113" t="s">
        <v>1023</v>
      </c>
      <c r="C69" s="112" t="s">
        <v>1024</v>
      </c>
      <c r="D69" s="114">
        <v>0</v>
      </c>
      <c r="E69" s="114">
        <v>0</v>
      </c>
      <c r="F69" s="114">
        <v>0</v>
      </c>
      <c r="G69" s="114">
        <v>0</v>
      </c>
      <c r="H69" s="114">
        <v>0</v>
      </c>
      <c r="I69" s="114">
        <v>0</v>
      </c>
      <c r="J69" s="114">
        <v>0</v>
      </c>
      <c r="K69" s="114">
        <v>0</v>
      </c>
    </row>
    <row r="70" spans="1:11" x14ac:dyDescent="0.25">
      <c r="A70" s="113">
        <v>3</v>
      </c>
      <c r="B70" s="113" t="s">
        <v>1025</v>
      </c>
      <c r="C70" s="112" t="s">
        <v>1026</v>
      </c>
      <c r="D70" s="114">
        <v>0</v>
      </c>
      <c r="E70" s="114">
        <v>0</v>
      </c>
      <c r="F70" s="114">
        <v>0</v>
      </c>
      <c r="G70" s="114">
        <v>0</v>
      </c>
      <c r="H70" s="114">
        <v>0</v>
      </c>
      <c r="I70" s="114">
        <v>0</v>
      </c>
      <c r="J70" s="114">
        <v>0</v>
      </c>
      <c r="K70" s="114">
        <v>0</v>
      </c>
    </row>
    <row r="71" spans="1:11" x14ac:dyDescent="0.25">
      <c r="A71" s="113">
        <v>4</v>
      </c>
      <c r="B71" s="113" t="s">
        <v>1027</v>
      </c>
      <c r="C71" s="112" t="s">
        <v>1028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4">
        <v>0</v>
      </c>
      <c r="J71" s="114">
        <v>0</v>
      </c>
      <c r="K71" s="114">
        <v>0</v>
      </c>
    </row>
    <row r="72" spans="1:11" x14ac:dyDescent="0.25">
      <c r="A72" s="113" t="s">
        <v>1029</v>
      </c>
      <c r="B72" s="113" t="s">
        <v>1030</v>
      </c>
      <c r="C72" s="112" t="s">
        <v>1031</v>
      </c>
      <c r="D72" s="114">
        <v>-22185.759999999998</v>
      </c>
      <c r="E72" s="114">
        <v>0</v>
      </c>
      <c r="F72" s="114">
        <v>-22185.759999999998</v>
      </c>
      <c r="G72" s="114">
        <v>-23709.14</v>
      </c>
      <c r="H72" s="114">
        <v>-22186</v>
      </c>
      <c r="I72" s="114">
        <v>0</v>
      </c>
      <c r="J72" s="114">
        <v>-22186</v>
      </c>
      <c r="K72" s="114">
        <v>-23709</v>
      </c>
    </row>
    <row r="73" spans="1:11" x14ac:dyDescent="0.25">
      <c r="A73" s="113" t="s">
        <v>1032</v>
      </c>
      <c r="B73" s="113" t="s">
        <v>1033</v>
      </c>
      <c r="C73" s="112" t="s">
        <v>1034</v>
      </c>
      <c r="D73" s="114">
        <v>3015.9</v>
      </c>
      <c r="E73" s="114">
        <v>0</v>
      </c>
      <c r="F73" s="114">
        <v>3015.9</v>
      </c>
      <c r="G73" s="114">
        <v>1427.52</v>
      </c>
      <c r="H73" s="114">
        <v>3016</v>
      </c>
      <c r="I73" s="114">
        <v>0</v>
      </c>
      <c r="J73" s="114">
        <v>3016</v>
      </c>
      <c r="K73" s="114">
        <v>1428</v>
      </c>
    </row>
    <row r="74" spans="1:11" x14ac:dyDescent="0.25">
      <c r="A74" s="113">
        <v>2</v>
      </c>
      <c r="B74" s="113" t="s">
        <v>1035</v>
      </c>
      <c r="C74" s="112" t="s">
        <v>621</v>
      </c>
      <c r="D74" s="114">
        <v>-25201.66</v>
      </c>
      <c r="E74" s="114">
        <v>0</v>
      </c>
      <c r="F74" s="114">
        <v>-25201.66</v>
      </c>
      <c r="G74" s="114">
        <v>-25136.66</v>
      </c>
      <c r="H74" s="114">
        <v>-25202</v>
      </c>
      <c r="I74" s="114">
        <v>0</v>
      </c>
      <c r="J74" s="114">
        <v>-25202</v>
      </c>
      <c r="K74" s="114">
        <v>-25137</v>
      </c>
    </row>
    <row r="75" spans="1:11" x14ac:dyDescent="0.25">
      <c r="A75" s="113" t="s">
        <v>758</v>
      </c>
      <c r="B75" s="113" t="s">
        <v>1036</v>
      </c>
      <c r="C75" s="112" t="s">
        <v>623</v>
      </c>
      <c r="D75" s="114">
        <v>0</v>
      </c>
      <c r="E75" s="114">
        <v>0</v>
      </c>
      <c r="F75" s="114">
        <v>0</v>
      </c>
      <c r="G75" s="114">
        <v>0</v>
      </c>
      <c r="H75" s="114">
        <v>0</v>
      </c>
      <c r="I75" s="114">
        <v>0</v>
      </c>
      <c r="J75" s="114">
        <v>0</v>
      </c>
      <c r="K75" s="114">
        <v>0</v>
      </c>
    </row>
    <row r="76" spans="1:11" x14ac:dyDescent="0.25">
      <c r="A76" s="113" t="s">
        <v>1037</v>
      </c>
      <c r="B76" s="113" t="s">
        <v>1038</v>
      </c>
      <c r="C76" s="112" t="s">
        <v>1039</v>
      </c>
      <c r="D76" s="114">
        <v>0</v>
      </c>
      <c r="E76" s="114">
        <v>0</v>
      </c>
      <c r="F76" s="114">
        <v>0</v>
      </c>
      <c r="G76" s="114">
        <v>0</v>
      </c>
      <c r="H76" s="114">
        <v>0</v>
      </c>
      <c r="I76" s="114">
        <v>0</v>
      </c>
      <c r="J76" s="114">
        <v>0</v>
      </c>
      <c r="K76" s="114">
        <v>0</v>
      </c>
    </row>
    <row r="77" spans="1:11" x14ac:dyDescent="0.25">
      <c r="A77" s="113">
        <v>2</v>
      </c>
      <c r="B77" s="113" t="s">
        <v>1040</v>
      </c>
      <c r="C77" s="112" t="s">
        <v>1041</v>
      </c>
      <c r="D77" s="114">
        <v>0</v>
      </c>
      <c r="E77" s="114">
        <v>0</v>
      </c>
      <c r="F77" s="114">
        <v>0</v>
      </c>
      <c r="G77" s="114">
        <v>0</v>
      </c>
      <c r="H77" s="114">
        <v>0</v>
      </c>
      <c r="I77" s="114">
        <v>0</v>
      </c>
      <c r="J77" s="114">
        <v>0</v>
      </c>
      <c r="K77" s="114">
        <v>0</v>
      </c>
    </row>
    <row r="78" spans="1:11" x14ac:dyDescent="0.25">
      <c r="A78" s="113">
        <v>3</v>
      </c>
      <c r="B78" s="113" t="s">
        <v>1042</v>
      </c>
      <c r="C78" s="112" t="s">
        <v>1043</v>
      </c>
      <c r="D78" s="114">
        <v>0</v>
      </c>
      <c r="E78" s="114">
        <v>0</v>
      </c>
      <c r="F78" s="114">
        <v>0</v>
      </c>
      <c r="G78" s="114">
        <v>0</v>
      </c>
      <c r="H78" s="114">
        <v>0</v>
      </c>
      <c r="I78" s="114">
        <v>0</v>
      </c>
      <c r="J78" s="114">
        <v>0</v>
      </c>
      <c r="K78" s="114">
        <v>0</v>
      </c>
    </row>
    <row r="79" spans="1:11" x14ac:dyDescent="0.25">
      <c r="A79" s="113">
        <v>4</v>
      </c>
      <c r="B79" s="113" t="s">
        <v>1044</v>
      </c>
      <c r="C79" s="112" t="s">
        <v>1045</v>
      </c>
      <c r="D79" s="114">
        <v>0</v>
      </c>
      <c r="E79" s="114">
        <v>0</v>
      </c>
      <c r="F79" s="114">
        <v>0</v>
      </c>
      <c r="G79" s="114">
        <v>0</v>
      </c>
      <c r="H79" s="114">
        <v>0</v>
      </c>
      <c r="I79" s="114">
        <v>0</v>
      </c>
      <c r="J79" s="114">
        <v>0</v>
      </c>
      <c r="K79" s="114">
        <v>0</v>
      </c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68"/>
  <sheetViews>
    <sheetView workbookViewId="0">
      <selection activeCell="B14" sqref="B14"/>
    </sheetView>
  </sheetViews>
  <sheetFormatPr defaultColWidth="9.140625" defaultRowHeight="15" x14ac:dyDescent="0.25"/>
  <cols>
    <col min="1" max="1" width="8.28515625" style="113" bestFit="1" customWidth="1"/>
    <col min="2" max="2" width="79.42578125" style="113" bestFit="1" customWidth="1"/>
    <col min="3" max="3" width="4.42578125" style="112" bestFit="1" customWidth="1"/>
    <col min="4" max="7" width="15.28515625" style="114" bestFit="1" customWidth="1"/>
    <col min="8" max="16384" width="9.140625" style="108"/>
  </cols>
  <sheetData>
    <row r="1" spans="1:7" ht="22.5" x14ac:dyDescent="0.25">
      <c r="A1" s="119" t="s">
        <v>150</v>
      </c>
      <c r="B1" s="119" t="s">
        <v>156</v>
      </c>
      <c r="C1" s="118" t="s">
        <v>171</v>
      </c>
      <c r="D1" s="120" t="s">
        <v>178</v>
      </c>
      <c r="E1" s="120" t="s">
        <v>179</v>
      </c>
      <c r="F1" s="120" t="s">
        <v>157</v>
      </c>
      <c r="G1" s="120" t="s">
        <v>155</v>
      </c>
    </row>
    <row r="2" spans="1:7" ht="23.25" x14ac:dyDescent="0.25">
      <c r="B2" s="233" t="s">
        <v>1046</v>
      </c>
      <c r="C2" s="112" t="s">
        <v>1047</v>
      </c>
      <c r="D2" s="114">
        <v>857648.06</v>
      </c>
      <c r="E2" s="114">
        <v>990905.86</v>
      </c>
      <c r="F2" s="114">
        <v>857648</v>
      </c>
      <c r="G2" s="114">
        <v>990907</v>
      </c>
    </row>
    <row r="3" spans="1:7" x14ac:dyDescent="0.25">
      <c r="A3" s="113" t="s">
        <v>752</v>
      </c>
      <c r="B3" s="113" t="s">
        <v>1048</v>
      </c>
      <c r="C3" s="112" t="s">
        <v>1049</v>
      </c>
      <c r="D3" s="111">
        <v>330564.83</v>
      </c>
      <c r="E3" s="111">
        <v>332836.57</v>
      </c>
      <c r="F3" s="111">
        <v>330565</v>
      </c>
      <c r="G3" s="111">
        <v>332836</v>
      </c>
    </row>
    <row r="4" spans="1:7" x14ac:dyDescent="0.25">
      <c r="A4" s="113" t="s">
        <v>892</v>
      </c>
      <c r="B4" s="113" t="s">
        <v>1050</v>
      </c>
      <c r="C4" s="112" t="s">
        <v>625</v>
      </c>
      <c r="D4" s="114">
        <v>109068</v>
      </c>
      <c r="E4" s="114">
        <v>109068</v>
      </c>
      <c r="F4" s="114">
        <v>109068</v>
      </c>
      <c r="G4" s="114">
        <v>109068</v>
      </c>
    </row>
    <row r="5" spans="1:7" x14ac:dyDescent="0.25">
      <c r="A5" s="113" t="s">
        <v>1051</v>
      </c>
      <c r="B5" s="113" t="s">
        <v>1052</v>
      </c>
      <c r="C5" s="112" t="s">
        <v>626</v>
      </c>
      <c r="D5" s="114">
        <v>109068</v>
      </c>
      <c r="E5" s="114">
        <v>109068</v>
      </c>
      <c r="F5" s="114">
        <v>109068</v>
      </c>
      <c r="G5" s="114">
        <v>109068</v>
      </c>
    </row>
    <row r="6" spans="1:7" x14ac:dyDescent="0.25">
      <c r="A6" s="113">
        <v>2</v>
      </c>
      <c r="B6" s="113" t="s">
        <v>1053</v>
      </c>
      <c r="C6" s="112" t="s">
        <v>1054</v>
      </c>
      <c r="D6" s="114">
        <v>0</v>
      </c>
      <c r="E6" s="114">
        <v>0</v>
      </c>
      <c r="F6" s="114">
        <v>0</v>
      </c>
      <c r="G6" s="114">
        <v>0</v>
      </c>
    </row>
    <row r="7" spans="1:7" x14ac:dyDescent="0.25">
      <c r="A7" s="113">
        <v>3</v>
      </c>
      <c r="B7" s="113" t="s">
        <v>1055</v>
      </c>
      <c r="C7" s="112" t="s">
        <v>1056</v>
      </c>
      <c r="D7" s="114">
        <v>0</v>
      </c>
      <c r="E7" s="114">
        <v>0</v>
      </c>
      <c r="F7" s="114">
        <v>0</v>
      </c>
      <c r="G7" s="114">
        <v>0</v>
      </c>
    </row>
    <row r="8" spans="1:7" x14ac:dyDescent="0.25">
      <c r="A8" s="113" t="s">
        <v>910</v>
      </c>
      <c r="B8" s="113" t="s">
        <v>1057</v>
      </c>
      <c r="C8" s="112" t="s">
        <v>1058</v>
      </c>
      <c r="D8" s="114">
        <v>0</v>
      </c>
      <c r="E8" s="114">
        <v>0</v>
      </c>
      <c r="F8" s="114">
        <v>0</v>
      </c>
      <c r="G8" s="114">
        <v>0</v>
      </c>
    </row>
    <row r="9" spans="1:7" x14ac:dyDescent="0.25">
      <c r="A9" s="113" t="s">
        <v>1059</v>
      </c>
      <c r="B9" s="113" t="s">
        <v>1060</v>
      </c>
      <c r="C9" s="112" t="s">
        <v>628</v>
      </c>
      <c r="D9" s="114">
        <v>0</v>
      </c>
      <c r="E9" s="114">
        <v>0</v>
      </c>
      <c r="F9" s="114">
        <v>0</v>
      </c>
      <c r="G9" s="114">
        <v>0</v>
      </c>
    </row>
    <row r="10" spans="1:7" x14ac:dyDescent="0.25">
      <c r="A10" s="113" t="s">
        <v>1061</v>
      </c>
      <c r="B10" s="113" t="s">
        <v>1062</v>
      </c>
      <c r="C10" s="112" t="s">
        <v>1063</v>
      </c>
      <c r="D10" s="114">
        <v>10906.8</v>
      </c>
      <c r="E10" s="114">
        <v>10906.8</v>
      </c>
      <c r="F10" s="114">
        <v>10907</v>
      </c>
      <c r="G10" s="114">
        <v>10907</v>
      </c>
    </row>
    <row r="11" spans="1:7" x14ac:dyDescent="0.25">
      <c r="A11" s="113" t="s">
        <v>1064</v>
      </c>
      <c r="B11" s="113" t="s">
        <v>1065</v>
      </c>
      <c r="C11" s="112" t="s">
        <v>1066</v>
      </c>
      <c r="D11" s="114">
        <v>10906.8</v>
      </c>
      <c r="E11" s="114">
        <v>10906.8</v>
      </c>
      <c r="F11" s="114">
        <v>10907</v>
      </c>
      <c r="G11" s="114">
        <v>10907</v>
      </c>
    </row>
    <row r="12" spans="1:7" x14ac:dyDescent="0.25">
      <c r="A12" s="113">
        <v>2</v>
      </c>
      <c r="B12" s="113" t="s">
        <v>1067</v>
      </c>
      <c r="C12" s="112" t="s">
        <v>629</v>
      </c>
      <c r="D12" s="114">
        <v>0</v>
      </c>
      <c r="E12" s="114">
        <v>0</v>
      </c>
      <c r="F12" s="114">
        <v>0</v>
      </c>
      <c r="G12" s="114">
        <v>0</v>
      </c>
    </row>
    <row r="13" spans="1:7" x14ac:dyDescent="0.25">
      <c r="A13" s="113" t="s">
        <v>1068</v>
      </c>
      <c r="B13" s="113" t="s">
        <v>1069</v>
      </c>
      <c r="C13" s="112" t="s">
        <v>1070</v>
      </c>
      <c r="D13" s="114">
        <v>0</v>
      </c>
      <c r="E13" s="114">
        <v>0</v>
      </c>
      <c r="F13" s="114">
        <v>0</v>
      </c>
      <c r="G13" s="114">
        <v>0</v>
      </c>
    </row>
    <row r="14" spans="1:7" x14ac:dyDescent="0.25">
      <c r="A14" s="113" t="s">
        <v>1071</v>
      </c>
      <c r="B14" s="113" t="s">
        <v>1072</v>
      </c>
      <c r="C14" s="112" t="s">
        <v>1073</v>
      </c>
      <c r="D14" s="114">
        <v>0</v>
      </c>
      <c r="E14" s="114">
        <v>0</v>
      </c>
      <c r="F14" s="114">
        <v>0</v>
      </c>
      <c r="G14" s="114">
        <v>0</v>
      </c>
    </row>
    <row r="15" spans="1:7" x14ac:dyDescent="0.25">
      <c r="A15" s="113">
        <v>2</v>
      </c>
      <c r="B15" s="113" t="s">
        <v>1074</v>
      </c>
      <c r="C15" s="112" t="s">
        <v>1075</v>
      </c>
      <c r="D15" s="114">
        <v>0</v>
      </c>
      <c r="E15" s="114">
        <v>0</v>
      </c>
      <c r="F15" s="114">
        <v>0</v>
      </c>
      <c r="G15" s="114">
        <v>0</v>
      </c>
    </row>
    <row r="16" spans="1:7" x14ac:dyDescent="0.25">
      <c r="A16" s="113" t="s">
        <v>1076</v>
      </c>
      <c r="B16" s="113" t="s">
        <v>1077</v>
      </c>
      <c r="C16" s="112" t="s">
        <v>1078</v>
      </c>
      <c r="D16" s="114">
        <v>0</v>
      </c>
      <c r="E16" s="114">
        <v>0</v>
      </c>
      <c r="F16" s="114">
        <v>0</v>
      </c>
      <c r="G16" s="114">
        <v>0</v>
      </c>
    </row>
    <row r="17" spans="1:7" x14ac:dyDescent="0.25">
      <c r="A17" s="113" t="s">
        <v>1079</v>
      </c>
      <c r="B17" s="113" t="s">
        <v>1080</v>
      </c>
      <c r="C17" s="112" t="s">
        <v>1081</v>
      </c>
      <c r="D17" s="114">
        <v>0</v>
      </c>
      <c r="E17" s="114">
        <v>0</v>
      </c>
      <c r="F17" s="114">
        <v>0</v>
      </c>
      <c r="G17" s="114">
        <v>0</v>
      </c>
    </row>
    <row r="18" spans="1:7" x14ac:dyDescent="0.25">
      <c r="A18" s="113">
        <v>2</v>
      </c>
      <c r="B18" s="113" t="s">
        <v>1082</v>
      </c>
      <c r="C18" s="112" t="s">
        <v>1083</v>
      </c>
      <c r="D18" s="114">
        <v>0</v>
      </c>
      <c r="E18" s="114">
        <v>0</v>
      </c>
      <c r="F18" s="114">
        <v>0</v>
      </c>
      <c r="G18" s="114">
        <v>0</v>
      </c>
    </row>
    <row r="19" spans="1:7" x14ac:dyDescent="0.25">
      <c r="A19" s="113">
        <v>3</v>
      </c>
      <c r="B19" s="113" t="s">
        <v>1084</v>
      </c>
      <c r="C19" s="112" t="s">
        <v>1085</v>
      </c>
      <c r="D19" s="114">
        <v>0</v>
      </c>
      <c r="E19" s="114">
        <v>0</v>
      </c>
      <c r="F19" s="114">
        <v>0</v>
      </c>
      <c r="G19" s="114">
        <v>0</v>
      </c>
    </row>
    <row r="20" spans="1:7" x14ac:dyDescent="0.25">
      <c r="A20" s="113" t="s">
        <v>1086</v>
      </c>
      <c r="B20" s="113" t="s">
        <v>1087</v>
      </c>
      <c r="C20" s="112" t="s">
        <v>1088</v>
      </c>
      <c r="D20" s="114">
        <v>212861.77</v>
      </c>
      <c r="E20" s="114">
        <v>181556.33</v>
      </c>
      <c r="F20" s="114">
        <v>212862</v>
      </c>
      <c r="G20" s="114">
        <v>181556</v>
      </c>
    </row>
    <row r="21" spans="1:7" x14ac:dyDescent="0.25">
      <c r="A21" s="113" t="s">
        <v>1089</v>
      </c>
      <c r="B21" s="113" t="s">
        <v>1090</v>
      </c>
      <c r="C21" s="112" t="s">
        <v>1091</v>
      </c>
      <c r="D21" s="114">
        <v>212861.77</v>
      </c>
      <c r="E21" s="114">
        <v>181556.33</v>
      </c>
      <c r="F21" s="114">
        <v>212862</v>
      </c>
      <c r="G21" s="114">
        <v>181556</v>
      </c>
    </row>
    <row r="22" spans="1:7" x14ac:dyDescent="0.25">
      <c r="A22" s="113">
        <v>2</v>
      </c>
      <c r="B22" s="113" t="s">
        <v>1092</v>
      </c>
      <c r="C22" s="112" t="s">
        <v>1093</v>
      </c>
      <c r="D22" s="114">
        <v>0</v>
      </c>
      <c r="E22" s="114">
        <v>0</v>
      </c>
      <c r="F22" s="114">
        <v>0</v>
      </c>
      <c r="G22" s="114">
        <v>0</v>
      </c>
    </row>
    <row r="23" spans="1:7" x14ac:dyDescent="0.25">
      <c r="A23" s="113" t="s">
        <v>1094</v>
      </c>
      <c r="B23" s="113" t="s">
        <v>1095</v>
      </c>
      <c r="C23" s="112" t="s">
        <v>1096</v>
      </c>
      <c r="D23" s="114">
        <v>-2271.7399999999998</v>
      </c>
      <c r="E23" s="114">
        <v>31305.439999999999</v>
      </c>
      <c r="F23" s="114">
        <v>-2272</v>
      </c>
      <c r="G23" s="114">
        <v>31305</v>
      </c>
    </row>
    <row r="24" spans="1:7" x14ac:dyDescent="0.25">
      <c r="A24" s="113" t="s">
        <v>755</v>
      </c>
      <c r="B24" s="113" t="s">
        <v>1097</v>
      </c>
      <c r="C24" s="112" t="s">
        <v>1098</v>
      </c>
      <c r="D24" s="114">
        <v>527083.23</v>
      </c>
      <c r="E24" s="114">
        <v>658069.29</v>
      </c>
      <c r="F24" s="114">
        <v>527083</v>
      </c>
      <c r="G24" s="114">
        <v>658071</v>
      </c>
    </row>
    <row r="25" spans="1:7" x14ac:dyDescent="0.25">
      <c r="A25" s="113" t="s">
        <v>953</v>
      </c>
      <c r="B25" s="113" t="s">
        <v>1099</v>
      </c>
      <c r="C25" s="112" t="s">
        <v>1100</v>
      </c>
      <c r="D25" s="114">
        <v>12841.1</v>
      </c>
      <c r="E25" s="114">
        <v>31038.87</v>
      </c>
      <c r="F25" s="114">
        <v>12841</v>
      </c>
      <c r="G25" s="114">
        <v>31039</v>
      </c>
    </row>
    <row r="26" spans="1:7" x14ac:dyDescent="0.25">
      <c r="A26" s="113" t="s">
        <v>956</v>
      </c>
      <c r="B26" s="113" t="s">
        <v>1101</v>
      </c>
      <c r="C26" s="112" t="s">
        <v>1102</v>
      </c>
      <c r="D26" s="114">
        <v>0</v>
      </c>
      <c r="E26" s="114">
        <v>0</v>
      </c>
      <c r="F26" s="114">
        <v>0</v>
      </c>
      <c r="G26" s="114">
        <v>0</v>
      </c>
    </row>
    <row r="27" spans="1:7" x14ac:dyDescent="0.25">
      <c r="A27" s="113" t="s">
        <v>974</v>
      </c>
      <c r="B27" s="113" t="s">
        <v>1103</v>
      </c>
      <c r="C27" s="112" t="s">
        <v>1104</v>
      </c>
      <c r="D27" s="114">
        <v>0</v>
      </c>
      <c r="E27" s="114">
        <v>0</v>
      </c>
      <c r="F27" s="114">
        <v>0</v>
      </c>
      <c r="G27" s="114">
        <v>0</v>
      </c>
    </row>
    <row r="28" spans="1:7" x14ac:dyDescent="0.25">
      <c r="A28" s="113" t="s">
        <v>976</v>
      </c>
      <c r="B28" s="113" t="s">
        <v>1105</v>
      </c>
      <c r="C28" s="112" t="s">
        <v>1106</v>
      </c>
      <c r="D28" s="114">
        <v>0</v>
      </c>
      <c r="E28" s="114">
        <v>0</v>
      </c>
      <c r="F28" s="114">
        <v>0</v>
      </c>
      <c r="G28" s="114">
        <v>0</v>
      </c>
    </row>
    <row r="29" spans="1:7" x14ac:dyDescent="0.25">
      <c r="A29" s="113" t="s">
        <v>979</v>
      </c>
      <c r="B29" s="113" t="s">
        <v>1107</v>
      </c>
      <c r="C29" s="112" t="s">
        <v>1108</v>
      </c>
      <c r="D29" s="114">
        <v>0</v>
      </c>
      <c r="E29" s="114">
        <v>0</v>
      </c>
      <c r="F29" s="114">
        <v>0</v>
      </c>
      <c r="G29" s="114">
        <v>0</v>
      </c>
    </row>
    <row r="30" spans="1:7" x14ac:dyDescent="0.25">
      <c r="A30" s="113">
        <v>2</v>
      </c>
      <c r="B30" s="113" t="s">
        <v>982</v>
      </c>
      <c r="C30" s="112" t="s">
        <v>1109</v>
      </c>
      <c r="D30" s="114">
        <v>0</v>
      </c>
      <c r="E30" s="114">
        <v>0</v>
      </c>
      <c r="F30" s="114">
        <v>0</v>
      </c>
      <c r="G30" s="114">
        <v>0</v>
      </c>
    </row>
    <row r="31" spans="1:7" x14ac:dyDescent="0.25">
      <c r="A31" s="113">
        <v>3</v>
      </c>
      <c r="B31" s="113" t="s">
        <v>1110</v>
      </c>
      <c r="C31" s="112" t="s">
        <v>1111</v>
      </c>
      <c r="D31" s="114">
        <v>0</v>
      </c>
      <c r="E31" s="114">
        <v>0</v>
      </c>
      <c r="F31" s="114">
        <v>0</v>
      </c>
      <c r="G31" s="114">
        <v>0</v>
      </c>
    </row>
    <row r="32" spans="1:7" x14ac:dyDescent="0.25">
      <c r="A32" s="113">
        <v>4</v>
      </c>
      <c r="B32" s="113" t="s">
        <v>1112</v>
      </c>
      <c r="C32" s="112" t="s">
        <v>1113</v>
      </c>
      <c r="D32" s="114">
        <v>0</v>
      </c>
      <c r="E32" s="114">
        <v>0</v>
      </c>
      <c r="F32" s="114">
        <v>0</v>
      </c>
      <c r="G32" s="114">
        <v>0</v>
      </c>
    </row>
    <row r="33" spans="1:7" x14ac:dyDescent="0.25">
      <c r="A33" s="113">
        <v>5</v>
      </c>
      <c r="B33" s="113" t="s">
        <v>1114</v>
      </c>
      <c r="C33" s="112" t="s">
        <v>1115</v>
      </c>
      <c r="D33" s="114">
        <v>11199.74</v>
      </c>
      <c r="E33" s="114">
        <v>28525.81</v>
      </c>
      <c r="F33" s="114">
        <v>11200</v>
      </c>
      <c r="G33" s="114">
        <v>28526</v>
      </c>
    </row>
    <row r="34" spans="1:7" x14ac:dyDescent="0.25">
      <c r="A34" s="113">
        <v>6</v>
      </c>
      <c r="B34" s="113" t="s">
        <v>1116</v>
      </c>
      <c r="C34" s="112" t="s">
        <v>631</v>
      </c>
      <c r="D34" s="114">
        <v>0</v>
      </c>
      <c r="E34" s="114">
        <v>0</v>
      </c>
      <c r="F34" s="114">
        <v>0</v>
      </c>
      <c r="G34" s="114">
        <v>0</v>
      </c>
    </row>
    <row r="35" spans="1:7" x14ac:dyDescent="0.25">
      <c r="A35" s="113">
        <v>7</v>
      </c>
      <c r="B35" s="113" t="s">
        <v>1117</v>
      </c>
      <c r="C35" s="112" t="s">
        <v>632</v>
      </c>
      <c r="D35" s="114">
        <v>0</v>
      </c>
      <c r="E35" s="114">
        <v>0</v>
      </c>
      <c r="F35" s="114">
        <v>0</v>
      </c>
      <c r="G35" s="114">
        <v>0</v>
      </c>
    </row>
    <row r="36" spans="1:7" x14ac:dyDescent="0.25">
      <c r="A36" s="113">
        <v>8</v>
      </c>
      <c r="B36" s="113" t="s">
        <v>1118</v>
      </c>
      <c r="C36" s="112" t="s">
        <v>1119</v>
      </c>
      <c r="D36" s="114">
        <v>0</v>
      </c>
      <c r="E36" s="114">
        <v>0</v>
      </c>
      <c r="F36" s="114">
        <v>0</v>
      </c>
      <c r="G36" s="114">
        <v>0</v>
      </c>
    </row>
    <row r="37" spans="1:7" x14ac:dyDescent="0.25">
      <c r="A37" s="113">
        <v>9</v>
      </c>
      <c r="B37" s="113" t="s">
        <v>1120</v>
      </c>
      <c r="C37" s="112" t="s">
        <v>1121</v>
      </c>
      <c r="D37" s="114">
        <v>1641.36</v>
      </c>
      <c r="E37" s="114">
        <v>2513.06</v>
      </c>
      <c r="F37" s="114">
        <v>1641</v>
      </c>
      <c r="G37" s="114">
        <v>2513</v>
      </c>
    </row>
    <row r="38" spans="1:7" x14ac:dyDescent="0.25">
      <c r="A38" s="113">
        <v>10</v>
      </c>
      <c r="B38" s="113" t="s">
        <v>1122</v>
      </c>
      <c r="C38" s="112" t="s">
        <v>1123</v>
      </c>
      <c r="D38" s="114">
        <v>0</v>
      </c>
      <c r="E38" s="114">
        <v>0</v>
      </c>
      <c r="F38" s="114">
        <v>0</v>
      </c>
      <c r="G38" s="114">
        <v>0</v>
      </c>
    </row>
    <row r="39" spans="1:7" x14ac:dyDescent="0.25">
      <c r="A39" s="113">
        <v>11</v>
      </c>
      <c r="B39" s="113" t="s">
        <v>1124</v>
      </c>
      <c r="C39" s="112" t="s">
        <v>1125</v>
      </c>
      <c r="D39" s="114">
        <v>0</v>
      </c>
      <c r="E39" s="114">
        <v>0</v>
      </c>
      <c r="F39" s="114">
        <v>0</v>
      </c>
      <c r="G39" s="114">
        <v>0</v>
      </c>
    </row>
    <row r="40" spans="1:7" x14ac:dyDescent="0.25">
      <c r="A40" s="113">
        <v>12</v>
      </c>
      <c r="B40" s="113" t="s">
        <v>1126</v>
      </c>
      <c r="C40" s="112" t="s">
        <v>1127</v>
      </c>
      <c r="D40" s="114">
        <v>0</v>
      </c>
      <c r="E40" s="114">
        <v>0</v>
      </c>
      <c r="F40" s="114">
        <v>0</v>
      </c>
      <c r="G40" s="114">
        <v>0</v>
      </c>
    </row>
    <row r="41" spans="1:7" x14ac:dyDescent="0.25">
      <c r="A41" s="113" t="s">
        <v>1128</v>
      </c>
      <c r="B41" s="113" t="s">
        <v>1129</v>
      </c>
      <c r="C41" s="112" t="s">
        <v>1130</v>
      </c>
      <c r="D41" s="114">
        <v>0</v>
      </c>
      <c r="E41" s="114">
        <v>0</v>
      </c>
      <c r="F41" s="114">
        <v>0</v>
      </c>
      <c r="G41" s="114">
        <v>0</v>
      </c>
    </row>
    <row r="42" spans="1:7" x14ac:dyDescent="0.25">
      <c r="A42" s="113" t="s">
        <v>1131</v>
      </c>
      <c r="B42" s="113" t="s">
        <v>1132</v>
      </c>
      <c r="C42" s="112" t="s">
        <v>1133</v>
      </c>
      <c r="D42" s="114">
        <v>0</v>
      </c>
      <c r="E42" s="114">
        <v>0</v>
      </c>
      <c r="F42" s="114">
        <v>0</v>
      </c>
      <c r="G42" s="114">
        <v>0</v>
      </c>
    </row>
    <row r="43" spans="1:7" x14ac:dyDescent="0.25">
      <c r="A43" s="113">
        <v>2</v>
      </c>
      <c r="B43" s="113" t="s">
        <v>1134</v>
      </c>
      <c r="C43" s="112" t="s">
        <v>1135</v>
      </c>
      <c r="D43" s="114">
        <v>0</v>
      </c>
      <c r="E43" s="114">
        <v>0</v>
      </c>
      <c r="F43" s="114">
        <v>0</v>
      </c>
      <c r="G43" s="114">
        <v>0</v>
      </c>
    </row>
    <row r="44" spans="1:7" x14ac:dyDescent="0.25">
      <c r="A44" s="113" t="s">
        <v>1136</v>
      </c>
      <c r="B44" s="113" t="s">
        <v>1137</v>
      </c>
      <c r="C44" s="112" t="s">
        <v>1138</v>
      </c>
      <c r="D44" s="114">
        <v>0</v>
      </c>
      <c r="E44" s="114">
        <v>0</v>
      </c>
      <c r="F44" s="114">
        <v>0</v>
      </c>
      <c r="G44" s="114">
        <v>0</v>
      </c>
    </row>
    <row r="45" spans="1:7" x14ac:dyDescent="0.25">
      <c r="A45" s="113" t="s">
        <v>1139</v>
      </c>
      <c r="B45" s="113" t="s">
        <v>1140</v>
      </c>
      <c r="C45" s="112" t="s">
        <v>1141</v>
      </c>
      <c r="D45" s="114">
        <v>289513.52</v>
      </c>
      <c r="E45" s="114">
        <v>364502.42</v>
      </c>
      <c r="F45" s="114">
        <v>289513</v>
      </c>
      <c r="G45" s="114">
        <v>364504</v>
      </c>
    </row>
    <row r="46" spans="1:7" x14ac:dyDescent="0.25">
      <c r="A46" s="113" t="s">
        <v>1142</v>
      </c>
      <c r="B46" s="113" t="s">
        <v>1143</v>
      </c>
      <c r="C46" s="112" t="s">
        <v>634</v>
      </c>
      <c r="D46" s="114">
        <v>159146.81</v>
      </c>
      <c r="E46" s="114">
        <v>191944.56</v>
      </c>
      <c r="F46" s="114">
        <v>159147</v>
      </c>
      <c r="G46" s="114">
        <v>191947</v>
      </c>
    </row>
    <row r="47" spans="1:7" x14ac:dyDescent="0.25">
      <c r="A47" s="113" t="s">
        <v>974</v>
      </c>
      <c r="B47" s="113" t="s">
        <v>1144</v>
      </c>
      <c r="C47" s="112" t="s">
        <v>635</v>
      </c>
      <c r="D47" s="114">
        <v>0</v>
      </c>
      <c r="E47" s="114">
        <v>0</v>
      </c>
      <c r="F47" s="114">
        <v>0</v>
      </c>
      <c r="G47" s="114">
        <v>0</v>
      </c>
    </row>
    <row r="48" spans="1:7" x14ac:dyDescent="0.25">
      <c r="A48" s="113" t="s">
        <v>976</v>
      </c>
      <c r="B48" s="113" t="s">
        <v>1145</v>
      </c>
      <c r="C48" s="112" t="s">
        <v>1146</v>
      </c>
      <c r="D48" s="114">
        <v>0</v>
      </c>
      <c r="E48" s="114">
        <v>0</v>
      </c>
      <c r="F48" s="114">
        <v>0</v>
      </c>
      <c r="G48" s="114">
        <v>0</v>
      </c>
    </row>
    <row r="49" spans="1:7" x14ac:dyDescent="0.25">
      <c r="A49" s="113" t="s">
        <v>979</v>
      </c>
      <c r="B49" s="113" t="s">
        <v>1147</v>
      </c>
      <c r="C49" s="112" t="s">
        <v>1148</v>
      </c>
      <c r="D49" s="114">
        <v>159146.81</v>
      </c>
      <c r="E49" s="114">
        <v>191944.56</v>
      </c>
      <c r="F49" s="114">
        <v>159147</v>
      </c>
      <c r="G49" s="114">
        <v>191947</v>
      </c>
    </row>
    <row r="50" spans="1:7" x14ac:dyDescent="0.25">
      <c r="A50" s="113">
        <v>2</v>
      </c>
      <c r="B50" s="113" t="s">
        <v>982</v>
      </c>
      <c r="C50" s="112" t="s">
        <v>1149</v>
      </c>
      <c r="D50" s="114">
        <v>0</v>
      </c>
      <c r="E50" s="114">
        <v>0</v>
      </c>
      <c r="F50" s="114">
        <v>0</v>
      </c>
      <c r="G50" s="114">
        <v>0</v>
      </c>
    </row>
    <row r="51" spans="1:7" x14ac:dyDescent="0.25">
      <c r="A51" s="113">
        <v>3</v>
      </c>
      <c r="B51" s="113" t="s">
        <v>1150</v>
      </c>
      <c r="C51" s="112" t="s">
        <v>1151</v>
      </c>
      <c r="D51" s="114">
        <v>0</v>
      </c>
      <c r="E51" s="114">
        <v>0</v>
      </c>
      <c r="F51" s="114">
        <v>0</v>
      </c>
      <c r="G51" s="114">
        <v>0</v>
      </c>
    </row>
    <row r="52" spans="1:7" x14ac:dyDescent="0.25">
      <c r="A52" s="113">
        <v>4</v>
      </c>
      <c r="B52" s="113" t="s">
        <v>1152</v>
      </c>
      <c r="C52" s="112" t="s">
        <v>1153</v>
      </c>
      <c r="D52" s="114">
        <v>0</v>
      </c>
      <c r="E52" s="114">
        <v>0</v>
      </c>
      <c r="F52" s="114">
        <v>0</v>
      </c>
      <c r="G52" s="114">
        <v>0</v>
      </c>
    </row>
    <row r="53" spans="1:7" x14ac:dyDescent="0.25">
      <c r="A53" s="113">
        <v>5</v>
      </c>
      <c r="B53" s="113" t="s">
        <v>1154</v>
      </c>
      <c r="C53" s="112" t="s">
        <v>1155</v>
      </c>
      <c r="D53" s="114">
        <v>102100.27</v>
      </c>
      <c r="E53" s="114">
        <v>150874.26999999999</v>
      </c>
      <c r="F53" s="114">
        <v>102100</v>
      </c>
      <c r="G53" s="114">
        <v>150874</v>
      </c>
    </row>
    <row r="54" spans="1:7" x14ac:dyDescent="0.25">
      <c r="A54" s="113">
        <v>6</v>
      </c>
      <c r="B54" s="113" t="s">
        <v>1156</v>
      </c>
      <c r="C54" s="112" t="s">
        <v>636</v>
      </c>
      <c r="D54" s="114">
        <v>8371.84</v>
      </c>
      <c r="E54" s="114">
        <v>7977.28</v>
      </c>
      <c r="F54" s="114">
        <v>8372</v>
      </c>
      <c r="G54" s="114">
        <v>7977</v>
      </c>
    </row>
    <row r="55" spans="1:7" x14ac:dyDescent="0.25">
      <c r="A55" s="113">
        <v>7</v>
      </c>
      <c r="B55" s="113" t="s">
        <v>1157</v>
      </c>
      <c r="C55" s="112" t="s">
        <v>637</v>
      </c>
      <c r="D55" s="114">
        <v>4866.21</v>
      </c>
      <c r="E55" s="114">
        <v>5313.11</v>
      </c>
      <c r="F55" s="114">
        <v>4866</v>
      </c>
      <c r="G55" s="114">
        <v>5313</v>
      </c>
    </row>
    <row r="56" spans="1:7" x14ac:dyDescent="0.25">
      <c r="A56" s="113">
        <v>8</v>
      </c>
      <c r="B56" s="113" t="s">
        <v>1158</v>
      </c>
      <c r="C56" s="112" t="s">
        <v>1159</v>
      </c>
      <c r="D56" s="114">
        <v>14475.39</v>
      </c>
      <c r="E56" s="114">
        <v>8393.2000000000007</v>
      </c>
      <c r="F56" s="114">
        <v>14475</v>
      </c>
      <c r="G56" s="114">
        <v>8393</v>
      </c>
    </row>
    <row r="57" spans="1:7" x14ac:dyDescent="0.25">
      <c r="A57" s="113">
        <v>9</v>
      </c>
      <c r="B57" s="113" t="s">
        <v>1160</v>
      </c>
      <c r="C57" s="112" t="s">
        <v>1161</v>
      </c>
      <c r="D57" s="114">
        <v>0</v>
      </c>
      <c r="E57" s="114">
        <v>0</v>
      </c>
      <c r="F57" s="114">
        <v>0</v>
      </c>
      <c r="G57" s="114">
        <v>0</v>
      </c>
    </row>
    <row r="58" spans="1:7" x14ac:dyDescent="0.25">
      <c r="A58" s="113">
        <v>10</v>
      </c>
      <c r="B58" s="113" t="s">
        <v>1162</v>
      </c>
      <c r="C58" s="112" t="s">
        <v>1163</v>
      </c>
      <c r="D58" s="114">
        <v>553</v>
      </c>
      <c r="E58" s="114">
        <v>0</v>
      </c>
      <c r="F58" s="114">
        <v>553</v>
      </c>
      <c r="G58" s="114">
        <v>0</v>
      </c>
    </row>
    <row r="59" spans="1:7" x14ac:dyDescent="0.25">
      <c r="A59" s="113" t="s">
        <v>1029</v>
      </c>
      <c r="B59" s="113" t="s">
        <v>1164</v>
      </c>
      <c r="C59" s="112" t="s">
        <v>1165</v>
      </c>
      <c r="D59" s="114">
        <v>2953.61</v>
      </c>
      <c r="E59" s="114">
        <v>2173</v>
      </c>
      <c r="F59" s="114">
        <v>2954</v>
      </c>
      <c r="G59" s="114">
        <v>2173</v>
      </c>
    </row>
    <row r="60" spans="1:7" x14ac:dyDescent="0.25">
      <c r="A60" s="113" t="s">
        <v>1032</v>
      </c>
      <c r="B60" s="113" t="s">
        <v>1166</v>
      </c>
      <c r="C60" s="112" t="s">
        <v>1167</v>
      </c>
      <c r="D60" s="114">
        <v>2953.61</v>
      </c>
      <c r="E60" s="114">
        <v>2173</v>
      </c>
      <c r="F60" s="114">
        <v>2954</v>
      </c>
      <c r="G60" s="114">
        <v>2173</v>
      </c>
    </row>
    <row r="61" spans="1:7" x14ac:dyDescent="0.25">
      <c r="A61" s="113">
        <v>2</v>
      </c>
      <c r="B61" s="113" t="s">
        <v>1168</v>
      </c>
      <c r="C61" s="112" t="s">
        <v>1169</v>
      </c>
      <c r="D61" s="114">
        <v>0</v>
      </c>
      <c r="E61" s="114">
        <v>0</v>
      </c>
      <c r="F61" s="114">
        <v>0</v>
      </c>
      <c r="G61" s="114">
        <v>0</v>
      </c>
    </row>
    <row r="62" spans="1:7" x14ac:dyDescent="0.25">
      <c r="A62" s="113" t="s">
        <v>1170</v>
      </c>
      <c r="B62" s="113" t="s">
        <v>1171</v>
      </c>
      <c r="C62" s="112" t="s">
        <v>1172</v>
      </c>
      <c r="D62" s="114">
        <v>221775</v>
      </c>
      <c r="E62" s="114">
        <v>260355</v>
      </c>
      <c r="F62" s="114">
        <v>221775</v>
      </c>
      <c r="G62" s="114">
        <v>260355</v>
      </c>
    </row>
    <row r="63" spans="1:7" x14ac:dyDescent="0.25">
      <c r="A63" s="113" t="s">
        <v>1173</v>
      </c>
      <c r="B63" s="113" t="s">
        <v>1174</v>
      </c>
      <c r="C63" s="112" t="s">
        <v>1175</v>
      </c>
      <c r="D63" s="114">
        <v>0</v>
      </c>
      <c r="E63" s="114">
        <v>0</v>
      </c>
      <c r="F63" s="114">
        <v>0</v>
      </c>
      <c r="G63" s="114">
        <v>0</v>
      </c>
    </row>
    <row r="64" spans="1:7" x14ac:dyDescent="0.25">
      <c r="A64" s="113" t="s">
        <v>758</v>
      </c>
      <c r="B64" s="113" t="s">
        <v>1176</v>
      </c>
      <c r="C64" s="112" t="s">
        <v>1177</v>
      </c>
      <c r="D64" s="114">
        <v>0</v>
      </c>
      <c r="E64" s="114">
        <v>0</v>
      </c>
      <c r="F64" s="114">
        <v>0</v>
      </c>
      <c r="G64" s="114">
        <v>0</v>
      </c>
    </row>
    <row r="65" spans="1:7" x14ac:dyDescent="0.25">
      <c r="A65" s="113" t="s">
        <v>1037</v>
      </c>
      <c r="B65" s="113" t="s">
        <v>1178</v>
      </c>
      <c r="C65" s="112" t="s">
        <v>1179</v>
      </c>
      <c r="D65" s="114">
        <v>0</v>
      </c>
      <c r="E65" s="114">
        <v>0</v>
      </c>
      <c r="F65" s="114">
        <v>0</v>
      </c>
      <c r="G65" s="114">
        <v>0</v>
      </c>
    </row>
    <row r="66" spans="1:7" x14ac:dyDescent="0.25">
      <c r="A66" s="113">
        <v>2</v>
      </c>
      <c r="B66" s="113" t="s">
        <v>1180</v>
      </c>
      <c r="C66" s="112" t="s">
        <v>1181</v>
      </c>
      <c r="D66" s="114">
        <v>0</v>
      </c>
      <c r="E66" s="114">
        <v>0</v>
      </c>
      <c r="F66" s="114">
        <v>0</v>
      </c>
      <c r="G66" s="114">
        <v>0</v>
      </c>
    </row>
    <row r="67" spans="1:7" x14ac:dyDescent="0.25">
      <c r="A67" s="113">
        <v>3</v>
      </c>
      <c r="B67" s="113" t="s">
        <v>1182</v>
      </c>
      <c r="C67" s="112" t="s">
        <v>1183</v>
      </c>
      <c r="D67" s="114">
        <v>0</v>
      </c>
      <c r="E67" s="114">
        <v>0</v>
      </c>
      <c r="F67" s="114">
        <v>0</v>
      </c>
      <c r="G67" s="114">
        <v>0</v>
      </c>
    </row>
    <row r="68" spans="1:7" x14ac:dyDescent="0.25">
      <c r="A68" s="113">
        <v>4</v>
      </c>
      <c r="B68" s="113" t="s">
        <v>1184</v>
      </c>
      <c r="C68" s="112" t="s">
        <v>1185</v>
      </c>
      <c r="D68" s="114">
        <v>0</v>
      </c>
      <c r="E68" s="114">
        <v>0</v>
      </c>
      <c r="F68" s="114">
        <v>0</v>
      </c>
      <c r="G68" s="114">
        <v>0</v>
      </c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B18"/>
  <sheetViews>
    <sheetView workbookViewId="0">
      <selection activeCell="A2" sqref="A2"/>
    </sheetView>
  </sheetViews>
  <sheetFormatPr defaultRowHeight="15" x14ac:dyDescent="0.25"/>
  <cols>
    <col min="1" max="1" width="63.140625" style="14" customWidth="1"/>
    <col min="2" max="2" width="24.85546875" style="14" customWidth="1"/>
  </cols>
  <sheetData>
    <row r="1" spans="1:2" x14ac:dyDescent="0.25">
      <c r="A1" s="121" t="s">
        <v>180</v>
      </c>
      <c r="B1" s="121" t="s">
        <v>41</v>
      </c>
    </row>
    <row r="2" spans="1:2" x14ac:dyDescent="0.25">
      <c r="A2" s="14" t="s">
        <v>1186</v>
      </c>
      <c r="B2" s="14" t="s">
        <v>1187</v>
      </c>
    </row>
    <row r="3" spans="1:2" x14ac:dyDescent="0.25">
      <c r="A3" s="14" t="s">
        <v>1188</v>
      </c>
      <c r="B3" s="14" t="s">
        <v>1189</v>
      </c>
    </row>
    <row r="4" spans="1:2" x14ac:dyDescent="0.25">
      <c r="A4" s="14" t="s">
        <v>1190</v>
      </c>
      <c r="B4" s="14" t="s">
        <v>1191</v>
      </c>
    </row>
    <row r="5" spans="1:2" x14ac:dyDescent="0.25">
      <c r="A5" s="14" t="s">
        <v>1192</v>
      </c>
      <c r="B5" s="14" t="s">
        <v>1193</v>
      </c>
    </row>
    <row r="6" spans="1:2" x14ac:dyDescent="0.25">
      <c r="A6" s="14" t="s">
        <v>1194</v>
      </c>
      <c r="B6" s="14" t="s">
        <v>1195</v>
      </c>
    </row>
    <row r="7" spans="1:2" x14ac:dyDescent="0.25">
      <c r="A7" s="14" t="s">
        <v>1196</v>
      </c>
      <c r="B7" s="14">
        <v>44199732</v>
      </c>
    </row>
    <row r="8" spans="1:2" x14ac:dyDescent="0.25">
      <c r="A8" s="14" t="s">
        <v>1197</v>
      </c>
      <c r="B8" s="14">
        <v>2022614242</v>
      </c>
    </row>
    <row r="9" spans="1:2" x14ac:dyDescent="0.25">
      <c r="A9" s="14" t="s">
        <v>1198</v>
      </c>
    </row>
    <row r="10" spans="1:2" x14ac:dyDescent="0.25">
      <c r="A10" s="14" t="s">
        <v>1199</v>
      </c>
      <c r="B10" s="14" t="s">
        <v>1200</v>
      </c>
    </row>
    <row r="11" spans="1:2" x14ac:dyDescent="0.25">
      <c r="A11" s="14" t="s">
        <v>1201</v>
      </c>
    </row>
    <row r="12" spans="1:2" x14ac:dyDescent="0.25">
      <c r="A12" s="14" t="s">
        <v>1202</v>
      </c>
      <c r="B12" s="14" t="s">
        <v>1203</v>
      </c>
    </row>
    <row r="13" spans="1:2" x14ac:dyDescent="0.25">
      <c r="A13" s="14" t="s">
        <v>1204</v>
      </c>
    </row>
    <row r="14" spans="1:2" x14ac:dyDescent="0.25">
      <c r="A14" s="14" t="s">
        <v>1205</v>
      </c>
      <c r="B14" s="14" t="s">
        <v>1206</v>
      </c>
    </row>
    <row r="15" spans="1:2" x14ac:dyDescent="0.25">
      <c r="A15" s="14" t="s">
        <v>1207</v>
      </c>
      <c r="B15" s="14" t="s">
        <v>1208</v>
      </c>
    </row>
    <row r="16" spans="1:2" ht="23.25" x14ac:dyDescent="0.25">
      <c r="A16" s="14" t="s">
        <v>1209</v>
      </c>
      <c r="B16" s="234" t="s">
        <v>1210</v>
      </c>
    </row>
    <row r="17" spans="1:2" x14ac:dyDescent="0.25">
      <c r="A17" s="14" t="s">
        <v>1211</v>
      </c>
    </row>
    <row r="18" spans="1:2" ht="23.25" x14ac:dyDescent="0.25">
      <c r="A18" s="14" t="s">
        <v>1212</v>
      </c>
      <c r="B18" s="234" t="s">
        <v>1213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3"/>
  <sheetViews>
    <sheetView showGridLines="0" zoomScaleNormal="100" workbookViewId="0">
      <selection activeCell="B6" sqref="B6"/>
    </sheetView>
  </sheetViews>
  <sheetFormatPr defaultColWidth="9.140625" defaultRowHeight="15" x14ac:dyDescent="0.25"/>
  <cols>
    <col min="1" max="1" width="29.28515625" style="107" customWidth="1"/>
    <col min="2" max="4" width="11.28515625" style="107" customWidth="1"/>
    <col min="5" max="5" width="12.5703125" style="107" customWidth="1"/>
    <col min="6" max="10" width="11.28515625" style="107" customWidth="1"/>
    <col min="11" max="16384" width="9.140625" style="107"/>
  </cols>
  <sheetData>
    <row r="1" spans="1:33" ht="16.5" x14ac:dyDescent="0.3">
      <c r="A1" s="143" t="s">
        <v>185</v>
      </c>
    </row>
    <row r="2" spans="1:33" ht="17.25" thickBot="1" x14ac:dyDescent="0.35">
      <c r="A2" s="144" t="s">
        <v>7</v>
      </c>
    </row>
    <row r="3" spans="1:33" ht="16.5" customHeight="1" thickTop="1" thickBot="1" x14ac:dyDescent="0.3">
      <c r="A3" s="243" t="s">
        <v>26</v>
      </c>
      <c r="B3" s="237" t="s">
        <v>2</v>
      </c>
      <c r="C3" s="238"/>
      <c r="D3" s="238"/>
      <c r="E3" s="238"/>
      <c r="F3" s="238"/>
      <c r="G3" s="238"/>
      <c r="H3" s="238"/>
      <c r="I3" s="238"/>
      <c r="J3" s="239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</row>
    <row r="4" spans="1:33" ht="62.25" customHeight="1" thickTop="1" thickBot="1" x14ac:dyDescent="0.3">
      <c r="A4" s="244"/>
      <c r="B4" s="135" t="s">
        <v>27</v>
      </c>
      <c r="C4" s="135" t="s">
        <v>28</v>
      </c>
      <c r="D4" s="135" t="s">
        <v>29</v>
      </c>
      <c r="E4" s="135" t="s">
        <v>136</v>
      </c>
      <c r="F4" s="135" t="s">
        <v>30</v>
      </c>
      <c r="G4" s="135" t="s">
        <v>31</v>
      </c>
      <c r="H4" s="135" t="s">
        <v>137</v>
      </c>
      <c r="I4" s="135" t="s">
        <v>32</v>
      </c>
      <c r="J4" s="135" t="s">
        <v>8</v>
      </c>
    </row>
    <row r="5" spans="1:33" ht="15" customHeight="1" thickTop="1" thickBot="1" x14ac:dyDescent="0.3">
      <c r="A5" s="146" t="s">
        <v>16</v>
      </c>
      <c r="B5" s="125"/>
      <c r="C5" s="125"/>
      <c r="D5" s="125"/>
      <c r="E5" s="125"/>
      <c r="F5" s="125"/>
      <c r="G5" s="125"/>
      <c r="H5" s="125"/>
      <c r="I5" s="125"/>
      <c r="J5" s="126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</row>
    <row r="6" spans="1:33" ht="24" thickTop="1" thickBot="1" x14ac:dyDescent="0.3">
      <c r="A6" s="147" t="s">
        <v>17</v>
      </c>
      <c r="B6" s="137">
        <f>SUMIF(HK!A:A,"031*",HK!C:C)-SUMIF(HK!A:A,"031*",HK!D:D)</f>
        <v>34418</v>
      </c>
      <c r="C6" s="137">
        <f>SUMIF(HK!A:A,"021*",HK!C:C)-SUMIF(HK!A:A,"021*",HK!D:D)</f>
        <v>163499.4</v>
      </c>
      <c r="D6" s="137">
        <f>SUMIF(HK!A:A,"022*",HK!C:C)-SUMIF(HK!A:A,"022*",HK!D:D)</f>
        <v>209196.71999999997</v>
      </c>
      <c r="E6" s="137">
        <f>SUMIF(HK!A:A,"025*",HK!C:C)-SUMIF(HK!A:A,"025*",HK!D:D)</f>
        <v>0</v>
      </c>
      <c r="F6" s="137">
        <f>SUMIF(HK!A:A,"026*",HK!C:C)-SUMIF(HK!A:A,"026*",HK!D:D)</f>
        <v>3500</v>
      </c>
      <c r="G6" s="137">
        <f>SUMIF(HK!A:A,"029*",HK!C:C)-SUMIF(HK!A:A,"029*",HK!D:D)</f>
        <v>90003.69</v>
      </c>
      <c r="H6" s="137">
        <f>SUMIF(HK!A:A,"042*",HK!C:C)-SUMIF(HK!A:A,"042*",HK!D:D)</f>
        <v>0</v>
      </c>
      <c r="I6" s="137">
        <f>SUMIF(HK!A:A,"052*",HK!C:C)-SUMIF(HK!A:A,"052*",HK!D:D)</f>
        <v>0</v>
      </c>
      <c r="J6" s="122">
        <f>SUM(B6:I6)</f>
        <v>500617.81</v>
      </c>
      <c r="L6" s="123"/>
    </row>
    <row r="7" spans="1:33" ht="15" customHeight="1" thickBot="1" x14ac:dyDescent="0.3">
      <c r="A7" s="148" t="s">
        <v>18</v>
      </c>
      <c r="B7" s="101"/>
      <c r="C7" s="101"/>
      <c r="D7" s="101"/>
      <c r="E7" s="101"/>
      <c r="F7" s="102"/>
      <c r="G7" s="101"/>
      <c r="H7" s="101"/>
      <c r="I7" s="101"/>
      <c r="J7" s="122">
        <f t="shared" ref="J7:J9" si="0">SUM(B7:I7)</f>
        <v>0</v>
      </c>
    </row>
    <row r="8" spans="1:33" ht="15" customHeight="1" thickBot="1" x14ac:dyDescent="0.3">
      <c r="A8" s="148" t="s">
        <v>19</v>
      </c>
      <c r="B8" s="101"/>
      <c r="C8" s="101"/>
      <c r="D8" s="101"/>
      <c r="E8" s="101"/>
      <c r="F8" s="102"/>
      <c r="G8" s="101"/>
      <c r="H8" s="101"/>
      <c r="I8" s="101"/>
      <c r="J8" s="122">
        <f t="shared" si="0"/>
        <v>0</v>
      </c>
    </row>
    <row r="9" spans="1:33" ht="15" customHeight="1" thickBot="1" x14ac:dyDescent="0.3">
      <c r="A9" s="148" t="s">
        <v>20</v>
      </c>
      <c r="B9" s="101"/>
      <c r="C9" s="101"/>
      <c r="D9" s="101"/>
      <c r="E9" s="101"/>
      <c r="F9" s="102"/>
      <c r="G9" s="101"/>
      <c r="H9" s="101"/>
      <c r="I9" s="101"/>
      <c r="J9" s="122">
        <f t="shared" si="0"/>
        <v>0</v>
      </c>
    </row>
    <row r="10" spans="1:33" ht="15.75" thickBot="1" x14ac:dyDescent="0.3">
      <c r="A10" s="231" t="s">
        <v>21</v>
      </c>
      <c r="B10" s="137">
        <f>SUMIF(HK!A:A,"031*",HK!K:K)-SUMIF(HK!A:A,"031*",HK!L:L)</f>
        <v>9068</v>
      </c>
      <c r="C10" s="137">
        <f>SUMIF(HK!A:A,"021*",HK!K:K)-SUMIF(HK!A:A,"021*",HK!L:L)</f>
        <v>112584.61</v>
      </c>
      <c r="D10" s="137">
        <f>SUMIF(HK!A:A,"022*",HK!K:K)-SUMIF(HK!A:A,"022*",HK!L:L)</f>
        <v>172559.91</v>
      </c>
      <c r="E10" s="137">
        <f>SUMIF(HK!A:A,"025*",HK!K:K)-SUMIF(HK!A:A,"025*",HK!L:L)</f>
        <v>0</v>
      </c>
      <c r="F10" s="137">
        <f>SUMIF(HK!A:A,"026*",HK!K:K)-SUMIF(HK!A:A,"026*",HK!L:L)</f>
        <v>9800</v>
      </c>
      <c r="G10" s="137">
        <f>SUMIF(HK!A:A,"029*",HK!K:K)-SUMIF(HK!A:A,"029*",HK!L:L)</f>
        <v>90003.69</v>
      </c>
      <c r="H10" s="137">
        <f>SUMIF(HK!A:A,"042*",HK!K:K)-SUMIF(HK!A:A,"042*",HK!L:L)</f>
        <v>0</v>
      </c>
      <c r="I10" s="137">
        <f>SUMIF(HK!A:A,"052*",HK!K:K)-SUMIF(HK!A:A,"052*",HK!L:L)</f>
        <v>0</v>
      </c>
      <c r="J10" s="124">
        <f>J6+J7-J8+J9</f>
        <v>500617.81</v>
      </c>
      <c r="L10" s="123"/>
    </row>
    <row r="11" spans="1:33" ht="15" customHeight="1" thickTop="1" thickBot="1" x14ac:dyDescent="0.3">
      <c r="A11" s="225" t="s">
        <v>22</v>
      </c>
      <c r="B11" s="142"/>
      <c r="C11" s="142"/>
      <c r="D11" s="142"/>
      <c r="E11" s="142"/>
      <c r="F11" s="142"/>
      <c r="G11" s="142"/>
      <c r="H11" s="142"/>
      <c r="I11" s="142"/>
      <c r="J11" s="126"/>
    </row>
    <row r="12" spans="1:33" ht="23.25" thickBot="1" x14ac:dyDescent="0.3">
      <c r="A12" s="147" t="s">
        <v>23</v>
      </c>
      <c r="B12" s="101"/>
      <c r="C12" s="137">
        <f>SUMIF(HK!A:A,"081*",HK!D:D)-SUMIF(HK!A:A,"081*",HK!C:C)</f>
        <v>62127.01</v>
      </c>
      <c r="D12" s="137">
        <f>SUMIF(HK!A:A,"082*",HK!D:D)-SUMIF(HK!A:A,"082*",HK!C:C)</f>
        <v>161094.73000000001</v>
      </c>
      <c r="E12" s="137">
        <f>SUMIF(HK!A:A,"085*",HK!D:D)-SUMIF(HK!A:A,"085*",HK!C:C)</f>
        <v>0</v>
      </c>
      <c r="F12" s="137">
        <f>SUMIF(HK!A:A,"086*",HK!D:D)-SUMIF(HK!A:A,"086*",HK!C:C)</f>
        <v>1625.02</v>
      </c>
      <c r="G12" s="137">
        <f>SUMIF(HK!A:A,"089*",HK!D:D)-SUMIF(HK!A:A,"089*",HK!C:C)</f>
        <v>57396.08</v>
      </c>
      <c r="H12" s="101"/>
      <c r="I12" s="101"/>
      <c r="J12" s="122">
        <f>SUM(B12:I12)</f>
        <v>282242.84000000003</v>
      </c>
      <c r="L12" s="123"/>
    </row>
    <row r="13" spans="1:33" ht="15" customHeight="1" thickBot="1" x14ac:dyDescent="0.3">
      <c r="A13" s="148" t="s">
        <v>18</v>
      </c>
      <c r="B13" s="101"/>
      <c r="C13" s="101"/>
      <c r="D13" s="101"/>
      <c r="E13" s="101"/>
      <c r="F13" s="101"/>
      <c r="G13" s="101"/>
      <c r="H13" s="101"/>
      <c r="I13" s="101"/>
      <c r="J13" s="122">
        <f t="shared" ref="J13:J14" si="1">SUM(B13:I13)</f>
        <v>0</v>
      </c>
    </row>
    <row r="14" spans="1:33" ht="15" customHeight="1" thickBot="1" x14ac:dyDescent="0.3">
      <c r="A14" s="148" t="s">
        <v>19</v>
      </c>
      <c r="B14" s="101"/>
      <c r="C14" s="101"/>
      <c r="D14" s="101"/>
      <c r="E14" s="101"/>
      <c r="F14" s="101"/>
      <c r="G14" s="101"/>
      <c r="H14" s="101"/>
      <c r="I14" s="101"/>
      <c r="J14" s="122">
        <f t="shared" si="1"/>
        <v>0</v>
      </c>
    </row>
    <row r="15" spans="1:33" ht="15" customHeight="1" thickBot="1" x14ac:dyDescent="0.3">
      <c r="A15" s="225" t="s">
        <v>20</v>
      </c>
      <c r="B15" s="222"/>
      <c r="C15" s="101"/>
      <c r="D15" s="101"/>
      <c r="E15" s="101"/>
      <c r="F15" s="101"/>
      <c r="G15" s="101"/>
      <c r="H15" s="222"/>
      <c r="I15" s="102"/>
      <c r="J15" s="217"/>
    </row>
    <row r="16" spans="1:33" ht="15.75" thickBot="1" x14ac:dyDescent="0.3">
      <c r="A16" s="149" t="s">
        <v>21</v>
      </c>
      <c r="B16" s="104"/>
      <c r="C16" s="137">
        <f>SUMIF(HK!A:A,"081*",HK!L:L)-SUMIF(HK!A:A,"081*",HK!K:K)</f>
        <v>46366.22</v>
      </c>
      <c r="D16" s="137">
        <f>SUMIF(HK!A:A,"082*",HK!L:L)-SUMIF(HK!A:A,"082*",HK!K:K)</f>
        <v>140105.37</v>
      </c>
      <c r="E16" s="137">
        <f>SUMIF(HK!A:A,"085*",HK!L:L)-SUMIF(HK!A:A,"085*",HK!K:K)</f>
        <v>0</v>
      </c>
      <c r="F16" s="137">
        <f>SUMIF(HK!A:A,"086*",HK!L:L)-SUMIF(HK!A:A,"086*",HK!K:K)</f>
        <v>2661.6499999999996</v>
      </c>
      <c r="G16" s="137">
        <f>SUMIF(HK!A:A,"089*",HK!L:L)-SUMIF(HK!A:A,"089*",HK!K:K)</f>
        <v>77126.34</v>
      </c>
      <c r="H16" s="104"/>
      <c r="I16" s="104"/>
      <c r="J16" s="124">
        <f>J12+J13-J14</f>
        <v>282242.84000000003</v>
      </c>
      <c r="L16" s="123"/>
    </row>
    <row r="17" spans="1:33" ht="15" customHeight="1" thickTop="1" thickBot="1" x14ac:dyDescent="0.3">
      <c r="A17" s="146" t="s">
        <v>24</v>
      </c>
      <c r="B17" s="142"/>
      <c r="C17" s="142"/>
      <c r="D17" s="142"/>
      <c r="E17" s="142"/>
      <c r="F17" s="142"/>
      <c r="G17" s="142"/>
      <c r="H17" s="142"/>
      <c r="I17" s="142"/>
      <c r="J17" s="126"/>
    </row>
    <row r="18" spans="1:33" ht="24" thickTop="1" thickBot="1" x14ac:dyDescent="0.3">
      <c r="A18" s="147" t="s">
        <v>23</v>
      </c>
      <c r="B18" s="101"/>
      <c r="C18" s="137"/>
      <c r="D18" s="137"/>
      <c r="E18" s="137"/>
      <c r="F18" s="137"/>
      <c r="G18" s="137"/>
      <c r="H18" s="137">
        <f>SUMIF(HK!A:A,"094*",HK!D:D)-SUMIF(HK!A:A,"094*",HK!C:C)</f>
        <v>0</v>
      </c>
      <c r="I18" s="137">
        <f>SUMIF(SUAM!C:C,"019",SUAM!E:E)</f>
        <v>0</v>
      </c>
      <c r="J18" s="122">
        <f>SUM(B18:I18)</f>
        <v>0</v>
      </c>
      <c r="L18" s="123"/>
      <c r="M18" s="123"/>
      <c r="N18" s="130"/>
    </row>
    <row r="19" spans="1:33" ht="15" customHeight="1" thickBot="1" x14ac:dyDescent="0.3">
      <c r="A19" s="148" t="s">
        <v>18</v>
      </c>
      <c r="B19" s="101"/>
      <c r="C19" s="101"/>
      <c r="D19" s="101"/>
      <c r="E19" s="101"/>
      <c r="F19" s="101"/>
      <c r="G19" s="101"/>
      <c r="H19" s="101"/>
      <c r="I19" s="101"/>
      <c r="J19" s="122">
        <f t="shared" ref="J19:J20" si="2">SUM(B19:I19)</f>
        <v>0</v>
      </c>
      <c r="N19" s="130"/>
    </row>
    <row r="20" spans="1:33" ht="15" customHeight="1" thickBot="1" x14ac:dyDescent="0.3">
      <c r="A20" s="148" t="s">
        <v>19</v>
      </c>
      <c r="B20" s="101"/>
      <c r="C20" s="101"/>
      <c r="D20" s="101"/>
      <c r="E20" s="101"/>
      <c r="F20" s="101"/>
      <c r="G20" s="101"/>
      <c r="H20" s="101"/>
      <c r="I20" s="101"/>
      <c r="J20" s="122">
        <f t="shared" si="2"/>
        <v>0</v>
      </c>
      <c r="N20" s="130"/>
    </row>
    <row r="21" spans="1:33" ht="15" customHeight="1" thickBot="1" x14ac:dyDescent="0.3">
      <c r="A21" s="226" t="s">
        <v>20</v>
      </c>
      <c r="B21" s="102"/>
      <c r="C21" s="101"/>
      <c r="D21" s="101"/>
      <c r="E21" s="101"/>
      <c r="F21" s="101"/>
      <c r="G21" s="101"/>
      <c r="H21" s="101"/>
      <c r="I21" s="101"/>
      <c r="J21" s="216"/>
      <c r="N21" s="130"/>
    </row>
    <row r="22" spans="1:33" ht="15.75" thickBot="1" x14ac:dyDescent="0.3">
      <c r="A22" s="149" t="s">
        <v>21</v>
      </c>
      <c r="B22" s="104"/>
      <c r="C22" s="137"/>
      <c r="D22" s="137"/>
      <c r="E22" s="137"/>
      <c r="F22" s="137"/>
      <c r="G22" s="137"/>
      <c r="H22" s="137">
        <f>SUMIF(HK!A:A,"094*",HK!L:L)-SUMIF(HK!A:A,"094*",HK!K:K)</f>
        <v>0</v>
      </c>
      <c r="I22" s="137">
        <f>SUMIF(SUA!C:C,"019",SUA!E:E)</f>
        <v>0</v>
      </c>
      <c r="J22" s="124">
        <f>J18+J19-J20</f>
        <v>0</v>
      </c>
      <c r="L22" s="123"/>
      <c r="M22" s="123"/>
      <c r="N22" s="130"/>
    </row>
    <row r="23" spans="1:33" ht="15" customHeight="1" thickTop="1" thickBot="1" x14ac:dyDescent="0.3">
      <c r="A23" s="146" t="s">
        <v>25</v>
      </c>
      <c r="B23" s="142"/>
      <c r="C23" s="142"/>
      <c r="D23" s="142"/>
      <c r="E23" s="142"/>
      <c r="F23" s="142"/>
      <c r="G23" s="142"/>
      <c r="H23" s="142"/>
      <c r="I23" s="142"/>
      <c r="J23" s="126"/>
    </row>
    <row r="24" spans="1:33" ht="15" customHeight="1" thickTop="1" thickBot="1" x14ac:dyDescent="0.3">
      <c r="A24" s="147" t="s">
        <v>23</v>
      </c>
      <c r="B24" s="101"/>
      <c r="C24" s="101"/>
      <c r="D24" s="101"/>
      <c r="E24" s="101"/>
      <c r="F24" s="101"/>
      <c r="G24" s="101"/>
      <c r="H24" s="101"/>
      <c r="I24" s="101"/>
      <c r="J24" s="122">
        <f t="shared" ref="J24" si="3">J6-J12-J18</f>
        <v>218374.96999999997</v>
      </c>
    </row>
    <row r="25" spans="1:33" ht="15" customHeight="1" thickBot="1" x14ac:dyDescent="0.3">
      <c r="A25" s="149" t="s">
        <v>21</v>
      </c>
      <c r="B25" s="104"/>
      <c r="C25" s="104"/>
      <c r="D25" s="104"/>
      <c r="E25" s="104"/>
      <c r="F25" s="104"/>
      <c r="G25" s="104"/>
      <c r="H25" s="104"/>
      <c r="I25" s="104"/>
      <c r="J25" s="124">
        <f t="shared" ref="J25" si="4">J10-J16-J22</f>
        <v>218374.96999999997</v>
      </c>
    </row>
    <row r="26" spans="1:33" ht="15.75" thickTop="1" x14ac:dyDescent="0.25">
      <c r="A26" s="132"/>
      <c r="B26" s="132"/>
      <c r="C26" s="132"/>
      <c r="D26" s="132"/>
      <c r="E26" s="132"/>
      <c r="F26" s="132"/>
      <c r="G26" s="132"/>
      <c r="H26" s="132"/>
      <c r="I26" s="132"/>
      <c r="J26" s="132"/>
    </row>
    <row r="27" spans="1:33" x14ac:dyDescent="0.25">
      <c r="A27" s="132"/>
      <c r="B27" s="132"/>
      <c r="C27" s="132"/>
      <c r="D27" s="132"/>
      <c r="E27" s="132"/>
      <c r="F27" s="132"/>
      <c r="G27" s="132"/>
      <c r="H27" s="132"/>
      <c r="I27" s="132"/>
      <c r="J27" s="132"/>
    </row>
    <row r="28" spans="1:33" ht="15.75" thickBot="1" x14ac:dyDescent="0.3">
      <c r="A28" s="150" t="s">
        <v>9</v>
      </c>
      <c r="B28" s="150"/>
      <c r="C28" s="150"/>
      <c r="D28" s="150"/>
      <c r="E28" s="150"/>
      <c r="F28" s="150"/>
      <c r="G28" s="150"/>
      <c r="H28" s="150"/>
      <c r="I28" s="150"/>
      <c r="J28" s="150"/>
    </row>
    <row r="29" spans="1:33" ht="16.5" customHeight="1" thickTop="1" thickBot="1" x14ac:dyDescent="0.3">
      <c r="A29" s="245" t="s">
        <v>26</v>
      </c>
      <c r="B29" s="247" t="s">
        <v>3</v>
      </c>
      <c r="C29" s="248"/>
      <c r="D29" s="248"/>
      <c r="E29" s="248"/>
      <c r="F29" s="248"/>
      <c r="G29" s="248"/>
      <c r="H29" s="248"/>
      <c r="I29" s="248"/>
      <c r="J29" s="249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</row>
    <row r="30" spans="1:33" ht="62.25" customHeight="1" thickTop="1" thickBot="1" x14ac:dyDescent="0.3">
      <c r="A30" s="246"/>
      <c r="B30" s="151" t="s">
        <v>27</v>
      </c>
      <c r="C30" s="151" t="s">
        <v>28</v>
      </c>
      <c r="D30" s="151" t="s">
        <v>29</v>
      </c>
      <c r="E30" s="151" t="s">
        <v>136</v>
      </c>
      <c r="F30" s="151" t="s">
        <v>30</v>
      </c>
      <c r="G30" s="151" t="s">
        <v>31</v>
      </c>
      <c r="H30" s="151" t="s">
        <v>137</v>
      </c>
      <c r="I30" s="151" t="s">
        <v>32</v>
      </c>
      <c r="J30" s="151" t="s">
        <v>8</v>
      </c>
    </row>
    <row r="31" spans="1:33" ht="15" customHeight="1" thickTop="1" thickBot="1" x14ac:dyDescent="0.3">
      <c r="A31" s="152" t="s">
        <v>16</v>
      </c>
      <c r="B31" s="103"/>
      <c r="C31" s="103"/>
      <c r="D31" s="103"/>
      <c r="E31" s="103"/>
      <c r="F31" s="103"/>
      <c r="G31" s="103"/>
      <c r="H31" s="103"/>
      <c r="I31" s="103"/>
      <c r="J31" s="153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</row>
    <row r="32" spans="1:33" ht="24" thickTop="1" thickBot="1" x14ac:dyDescent="0.3">
      <c r="A32" s="154" t="s">
        <v>17</v>
      </c>
      <c r="B32" s="137">
        <f>SUMIF(HKM!A:A,"031*",HKM!C:C)-SUMIF(HKM!A:A,"031*",HKM!D:D)</f>
        <v>34418</v>
      </c>
      <c r="C32" s="137">
        <f>SUMIF(HKM!A:A,"021*",HKM!C:C)-SUMIF(HKM!A:A,"021*",HKM!D:D)</f>
        <v>163499.4</v>
      </c>
      <c r="D32" s="137">
        <f>SUMIF(HKM!A:A,"022*",HKM!C:C)-SUMIF(HKM!A:A,"022*",HKM!D:D)</f>
        <v>164270.87</v>
      </c>
      <c r="E32" s="137">
        <f>SUMIF(HKM!A:A,"025*",HKM!C:C)-SUMIF(HKM!A:A,"025*",HKM!D:D)</f>
        <v>0</v>
      </c>
      <c r="F32" s="137">
        <f>SUMIF(HKM!A:A,"026*",HKM!C:C)-SUMIF(HKM!A:A,"026*",HKM!D:D)</f>
        <v>3500</v>
      </c>
      <c r="G32" s="137">
        <f>SUMIF(HKM!A:A,"029*",HKM!C:C)-SUMIF(HKM!A:A,"029*",HKM!D:D)</f>
        <v>90003.69</v>
      </c>
      <c r="H32" s="137">
        <f>SUMIF(HKM!A:A,"042*",HKM!C:C)-SUMIF(HKM!A:A,"042*",HKM!D:D)</f>
        <v>57700</v>
      </c>
      <c r="I32" s="137">
        <f>SUMIF(HKM!A:A,"052*",HKM!C:C)-SUMIF(HKM!A:A,"052*",HKM!D:D)</f>
        <v>0</v>
      </c>
      <c r="J32" s="155">
        <f>SUM(B32:I32)</f>
        <v>513391.96</v>
      </c>
      <c r="L32" s="123"/>
    </row>
    <row r="33" spans="1:14" ht="15" customHeight="1" thickBot="1" x14ac:dyDescent="0.3">
      <c r="A33" s="156" t="s">
        <v>18</v>
      </c>
      <c r="B33" s="101"/>
      <c r="C33" s="101"/>
      <c r="D33" s="101"/>
      <c r="E33" s="101"/>
      <c r="F33" s="102"/>
      <c r="G33" s="101"/>
      <c r="H33" s="101"/>
      <c r="I33" s="101"/>
      <c r="J33" s="155">
        <f t="shared" ref="J33:J35" si="5">SUM(B33:I33)</f>
        <v>0</v>
      </c>
    </row>
    <row r="34" spans="1:14" ht="15" customHeight="1" thickBot="1" x14ac:dyDescent="0.3">
      <c r="A34" s="156" t="s">
        <v>19</v>
      </c>
      <c r="B34" s="101"/>
      <c r="C34" s="101"/>
      <c r="D34" s="101"/>
      <c r="E34" s="101"/>
      <c r="F34" s="102"/>
      <c r="G34" s="101"/>
      <c r="H34" s="101"/>
      <c r="I34" s="101"/>
      <c r="J34" s="155">
        <f t="shared" si="5"/>
        <v>0</v>
      </c>
    </row>
    <row r="35" spans="1:14" ht="15" customHeight="1" thickBot="1" x14ac:dyDescent="0.3">
      <c r="A35" s="156" t="s">
        <v>20</v>
      </c>
      <c r="B35" s="101"/>
      <c r="C35" s="101"/>
      <c r="D35" s="101"/>
      <c r="E35" s="101"/>
      <c r="F35" s="102"/>
      <c r="G35" s="101"/>
      <c r="H35" s="101"/>
      <c r="I35" s="101"/>
      <c r="J35" s="155">
        <f t="shared" si="5"/>
        <v>0</v>
      </c>
    </row>
    <row r="36" spans="1:14" ht="15.75" thickBot="1" x14ac:dyDescent="0.3">
      <c r="A36" s="157" t="s">
        <v>21</v>
      </c>
      <c r="B36" s="137">
        <f>SUMIF(HKM!A:A,"031*",HKM!K:K)-SUMIF(HKM!A:A,"031*",HKM!L:L)</f>
        <v>34418</v>
      </c>
      <c r="C36" s="137">
        <f>SUMIF(HKM!A:A,"021*",HKM!K:K)-SUMIF(HKM!A:A,"021*",HKM!L:L)</f>
        <v>163499.4</v>
      </c>
      <c r="D36" s="137">
        <f>SUMIF(HKM!A:A,"022*",HKM!K:K)-SUMIF(HKM!A:A,"022*",HKM!L:L)</f>
        <v>209196.71999999997</v>
      </c>
      <c r="E36" s="137">
        <f>SUMIF(HKM!A:A,"025*",HKM!K:K)-SUMIF(HKM!A:A,"025*",HKM!L:L)</f>
        <v>0</v>
      </c>
      <c r="F36" s="137">
        <f>SUMIF(HKM!A:A,"026*",HKM!K:K)-SUMIF(HKM!A:A,"026*",HKM!L:L)</f>
        <v>3500</v>
      </c>
      <c r="G36" s="137">
        <f>SUMIF(HKM!A:A,"029*",HKM!K:K)-SUMIF(HKM!A:A,"029*",HKM!L:L)</f>
        <v>90003.69</v>
      </c>
      <c r="H36" s="137">
        <f>SUMIF(HKM!A:A,"042*",HKM!K:K)-SUMIF(HKM!A:A,"042*",HKM!L:L)</f>
        <v>0</v>
      </c>
      <c r="I36" s="137">
        <f>SUMIF(HKM!A:A,"052*",HKM!K:K)-SUMIF(HKM!A:A,"052*",HKM!L:L)</f>
        <v>0</v>
      </c>
      <c r="J36" s="158">
        <f>J32+J33-J34+J35</f>
        <v>513391.96</v>
      </c>
      <c r="L36" s="123"/>
    </row>
    <row r="37" spans="1:14" ht="15" customHeight="1" thickTop="1" thickBot="1" x14ac:dyDescent="0.3">
      <c r="A37" s="152" t="s">
        <v>22</v>
      </c>
      <c r="B37" s="142"/>
      <c r="C37" s="142"/>
      <c r="D37" s="142"/>
      <c r="E37" s="142"/>
      <c r="F37" s="142"/>
      <c r="G37" s="142"/>
      <c r="H37" s="142"/>
      <c r="I37" s="142"/>
      <c r="J37" s="153"/>
    </row>
    <row r="38" spans="1:14" ht="24" thickTop="1" thickBot="1" x14ac:dyDescent="0.3">
      <c r="A38" s="154" t="s">
        <v>23</v>
      </c>
      <c r="B38" s="101"/>
      <c r="C38" s="137">
        <f>SUMIF(HKM!A:A,"081*",HKM!D:D)-SUMIF(HKM!A:A,"081*",HKM!C:C)</f>
        <v>53952.04</v>
      </c>
      <c r="D38" s="137">
        <f>SUMIF(HKM!A:A,"082*",HKM!D:D)-SUMIF(HKM!A:A,"082*",HKM!C:C)</f>
        <v>151838.35999999999</v>
      </c>
      <c r="E38" s="137">
        <f>SUMIF(HKM!A:A,"085*",HKM!D:D)-SUMIF(HKM!A:A,"085*",HKM!C:C)</f>
        <v>0</v>
      </c>
      <c r="F38" s="137">
        <f>SUMIF(HKM!A:A,"086*",HKM!D:D)-SUMIF(HKM!A:A,"086*",HKM!C:C)</f>
        <v>1083.3499999999999</v>
      </c>
      <c r="G38" s="137">
        <f>SUMIF(HKM!A:A,"089*",HKM!D:D)-SUMIF(HKM!A:A,"089*",HKM!C:C)</f>
        <v>37665.82</v>
      </c>
      <c r="H38" s="101"/>
      <c r="I38" s="101"/>
      <c r="J38" s="155">
        <f>SUM(B38:I38)</f>
        <v>244539.57</v>
      </c>
      <c r="L38" s="123"/>
    </row>
    <row r="39" spans="1:14" ht="15" customHeight="1" thickBot="1" x14ac:dyDescent="0.3">
      <c r="A39" s="156" t="s">
        <v>18</v>
      </c>
      <c r="B39" s="101"/>
      <c r="C39" s="101"/>
      <c r="D39" s="101"/>
      <c r="E39" s="101"/>
      <c r="F39" s="101"/>
      <c r="G39" s="101"/>
      <c r="H39" s="101"/>
      <c r="I39" s="101"/>
      <c r="J39" s="155">
        <f t="shared" ref="J39:J40" si="6">SUM(B39:I39)</f>
        <v>0</v>
      </c>
    </row>
    <row r="40" spans="1:14" ht="15" customHeight="1" thickBot="1" x14ac:dyDescent="0.3">
      <c r="A40" s="156" t="s">
        <v>19</v>
      </c>
      <c r="B40" s="101"/>
      <c r="C40" s="101"/>
      <c r="D40" s="101"/>
      <c r="E40" s="101"/>
      <c r="F40" s="101"/>
      <c r="G40" s="101"/>
      <c r="H40" s="101"/>
      <c r="I40" s="101"/>
      <c r="J40" s="155">
        <f t="shared" si="6"/>
        <v>0</v>
      </c>
    </row>
    <row r="41" spans="1:14" ht="15" customHeight="1" thickBot="1" x14ac:dyDescent="0.3">
      <c r="A41" s="227" t="s">
        <v>20</v>
      </c>
      <c r="B41" s="102"/>
      <c r="C41" s="102"/>
      <c r="D41" s="102"/>
      <c r="E41" s="102"/>
      <c r="F41" s="102"/>
      <c r="G41" s="102"/>
      <c r="H41" s="102"/>
      <c r="I41" s="102"/>
      <c r="J41" s="102"/>
    </row>
    <row r="42" spans="1:14" ht="15.75" thickBot="1" x14ac:dyDescent="0.3">
      <c r="A42" s="157" t="s">
        <v>21</v>
      </c>
      <c r="B42" s="104"/>
      <c r="C42" s="137">
        <f>SUMIF(HKM!A:A,"081*",HKM!L:L)-SUMIF(HKM!A:A,"081*",HKM!K:K)</f>
        <v>62127.01</v>
      </c>
      <c r="D42" s="137">
        <f>SUMIF(HKM!A:A,"082*",HKM!L:L)-SUMIF(HKM!A:A,"082*",HKM!K:K)</f>
        <v>161094.73000000001</v>
      </c>
      <c r="E42" s="137">
        <f>SUMIF(HKM!A:A,"085*",HKM!L:L)-SUMIF(HKM!A:A,"085*",HKM!K:K)</f>
        <v>0</v>
      </c>
      <c r="F42" s="137">
        <f>SUMIF(HKM!A:A,"086*",HKM!L:L)-SUMIF(HKM!A:A,"086*",HKM!K:K)</f>
        <v>1625.02</v>
      </c>
      <c r="G42" s="137">
        <f>SUMIF(HKM!A:A,"089*",HKM!L:L)-SUMIF(HKM!A:A,"089*",HKM!K:K)</f>
        <v>57396.08</v>
      </c>
      <c r="H42" s="104"/>
      <c r="I42" s="104"/>
      <c r="J42" s="158">
        <f>J38+J39-J40</f>
        <v>244539.57</v>
      </c>
      <c r="L42" s="123"/>
    </row>
    <row r="43" spans="1:14" ht="15" customHeight="1" thickTop="1" thickBot="1" x14ac:dyDescent="0.3">
      <c r="A43" s="152" t="s">
        <v>24</v>
      </c>
      <c r="B43" s="142"/>
      <c r="C43" s="142"/>
      <c r="D43" s="142"/>
      <c r="E43" s="142"/>
      <c r="F43" s="142"/>
      <c r="G43" s="142"/>
      <c r="H43" s="142"/>
      <c r="I43" s="142"/>
      <c r="J43" s="153"/>
    </row>
    <row r="44" spans="1:14" ht="24" thickTop="1" thickBot="1" x14ac:dyDescent="0.3">
      <c r="A44" s="154" t="s">
        <v>23</v>
      </c>
      <c r="B44" s="101"/>
      <c r="C44" s="137"/>
      <c r="D44" s="137"/>
      <c r="E44" s="137"/>
      <c r="F44" s="137"/>
      <c r="G44" s="137"/>
      <c r="H44" s="137">
        <f>SUMIF(HKM!A:A,"094*",HKM!D:D)-SUMIF(HKM!A:A,"094*",HKM!C:C)</f>
        <v>0</v>
      </c>
      <c r="I44" s="137"/>
      <c r="J44" s="155">
        <f>SUM(B44:I44)</f>
        <v>0</v>
      </c>
      <c r="L44" s="123"/>
      <c r="M44" s="136"/>
      <c r="N44" s="130"/>
    </row>
    <row r="45" spans="1:14" ht="15" customHeight="1" thickBot="1" x14ac:dyDescent="0.3">
      <c r="A45" s="156" t="s">
        <v>18</v>
      </c>
      <c r="B45" s="101"/>
      <c r="C45" s="101"/>
      <c r="D45" s="101"/>
      <c r="E45" s="101"/>
      <c r="F45" s="101"/>
      <c r="G45" s="101"/>
      <c r="H45" s="101"/>
      <c r="I45" s="101"/>
      <c r="J45" s="155">
        <f t="shared" ref="J45:J46" si="7">SUM(B45:I45)</f>
        <v>0</v>
      </c>
      <c r="N45" s="130"/>
    </row>
    <row r="46" spans="1:14" ht="15" customHeight="1" thickBot="1" x14ac:dyDescent="0.3">
      <c r="A46" s="156" t="s">
        <v>19</v>
      </c>
      <c r="B46" s="101"/>
      <c r="C46" s="101"/>
      <c r="D46" s="101"/>
      <c r="E46" s="101"/>
      <c r="F46" s="101"/>
      <c r="G46" s="101"/>
      <c r="H46" s="101"/>
      <c r="I46" s="101"/>
      <c r="J46" s="155">
        <f t="shared" si="7"/>
        <v>0</v>
      </c>
      <c r="N46" s="130"/>
    </row>
    <row r="47" spans="1:14" ht="15" customHeight="1" thickBot="1" x14ac:dyDescent="0.3">
      <c r="A47" s="227" t="s">
        <v>20</v>
      </c>
      <c r="B47" s="102"/>
      <c r="C47" s="102"/>
      <c r="D47" s="102"/>
      <c r="E47" s="102"/>
      <c r="F47" s="102"/>
      <c r="G47" s="102"/>
      <c r="H47" s="102"/>
      <c r="I47" s="102"/>
      <c r="J47" s="102"/>
      <c r="N47" s="130"/>
    </row>
    <row r="48" spans="1:14" ht="15.75" thickBot="1" x14ac:dyDescent="0.3">
      <c r="A48" s="157" t="s">
        <v>21</v>
      </c>
      <c r="B48" s="104"/>
      <c r="C48" s="137"/>
      <c r="D48" s="137"/>
      <c r="E48" s="137"/>
      <c r="F48" s="137"/>
      <c r="G48" s="137"/>
      <c r="H48" s="137">
        <f>SUMIF(HKM!A:A,"094*",HKM!L:L)-SUMIF(HKM!A:A,"094*",HKM!K:K)</f>
        <v>0</v>
      </c>
      <c r="I48" s="137">
        <f>SUMIF(SUAM!C:C,"019",SUAM!E:E)</f>
        <v>0</v>
      </c>
      <c r="J48" s="158">
        <f>J44+J45-J46</f>
        <v>0</v>
      </c>
      <c r="L48" s="123"/>
      <c r="N48" s="130"/>
    </row>
    <row r="49" spans="1:10" ht="15" customHeight="1" thickTop="1" thickBot="1" x14ac:dyDescent="0.3">
      <c r="A49" s="152" t="s">
        <v>25</v>
      </c>
      <c r="B49" s="142"/>
      <c r="C49" s="142"/>
      <c r="D49" s="142"/>
      <c r="E49" s="142"/>
      <c r="F49" s="142"/>
      <c r="G49" s="142"/>
      <c r="H49" s="142"/>
      <c r="I49" s="142"/>
      <c r="J49" s="153"/>
    </row>
    <row r="50" spans="1:10" ht="15" customHeight="1" thickTop="1" thickBot="1" x14ac:dyDescent="0.3">
      <c r="A50" s="154" t="s">
        <v>23</v>
      </c>
      <c r="B50" s="101">
        <f>B32-B38-B44</f>
        <v>34418</v>
      </c>
      <c r="C50" s="101">
        <f t="shared" ref="C50:J50" si="8">C32-C38-C44</f>
        <v>109547.35999999999</v>
      </c>
      <c r="D50" s="101">
        <f t="shared" si="8"/>
        <v>12432.510000000009</v>
      </c>
      <c r="E50" s="101">
        <f t="shared" si="8"/>
        <v>0</v>
      </c>
      <c r="F50" s="101">
        <f t="shared" si="8"/>
        <v>2416.65</v>
      </c>
      <c r="G50" s="101">
        <f t="shared" si="8"/>
        <v>52337.87</v>
      </c>
      <c r="H50" s="101">
        <f t="shared" si="8"/>
        <v>57700</v>
      </c>
      <c r="I50" s="101">
        <f t="shared" si="8"/>
        <v>0</v>
      </c>
      <c r="J50" s="155">
        <f t="shared" si="8"/>
        <v>268852.39</v>
      </c>
    </row>
    <row r="51" spans="1:10" ht="15" customHeight="1" thickBot="1" x14ac:dyDescent="0.3">
      <c r="A51" s="157" t="s">
        <v>21</v>
      </c>
      <c r="B51" s="104">
        <f>B36-B42-B48</f>
        <v>34418</v>
      </c>
      <c r="C51" s="104">
        <f t="shared" ref="C51:J51" si="9">C36-C42-C48</f>
        <v>101372.38999999998</v>
      </c>
      <c r="D51" s="104">
        <f t="shared" si="9"/>
        <v>48101.989999999962</v>
      </c>
      <c r="E51" s="104">
        <f t="shared" si="9"/>
        <v>0</v>
      </c>
      <c r="F51" s="104">
        <f t="shared" si="9"/>
        <v>1874.98</v>
      </c>
      <c r="G51" s="104">
        <f t="shared" si="9"/>
        <v>32607.61</v>
      </c>
      <c r="H51" s="104">
        <f t="shared" si="9"/>
        <v>0</v>
      </c>
      <c r="I51" s="104">
        <f t="shared" si="9"/>
        <v>0</v>
      </c>
      <c r="J51" s="158">
        <f t="shared" si="9"/>
        <v>268852.39</v>
      </c>
    </row>
    <row r="52" spans="1:10" ht="15.75" thickTop="1" x14ac:dyDescent="0.25">
      <c r="A52" s="132"/>
      <c r="B52" s="132"/>
      <c r="C52" s="132"/>
      <c r="D52" s="132"/>
      <c r="E52" s="132"/>
      <c r="F52" s="132"/>
      <c r="G52" s="132"/>
      <c r="H52" s="132"/>
      <c r="I52" s="132"/>
      <c r="J52" s="132"/>
    </row>
    <row r="53" spans="1:10" x14ac:dyDescent="0.25">
      <c r="A53" s="132"/>
      <c r="B53" s="132"/>
      <c r="C53" s="132"/>
      <c r="D53" s="132"/>
      <c r="E53" s="132"/>
      <c r="F53" s="132"/>
      <c r="G53" s="132"/>
      <c r="H53" s="132"/>
      <c r="I53" s="132"/>
      <c r="J53" s="132"/>
    </row>
  </sheetData>
  <mergeCells count="4">
    <mergeCell ref="A3:A4"/>
    <mergeCell ref="A29:A30"/>
    <mergeCell ref="B29:J29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42"/>
  <sheetViews>
    <sheetView showGridLines="0" topLeftCell="A19" zoomScaleNormal="100" workbookViewId="0">
      <selection activeCell="I26" sqref="I26"/>
    </sheetView>
  </sheetViews>
  <sheetFormatPr defaultRowHeight="15" x14ac:dyDescent="0.25"/>
  <cols>
    <col min="1" max="1" width="29.140625" customWidth="1"/>
    <col min="2" max="10" width="11.28515625" customWidth="1"/>
  </cols>
  <sheetData>
    <row r="1" spans="1:33" ht="16.5" x14ac:dyDescent="0.3">
      <c r="A1" s="1" t="s">
        <v>184</v>
      </c>
    </row>
    <row r="2" spans="1:33" ht="17.25" thickBot="1" x14ac:dyDescent="0.35">
      <c r="A2" s="2" t="s">
        <v>7</v>
      </c>
    </row>
    <row r="3" spans="1:33" ht="16.5" customHeight="1" thickTop="1" thickBot="1" x14ac:dyDescent="0.3">
      <c r="A3" s="235" t="s">
        <v>37</v>
      </c>
      <c r="B3" s="240" t="s">
        <v>2</v>
      </c>
      <c r="C3" s="241"/>
      <c r="D3" s="241"/>
      <c r="E3" s="241"/>
      <c r="F3" s="241"/>
      <c r="G3" s="241"/>
      <c r="H3" s="241"/>
      <c r="I3" s="241"/>
      <c r="J3" s="242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66.75" customHeight="1" thickTop="1" thickBot="1" x14ac:dyDescent="0.3">
      <c r="A4" s="236"/>
      <c r="B4" s="105" t="s">
        <v>33</v>
      </c>
      <c r="C4" s="106" t="s">
        <v>149</v>
      </c>
      <c r="D4" s="105" t="s">
        <v>34</v>
      </c>
      <c r="E4" s="106" t="s">
        <v>148</v>
      </c>
      <c r="F4" s="105" t="s">
        <v>35</v>
      </c>
      <c r="G4" s="105" t="s">
        <v>36</v>
      </c>
      <c r="H4" s="106" t="s">
        <v>138</v>
      </c>
      <c r="I4" s="105" t="s">
        <v>139</v>
      </c>
      <c r="J4" s="105" t="s">
        <v>8</v>
      </c>
    </row>
    <row r="5" spans="1:33" ht="15" customHeight="1" thickTop="1" thickBot="1" x14ac:dyDescent="0.3">
      <c r="A5" s="24" t="s">
        <v>16</v>
      </c>
      <c r="B5" s="25"/>
      <c r="C5" s="25"/>
      <c r="D5" s="25"/>
      <c r="E5" s="25"/>
      <c r="F5" s="25"/>
      <c r="G5" s="25"/>
      <c r="H5" s="25"/>
      <c r="I5" s="25"/>
      <c r="J5" s="26"/>
      <c r="K5" s="145"/>
      <c r="L5" s="145"/>
      <c r="M5" s="145"/>
      <c r="N5" s="145"/>
      <c r="O5" s="145"/>
      <c r="P5" s="145"/>
      <c r="Q5" s="145"/>
      <c r="R5" s="145"/>
      <c r="S5" s="3"/>
      <c r="T5" s="3"/>
      <c r="U5" s="3"/>
      <c r="V5" s="3"/>
      <c r="W5" s="3"/>
      <c r="X5" s="3"/>
      <c r="Y5" s="3"/>
    </row>
    <row r="6" spans="1:33" ht="24" thickTop="1" thickBot="1" x14ac:dyDescent="0.3">
      <c r="A6" s="27" t="s">
        <v>17</v>
      </c>
      <c r="B6" s="137">
        <f>SUMIF(HK!A:A,"061*",HK!C:C)-SUMIF(HK!A:A,"061*",HK!D:D)</f>
        <v>366030.03</v>
      </c>
      <c r="C6" s="137">
        <f>SUMIF(HK!A:A,"062*",HK!C:C)-SUMIF(HK!A:A,"062*",HK!D:D)</f>
        <v>0</v>
      </c>
      <c r="D6" s="137">
        <f>SUMIF(HK!A:A,"063*",HK!C:C)-SUMIF(HK!A:A,"063*",HK!D:D)</f>
        <v>0</v>
      </c>
      <c r="E6" s="137">
        <f>SUMIF(HK!A:A,"066*",HK!C:C)-SUMIF(HK!A:A,"066*",HK!D:D)</f>
        <v>0</v>
      </c>
      <c r="F6" s="137">
        <f>SUMIF(HK!A:A,"067*",HK!C:C)-SUMIF(HK!A:A,"067*",HK!D:D)</f>
        <v>0</v>
      </c>
      <c r="G6" s="101"/>
      <c r="H6" s="137">
        <f>SUMIF(HK!A:A,"043*",HK!C:C)-SUMIF(HK!A:A,"043*",HK!D:D)</f>
        <v>0</v>
      </c>
      <c r="I6" s="137">
        <f>SUMIF(HK!A:A,"053*",HK!C:C)-SUMIF(HK!A:A,"053*",HK!D:D)</f>
        <v>0</v>
      </c>
      <c r="J6" s="11">
        <f>SUM(B6:I6)</f>
        <v>366030.03</v>
      </c>
      <c r="K6" s="107"/>
      <c r="L6" s="123"/>
      <c r="M6" s="107"/>
      <c r="N6" s="107"/>
      <c r="O6" s="107"/>
      <c r="P6" s="107"/>
      <c r="Q6" s="107"/>
      <c r="R6" s="107"/>
    </row>
    <row r="7" spans="1:33" ht="15" customHeight="1" thickBot="1" x14ac:dyDescent="0.3">
      <c r="A7" s="10" t="s">
        <v>18</v>
      </c>
      <c r="B7" s="101"/>
      <c r="C7" s="101"/>
      <c r="D7" s="101"/>
      <c r="E7" s="101"/>
      <c r="F7" s="102"/>
      <c r="G7" s="101"/>
      <c r="H7" s="101"/>
      <c r="I7" s="101"/>
      <c r="J7" s="11">
        <f t="shared" ref="J7:J9" si="0">SUM(B7:I7)</f>
        <v>0</v>
      </c>
      <c r="K7" s="107"/>
      <c r="L7" s="107"/>
      <c r="M7" s="107"/>
      <c r="N7" s="107"/>
      <c r="O7" s="107"/>
      <c r="P7" s="107"/>
      <c r="Q7" s="107"/>
      <c r="R7" s="107"/>
    </row>
    <row r="8" spans="1:33" ht="15" customHeight="1" thickBot="1" x14ac:dyDescent="0.3">
      <c r="A8" s="10" t="s">
        <v>19</v>
      </c>
      <c r="B8" s="101"/>
      <c r="C8" s="101"/>
      <c r="D8" s="101"/>
      <c r="E8" s="101"/>
      <c r="F8" s="102"/>
      <c r="G8" s="101"/>
      <c r="H8" s="101"/>
      <c r="I8" s="101"/>
      <c r="J8" s="11">
        <f t="shared" si="0"/>
        <v>0</v>
      </c>
      <c r="K8" s="107"/>
      <c r="L8" s="107"/>
      <c r="M8" s="107"/>
      <c r="N8" s="107"/>
      <c r="O8" s="107"/>
      <c r="P8" s="107"/>
      <c r="Q8" s="107"/>
      <c r="R8" s="107"/>
    </row>
    <row r="9" spans="1:33" ht="15" customHeight="1" thickBot="1" x14ac:dyDescent="0.3">
      <c r="A9" s="10" t="s">
        <v>20</v>
      </c>
      <c r="B9" s="101"/>
      <c r="C9" s="101"/>
      <c r="D9" s="101"/>
      <c r="E9" s="101"/>
      <c r="F9" s="102"/>
      <c r="G9" s="101"/>
      <c r="H9" s="101"/>
      <c r="I9" s="101"/>
      <c r="J9" s="11">
        <f t="shared" si="0"/>
        <v>0</v>
      </c>
      <c r="K9" s="107"/>
      <c r="L9" s="107"/>
      <c r="M9" s="107"/>
      <c r="N9" s="107"/>
      <c r="O9" s="107"/>
      <c r="P9" s="107"/>
      <c r="Q9" s="107"/>
      <c r="R9" s="107"/>
    </row>
    <row r="10" spans="1:33" ht="15.75" thickBot="1" x14ac:dyDescent="0.3">
      <c r="A10" s="19" t="s">
        <v>21</v>
      </c>
      <c r="B10" s="137">
        <f>SUMIF(HK!A:A,"061*",HK!K:K)-SUMIF(HK!A:A,"061*",HK!L:L)</f>
        <v>366030.03</v>
      </c>
      <c r="C10" s="137">
        <f>SUMIF(HK!A:A,"062*",HK!K:K)-SUMIF(HK!A:A,"062*",HK!L:L)</f>
        <v>0</v>
      </c>
      <c r="D10" s="137">
        <f>SUMIF(HK!A:A,"063*",HK!K:K)-SUMIF(HK!A:A,"063*",HK!L:L)</f>
        <v>0</v>
      </c>
      <c r="E10" s="137">
        <f>SUMIF(HK!A:A,"066*",HK!K:K)-SUMIF(HK!A:A,"066*",HK!L:L)</f>
        <v>0</v>
      </c>
      <c r="F10" s="137">
        <f>SUMIF(HK!A:A,"067*",HK!K:K)-SUMIF(HK!A:A,"067*",HK!L:L)</f>
        <v>0</v>
      </c>
      <c r="G10" s="101"/>
      <c r="H10" s="137">
        <f>SUMIF(HK!A:A,"043*",HK!K:K)-SUMIF(HK!A:A,"043*",HK!L:L)</f>
        <v>0</v>
      </c>
      <c r="I10" s="137">
        <f>SUMIF(HK!A:A,"053*",HK!K:K)-SUMIF(HK!A:A,"053*",HK!L:L)</f>
        <v>0</v>
      </c>
      <c r="J10" s="13">
        <f>J6+J7-J8+J9</f>
        <v>366030.03</v>
      </c>
      <c r="K10" s="107"/>
      <c r="L10" s="123"/>
      <c r="M10" s="107"/>
      <c r="N10" s="107"/>
      <c r="O10" s="107"/>
      <c r="P10" s="107"/>
      <c r="Q10" s="107"/>
      <c r="R10" s="107"/>
    </row>
    <row r="11" spans="1:33" ht="15" customHeight="1" thickTop="1" thickBot="1" x14ac:dyDescent="0.3">
      <c r="A11" s="24" t="s">
        <v>24</v>
      </c>
      <c r="B11" s="142"/>
      <c r="C11" s="142"/>
      <c r="D11" s="142"/>
      <c r="E11" s="142"/>
      <c r="F11" s="142"/>
      <c r="G11" s="142"/>
      <c r="H11" s="142"/>
      <c r="I11" s="142"/>
      <c r="J11" s="26"/>
      <c r="K11" s="107"/>
      <c r="L11" s="107"/>
      <c r="M11" s="107"/>
      <c r="N11" s="107"/>
      <c r="O11" s="107"/>
      <c r="P11" s="107"/>
      <c r="Q11" s="107"/>
      <c r="R11" s="107"/>
    </row>
    <row r="12" spans="1:33" ht="24" thickTop="1" thickBot="1" x14ac:dyDescent="0.3">
      <c r="A12" s="27" t="s">
        <v>23</v>
      </c>
      <c r="B12" s="137"/>
      <c r="C12" s="137"/>
      <c r="D12" s="137"/>
      <c r="E12" s="137"/>
      <c r="F12" s="137"/>
      <c r="G12" s="137"/>
      <c r="H12" s="137"/>
      <c r="I12" s="137">
        <f>SUMIF(SUAM!C:C,"032",SUAM!E:E)</f>
        <v>0</v>
      </c>
      <c r="J12" s="11">
        <f>SUM(B12:I12)</f>
        <v>0</v>
      </c>
      <c r="K12" s="107"/>
      <c r="L12" s="123"/>
      <c r="M12" s="107"/>
      <c r="N12" s="130"/>
      <c r="O12" s="107"/>
      <c r="P12" s="107"/>
      <c r="Q12" s="107"/>
      <c r="R12" s="107"/>
    </row>
    <row r="13" spans="1:33" ht="15" customHeight="1" thickBot="1" x14ac:dyDescent="0.3">
      <c r="A13" s="10" t="s">
        <v>18</v>
      </c>
      <c r="B13" s="101"/>
      <c r="C13" s="101"/>
      <c r="D13" s="101"/>
      <c r="E13" s="101"/>
      <c r="F13" s="101"/>
      <c r="G13" s="101"/>
      <c r="H13" s="101"/>
      <c r="I13" s="101"/>
      <c r="J13" s="11">
        <f>SUM(B13:I13)</f>
        <v>0</v>
      </c>
      <c r="K13" s="107"/>
      <c r="L13" s="107"/>
      <c r="M13" s="107"/>
      <c r="N13" s="107"/>
      <c r="O13" s="107"/>
      <c r="P13" s="107"/>
      <c r="Q13" s="107"/>
      <c r="R13" s="107"/>
    </row>
    <row r="14" spans="1:33" ht="15" customHeight="1" thickBot="1" x14ac:dyDescent="0.3">
      <c r="A14" s="10" t="s">
        <v>19</v>
      </c>
      <c r="B14" s="101"/>
      <c r="C14" s="101"/>
      <c r="D14" s="101"/>
      <c r="E14" s="101"/>
      <c r="F14" s="101"/>
      <c r="G14" s="101"/>
      <c r="H14" s="101"/>
      <c r="I14" s="101"/>
      <c r="J14" s="11">
        <f>SUM(B14:I14)</f>
        <v>0</v>
      </c>
      <c r="K14" s="107"/>
      <c r="L14" s="107"/>
      <c r="M14" s="107"/>
      <c r="N14" s="107"/>
      <c r="O14" s="107"/>
      <c r="P14" s="107"/>
      <c r="Q14" s="107"/>
      <c r="R14" s="107"/>
    </row>
    <row r="15" spans="1:33" ht="15" customHeight="1" thickBot="1" x14ac:dyDescent="0.3">
      <c r="A15" s="228" t="s">
        <v>20</v>
      </c>
      <c r="B15" s="102"/>
      <c r="C15" s="102"/>
      <c r="D15" s="102"/>
      <c r="E15" s="102"/>
      <c r="F15" s="102"/>
      <c r="G15" s="102"/>
      <c r="H15" s="102"/>
      <c r="I15" s="102"/>
      <c r="J15" s="229"/>
      <c r="K15" s="107"/>
      <c r="L15" s="107"/>
      <c r="M15" s="107"/>
      <c r="N15" s="107"/>
      <c r="O15" s="107"/>
      <c r="P15" s="107"/>
      <c r="Q15" s="107"/>
      <c r="R15" s="107"/>
    </row>
    <row r="16" spans="1:33" ht="15.75" thickBot="1" x14ac:dyDescent="0.3">
      <c r="A16" s="19" t="s">
        <v>21</v>
      </c>
      <c r="B16" s="137"/>
      <c r="C16" s="137"/>
      <c r="D16" s="137"/>
      <c r="E16" s="137"/>
      <c r="F16" s="137"/>
      <c r="G16" s="137"/>
      <c r="H16" s="137"/>
      <c r="I16" s="137">
        <f>SUMIF(SUA!C:C,"032",SUA!E:E)</f>
        <v>0</v>
      </c>
      <c r="J16" s="13">
        <f>J12+J13-J14</f>
        <v>0</v>
      </c>
      <c r="K16" s="107"/>
      <c r="L16" s="123"/>
      <c r="M16" s="107"/>
      <c r="N16" s="130"/>
      <c r="O16" s="107"/>
      <c r="P16" s="107"/>
      <c r="Q16" s="107"/>
      <c r="R16" s="107"/>
    </row>
    <row r="17" spans="1:33" ht="15" customHeight="1" thickTop="1" thickBot="1" x14ac:dyDescent="0.3">
      <c r="A17" s="24" t="s">
        <v>183</v>
      </c>
      <c r="B17" s="142"/>
      <c r="C17" s="142"/>
      <c r="D17" s="142"/>
      <c r="E17" s="142"/>
      <c r="F17" s="142"/>
      <c r="G17" s="142"/>
      <c r="H17" s="142"/>
      <c r="I17" s="142"/>
      <c r="J17" s="26"/>
      <c r="K17" s="107"/>
      <c r="L17" s="107"/>
      <c r="M17" s="107"/>
      <c r="N17" s="107"/>
      <c r="O17" s="107"/>
      <c r="P17" s="107"/>
      <c r="Q17" s="107"/>
      <c r="R17" s="107"/>
    </row>
    <row r="18" spans="1:33" ht="15" customHeight="1" thickTop="1" thickBot="1" x14ac:dyDescent="0.3">
      <c r="A18" s="27" t="s">
        <v>23</v>
      </c>
      <c r="B18" s="101"/>
      <c r="C18" s="101"/>
      <c r="D18" s="101"/>
      <c r="E18" s="101"/>
      <c r="F18" s="101"/>
      <c r="G18" s="101"/>
      <c r="H18" s="101"/>
      <c r="I18" s="101"/>
      <c r="J18" s="11"/>
    </row>
    <row r="19" spans="1:33" ht="15" customHeight="1" thickBot="1" x14ac:dyDescent="0.3">
      <c r="A19" s="19" t="s">
        <v>21</v>
      </c>
      <c r="B19" s="104"/>
      <c r="C19" s="104"/>
      <c r="D19" s="104"/>
      <c r="E19" s="104"/>
      <c r="F19" s="104"/>
      <c r="G19" s="104"/>
      <c r="H19" s="104"/>
      <c r="I19" s="104"/>
      <c r="J19" s="13"/>
    </row>
    <row r="20" spans="1:33" ht="15.75" thickTop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1" spans="1:33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</row>
    <row r="22" spans="1:33" ht="15.75" thickBot="1" x14ac:dyDescent="0.3">
      <c r="A22" s="132" t="s">
        <v>9</v>
      </c>
      <c r="B22" s="132"/>
      <c r="C22" s="132"/>
      <c r="D22" s="132"/>
      <c r="E22" s="132"/>
      <c r="F22" s="132"/>
      <c r="G22" s="132"/>
      <c r="H22" s="132"/>
      <c r="I22" s="132"/>
      <c r="J22" s="132"/>
    </row>
    <row r="23" spans="1:33" ht="16.5" customHeight="1" thickTop="1" thickBot="1" x14ac:dyDescent="0.3">
      <c r="A23" s="243" t="s">
        <v>37</v>
      </c>
      <c r="B23" s="237" t="s">
        <v>3</v>
      </c>
      <c r="C23" s="238"/>
      <c r="D23" s="238"/>
      <c r="E23" s="238"/>
      <c r="F23" s="238"/>
      <c r="G23" s="238"/>
      <c r="H23" s="238"/>
      <c r="I23" s="238"/>
      <c r="J23" s="239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spans="1:33" ht="66.75" customHeight="1" thickTop="1" thickBot="1" x14ac:dyDescent="0.3">
      <c r="A24" s="244"/>
      <c r="B24" s="135" t="s">
        <v>33</v>
      </c>
      <c r="C24" s="134" t="s">
        <v>149</v>
      </c>
      <c r="D24" s="135" t="s">
        <v>34</v>
      </c>
      <c r="E24" s="134" t="s">
        <v>148</v>
      </c>
      <c r="F24" s="135" t="s">
        <v>35</v>
      </c>
      <c r="G24" s="135" t="s">
        <v>36</v>
      </c>
      <c r="H24" s="134" t="s">
        <v>138</v>
      </c>
      <c r="I24" s="135" t="s">
        <v>139</v>
      </c>
      <c r="J24" s="135" t="s">
        <v>8</v>
      </c>
    </row>
    <row r="25" spans="1:33" ht="15" customHeight="1" thickTop="1" thickBot="1" x14ac:dyDescent="0.3">
      <c r="A25" s="146" t="s">
        <v>16</v>
      </c>
      <c r="B25" s="125"/>
      <c r="C25" s="125"/>
      <c r="D25" s="125"/>
      <c r="E25" s="125"/>
      <c r="F25" s="125"/>
      <c r="G25" s="125"/>
      <c r="H25" s="125"/>
      <c r="I25" s="125"/>
      <c r="J25" s="12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33" ht="24" thickTop="1" thickBot="1" x14ac:dyDescent="0.3">
      <c r="A26" s="147" t="s">
        <v>17</v>
      </c>
      <c r="B26" s="137">
        <f>SUMIF(HKM!A:A,"061*",HKM!C:C)-SUMIF(HKM!A:A,"061*",HKM!D:D)</f>
        <v>365190.03</v>
      </c>
      <c r="C26" s="137">
        <f>SUMIF(HKM!A:A,"062*",HKM!C:C)-SUMIF(HKM!A:A,"062*",HKM!D:D)</f>
        <v>0</v>
      </c>
      <c r="D26" s="137">
        <f>SUMIF(HKM!A:A,"063*",HKM!C:C)-SUMIF(HKM!A:A,"063*",HKM!D:D)</f>
        <v>0</v>
      </c>
      <c r="E26" s="137">
        <f>SUMIF(HKM!A:A,"066*",HKM!C:C)-SUMIF(HKM!A:A,"066*",HKM!D:D)</f>
        <v>0</v>
      </c>
      <c r="F26" s="137">
        <f>SUMIF(HKM!A:A,"067*",HKM!C:C)-SUMIF(HKM!A:A,"067*",HKM!D:D)</f>
        <v>0</v>
      </c>
      <c r="G26" s="101"/>
      <c r="H26" s="137">
        <f>SUMIF(HKM!A:A,"043*",HKM!C:C)-SUMIF(HKM!A:A,"043*",HKM!D:D)</f>
        <v>0</v>
      </c>
      <c r="I26" s="137">
        <f>SUMIF(HKM!A:A,"053*",HKM!C:C)-SUMIF(HKM!A:A,"053*",HKM!D:D)</f>
        <v>0</v>
      </c>
      <c r="J26" s="122">
        <f>SUM(B26:I26)</f>
        <v>365190.03</v>
      </c>
      <c r="K26" s="107"/>
      <c r="L26" s="123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</row>
    <row r="27" spans="1:33" ht="15" customHeight="1" thickBot="1" x14ac:dyDescent="0.3">
      <c r="A27" s="148" t="s">
        <v>18</v>
      </c>
      <c r="B27" s="101"/>
      <c r="C27" s="101"/>
      <c r="D27" s="101"/>
      <c r="E27" s="101"/>
      <c r="F27" s="102"/>
      <c r="G27" s="101"/>
      <c r="H27" s="101"/>
      <c r="I27" s="101"/>
      <c r="J27" s="122">
        <f t="shared" ref="J27:J29" si="1">SUM(B27:I27)</f>
        <v>0</v>
      </c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</row>
    <row r="28" spans="1:33" ht="15" customHeight="1" thickBot="1" x14ac:dyDescent="0.3">
      <c r="A28" s="224" t="s">
        <v>19</v>
      </c>
      <c r="B28" s="160"/>
      <c r="C28" s="101"/>
      <c r="D28" s="101"/>
      <c r="E28" s="101"/>
      <c r="F28" s="102"/>
      <c r="G28" s="101"/>
      <c r="H28" s="101"/>
      <c r="I28" s="101"/>
      <c r="J28" s="122">
        <f t="shared" si="1"/>
        <v>0</v>
      </c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</row>
    <row r="29" spans="1:33" ht="15" customHeight="1" thickBot="1" x14ac:dyDescent="0.3">
      <c r="A29" s="226" t="s">
        <v>20</v>
      </c>
      <c r="B29" s="102"/>
      <c r="C29" s="101"/>
      <c r="D29" s="101"/>
      <c r="E29" s="101"/>
      <c r="F29" s="102"/>
      <c r="G29" s="101"/>
      <c r="H29" s="101"/>
      <c r="I29" s="101"/>
      <c r="J29" s="122">
        <f t="shared" si="1"/>
        <v>0</v>
      </c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  <row r="30" spans="1:33" ht="15.75" thickBot="1" x14ac:dyDescent="0.3">
      <c r="A30" s="149" t="s">
        <v>21</v>
      </c>
      <c r="B30" s="137">
        <f>SUMIF(HKM!A:A,"061*",HKM!K:K)-SUMIF(HKM!A:A,"061*",HKM!L:L)</f>
        <v>366030.03</v>
      </c>
      <c r="C30" s="137">
        <f>SUMIF(HKM!A:A,"062*",HKM!K:K)-SUMIF(HKM!A:A,"062*",HKM!L:L)</f>
        <v>0</v>
      </c>
      <c r="D30" s="137">
        <f>SUMIF(HKM!A:A,"063*",HKM!K:K)-SUMIF(HKM!A:A,"063*",HKM!L:L)</f>
        <v>0</v>
      </c>
      <c r="E30" s="137">
        <f>SUMIF(HKM!A:A,"066*",HKM!K:K)-SUMIF(HKM!A:A,"066*",HKM!L:L)</f>
        <v>0</v>
      </c>
      <c r="F30" s="137">
        <f>SUMIF(HKM!A:A,"067*",HKM!K:K)-SUMIF(HKM!A:A,"067*",HKM!L:L)</f>
        <v>0</v>
      </c>
      <c r="G30" s="101"/>
      <c r="H30" s="137">
        <f>SUMIF(HKM!A:A,"043*",HKM!K:K)-SUMIF(HKM!A:A,"043*",HKM!L:L)</f>
        <v>0</v>
      </c>
      <c r="I30" s="137">
        <f>SUMIF(HKM!A:A,"053*",HKM!K:K)-SUMIF(HKM!A:A,"053*",HKM!L:L)</f>
        <v>0</v>
      </c>
      <c r="J30" s="124">
        <f>J26+J27-J28+J29</f>
        <v>365190.03</v>
      </c>
      <c r="K30" s="107"/>
      <c r="L30" s="123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07"/>
    </row>
    <row r="31" spans="1:33" ht="15" customHeight="1" thickTop="1" thickBot="1" x14ac:dyDescent="0.3">
      <c r="A31" s="146" t="s">
        <v>24</v>
      </c>
      <c r="B31" s="138"/>
      <c r="C31" s="138"/>
      <c r="D31" s="138"/>
      <c r="E31" s="138"/>
      <c r="F31" s="138"/>
      <c r="G31" s="138"/>
      <c r="H31" s="138"/>
      <c r="I31" s="138"/>
      <c r="J31" s="126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</row>
    <row r="32" spans="1:33" ht="24" thickTop="1" thickBot="1" x14ac:dyDescent="0.3">
      <c r="A32" s="147" t="s">
        <v>23</v>
      </c>
      <c r="B32" s="137"/>
      <c r="C32" s="137"/>
      <c r="D32" s="137"/>
      <c r="E32" s="137"/>
      <c r="F32" s="137"/>
      <c r="G32" s="137"/>
      <c r="H32" s="137"/>
      <c r="I32" s="141"/>
      <c r="J32" s="122">
        <f>SUM(B32:I32)</f>
        <v>0</v>
      </c>
      <c r="K32" s="107"/>
      <c r="L32" s="123"/>
      <c r="M32" s="136"/>
      <c r="N32" s="130"/>
      <c r="O32" s="107"/>
      <c r="P32" s="107"/>
      <c r="Q32" s="107"/>
      <c r="R32" s="107"/>
      <c r="S32" s="107"/>
      <c r="T32" s="107"/>
      <c r="U32" s="107"/>
      <c r="V32" s="107"/>
      <c r="W32" s="107"/>
    </row>
    <row r="33" spans="1:23" ht="15" customHeight="1" thickBot="1" x14ac:dyDescent="0.3">
      <c r="A33" s="148" t="s">
        <v>18</v>
      </c>
      <c r="B33" s="101"/>
      <c r="C33" s="101"/>
      <c r="D33" s="101"/>
      <c r="E33" s="101"/>
      <c r="F33" s="101"/>
      <c r="G33" s="101"/>
      <c r="H33" s="101"/>
      <c r="I33" s="127"/>
      <c r="J33" s="122">
        <f t="shared" ref="J33:J34" si="2">SUM(B33:I33)</f>
        <v>0</v>
      </c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</row>
    <row r="34" spans="1:23" ht="15" customHeight="1" thickBot="1" x14ac:dyDescent="0.3">
      <c r="A34" s="148" t="s">
        <v>19</v>
      </c>
      <c r="B34" s="101"/>
      <c r="C34" s="101"/>
      <c r="D34" s="101"/>
      <c r="E34" s="101"/>
      <c r="F34" s="101"/>
      <c r="G34" s="101"/>
      <c r="H34" s="101"/>
      <c r="I34" s="127"/>
      <c r="J34" s="122">
        <f t="shared" si="2"/>
        <v>0</v>
      </c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</row>
    <row r="35" spans="1:23" ht="15" customHeight="1" thickBot="1" x14ac:dyDescent="0.3">
      <c r="A35" s="226" t="s">
        <v>20</v>
      </c>
      <c r="B35" s="102"/>
      <c r="C35" s="102"/>
      <c r="D35" s="102"/>
      <c r="E35" s="102"/>
      <c r="F35" s="102"/>
      <c r="G35" s="102"/>
      <c r="H35" s="102"/>
      <c r="I35" s="217"/>
      <c r="J35" s="21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</row>
    <row r="36" spans="1:23" ht="15.75" thickBot="1" x14ac:dyDescent="0.3">
      <c r="A36" s="149" t="s">
        <v>21</v>
      </c>
      <c r="B36" s="137"/>
      <c r="C36" s="137"/>
      <c r="D36" s="137"/>
      <c r="E36" s="137"/>
      <c r="F36" s="137"/>
      <c r="G36" s="137"/>
      <c r="H36" s="137"/>
      <c r="I36" s="137">
        <f>SUMIF(SUAM!C:C,"032",SUAM!E:E)</f>
        <v>0</v>
      </c>
      <c r="J36" s="124">
        <f>J32+J33-J34</f>
        <v>0</v>
      </c>
      <c r="K36" s="107"/>
      <c r="L36" s="123"/>
      <c r="M36" s="107"/>
      <c r="N36" s="130"/>
      <c r="O36" s="107"/>
      <c r="P36" s="107"/>
      <c r="Q36" s="107"/>
      <c r="R36" s="107"/>
      <c r="S36" s="107"/>
      <c r="T36" s="107"/>
      <c r="U36" s="107"/>
      <c r="V36" s="107"/>
      <c r="W36" s="107"/>
    </row>
    <row r="37" spans="1:23" ht="15" customHeight="1" thickTop="1" thickBot="1" x14ac:dyDescent="0.3">
      <c r="A37" s="146" t="s">
        <v>183</v>
      </c>
      <c r="B37" s="125"/>
      <c r="C37" s="125"/>
      <c r="D37" s="125"/>
      <c r="E37" s="125"/>
      <c r="F37" s="125"/>
      <c r="G37" s="125"/>
      <c r="H37" s="125"/>
      <c r="I37" s="125"/>
      <c r="J37" s="126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</row>
    <row r="38" spans="1:23" ht="15" customHeight="1" thickTop="1" thickBot="1" x14ac:dyDescent="0.3">
      <c r="A38" s="147" t="s">
        <v>23</v>
      </c>
      <c r="B38" s="127"/>
      <c r="C38" s="127"/>
      <c r="D38" s="127"/>
      <c r="E38" s="127"/>
      <c r="F38" s="127"/>
      <c r="G38" s="127"/>
      <c r="H38" s="127"/>
      <c r="I38" s="127"/>
      <c r="J38" s="122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</row>
    <row r="39" spans="1:23" ht="15" customHeight="1" thickBot="1" x14ac:dyDescent="0.3">
      <c r="A39" s="149" t="s">
        <v>21</v>
      </c>
      <c r="B39" s="128"/>
      <c r="C39" s="128"/>
      <c r="D39" s="128"/>
      <c r="E39" s="128"/>
      <c r="F39" s="128"/>
      <c r="G39" s="128"/>
      <c r="H39" s="128"/>
      <c r="I39" s="128"/>
      <c r="J39" s="124"/>
    </row>
    <row r="40" spans="1:23" ht="15.75" thickTop="1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23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23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</row>
  </sheetData>
  <mergeCells count="4">
    <mergeCell ref="A23:A24"/>
    <mergeCell ref="B23:J23"/>
    <mergeCell ref="A3:A4"/>
    <mergeCell ref="B3:J3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F7" sqref="F7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30" t="s">
        <v>194</v>
      </c>
    </row>
    <row r="2" spans="1:6" ht="16.5" customHeight="1" thickTop="1" thickBot="1" x14ac:dyDescent="0.3">
      <c r="A2" s="235" t="s">
        <v>38</v>
      </c>
      <c r="B2" s="251" t="s">
        <v>2</v>
      </c>
      <c r="C2" s="252"/>
      <c r="D2" s="252"/>
      <c r="E2" s="252"/>
      <c r="F2" s="253"/>
    </row>
    <row r="3" spans="1:6" ht="70.5" customHeight="1" thickBot="1" x14ac:dyDescent="0.3">
      <c r="A3" s="250"/>
      <c r="B3" s="37" t="s">
        <v>39</v>
      </c>
      <c r="C3" s="37" t="s">
        <v>40</v>
      </c>
      <c r="D3" s="23" t="s">
        <v>140</v>
      </c>
      <c r="E3" s="37" t="s">
        <v>141</v>
      </c>
      <c r="F3" s="37" t="s">
        <v>42</v>
      </c>
    </row>
    <row r="4" spans="1:6" ht="16.5" thickTop="1" thickBot="1" x14ac:dyDescent="0.3">
      <c r="A4" s="74" t="s">
        <v>43</v>
      </c>
      <c r="B4" s="33"/>
      <c r="C4" s="33"/>
      <c r="D4" s="33"/>
      <c r="E4" s="33"/>
      <c r="F4" s="34"/>
    </row>
    <row r="5" spans="1:6" ht="16.5" thickTop="1" thickBot="1" x14ac:dyDescent="0.3">
      <c r="A5" s="75"/>
      <c r="B5" s="35"/>
      <c r="C5" s="35"/>
      <c r="D5" s="18"/>
      <c r="E5" s="18"/>
      <c r="F5" s="11"/>
    </row>
    <row r="6" spans="1:6" ht="15.75" thickBot="1" x14ac:dyDescent="0.3">
      <c r="A6" s="75"/>
      <c r="B6" s="35"/>
      <c r="C6" s="35"/>
      <c r="D6" s="18"/>
      <c r="E6" s="18"/>
      <c r="F6" s="11"/>
    </row>
    <row r="7" spans="1:6" ht="15.75" thickBot="1" x14ac:dyDescent="0.3">
      <c r="A7" s="76"/>
      <c r="B7" s="36"/>
      <c r="C7" s="36"/>
      <c r="D7" s="20"/>
      <c r="E7" s="20"/>
      <c r="F7" s="137">
        <f>SUMIF(HK!A:A,"061*",HK!K:K)-SUMIF(HK!A:A,"061*",HK!L:L)</f>
        <v>366030.03</v>
      </c>
    </row>
    <row r="8" spans="1:6" ht="16.5" thickTop="1" thickBot="1" x14ac:dyDescent="0.3">
      <c r="A8" s="74" t="s">
        <v>44</v>
      </c>
      <c r="B8" s="33"/>
      <c r="C8" s="33"/>
      <c r="D8" s="33"/>
      <c r="E8" s="33"/>
      <c r="F8" s="161"/>
    </row>
    <row r="9" spans="1:6" ht="16.5" thickTop="1" thickBot="1" x14ac:dyDescent="0.3">
      <c r="A9" s="75"/>
      <c r="B9" s="35"/>
      <c r="C9" s="35"/>
      <c r="D9" s="18"/>
      <c r="E9" s="18"/>
      <c r="F9" s="155"/>
    </row>
    <row r="10" spans="1:6" ht="15.75" thickBot="1" x14ac:dyDescent="0.3">
      <c r="A10" s="75"/>
      <c r="B10" s="35"/>
      <c r="C10" s="35"/>
      <c r="D10" s="18"/>
      <c r="E10" s="18"/>
      <c r="F10" s="155"/>
    </row>
    <row r="11" spans="1:6" ht="15.75" thickBot="1" x14ac:dyDescent="0.3">
      <c r="A11" s="76"/>
      <c r="B11" s="36"/>
      <c r="C11" s="36"/>
      <c r="D11" s="20"/>
      <c r="E11" s="20"/>
      <c r="F11" s="137">
        <f>SUMIF(HK!A:A,"062*",HK!K:K)-SUMIF(HK!A:A,"062*",HK!L:L)</f>
        <v>0</v>
      </c>
    </row>
    <row r="12" spans="1:6" ht="16.5" thickTop="1" thickBot="1" x14ac:dyDescent="0.3">
      <c r="A12" s="74" t="s">
        <v>45</v>
      </c>
      <c r="B12" s="33"/>
      <c r="C12" s="33"/>
      <c r="D12" s="33"/>
      <c r="E12" s="33"/>
      <c r="F12" s="161"/>
    </row>
    <row r="13" spans="1:6" ht="16.5" thickTop="1" thickBot="1" x14ac:dyDescent="0.3">
      <c r="A13" s="75"/>
      <c r="B13" s="35"/>
      <c r="C13" s="35"/>
      <c r="D13" s="18"/>
      <c r="E13" s="18"/>
      <c r="F13" s="155"/>
    </row>
    <row r="14" spans="1:6" ht="15.75" thickBot="1" x14ac:dyDescent="0.3">
      <c r="A14" s="75"/>
      <c r="B14" s="35"/>
      <c r="C14" s="35"/>
      <c r="D14" s="18"/>
      <c r="E14" s="18"/>
      <c r="F14" s="155"/>
    </row>
    <row r="15" spans="1:6" ht="15.75" thickBot="1" x14ac:dyDescent="0.3">
      <c r="A15" s="76"/>
      <c r="B15" s="36"/>
      <c r="C15" s="36"/>
      <c r="D15" s="20"/>
      <c r="E15" s="20"/>
      <c r="F15" s="137">
        <f>SUMIF(HK!A:A,"063*",HK!K:K)-SUMIF(HK!A:A,"063*",HK!L:L)</f>
        <v>0</v>
      </c>
    </row>
    <row r="16" spans="1:6" ht="16.5" thickTop="1" thickBot="1" x14ac:dyDescent="0.3">
      <c r="A16" s="74" t="s">
        <v>46</v>
      </c>
      <c r="B16" s="33"/>
      <c r="C16" s="33"/>
      <c r="D16" s="33"/>
      <c r="E16" s="33"/>
      <c r="F16" s="161"/>
    </row>
    <row r="17" spans="1:6" ht="16.5" thickTop="1" thickBot="1" x14ac:dyDescent="0.3">
      <c r="A17" s="77"/>
      <c r="B17" s="35"/>
      <c r="C17" s="35"/>
      <c r="D17" s="18"/>
      <c r="E17" s="18"/>
      <c r="F17" s="155"/>
    </row>
    <row r="18" spans="1:6" ht="15.75" thickBot="1" x14ac:dyDescent="0.3">
      <c r="A18" s="53"/>
      <c r="B18" s="36"/>
      <c r="C18" s="36"/>
      <c r="D18" s="85"/>
      <c r="E18" s="28"/>
      <c r="F18" s="137">
        <f>SUMIF(HK!A:A,"043*",HK!K:K)-SUMIF(HK!A:A,"043*",HK!L:L)</f>
        <v>0</v>
      </c>
    </row>
    <row r="19" spans="1:6" ht="24" thickTop="1" thickBot="1" x14ac:dyDescent="0.3">
      <c r="A19" s="19" t="s">
        <v>47</v>
      </c>
      <c r="B19" s="21" t="s">
        <v>10</v>
      </c>
      <c r="C19" s="21" t="s">
        <v>10</v>
      </c>
      <c r="D19" s="21" t="s">
        <v>10</v>
      </c>
      <c r="E19" s="21" t="s">
        <v>10</v>
      </c>
      <c r="F19" s="13">
        <f>SUM(F17:F18)+SUM(F13:F15)+SUM(F9:F11)+SUM(F5:F7)</f>
        <v>366030.03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0"/>
  <sheetViews>
    <sheetView showGridLines="0" zoomScaleNormal="100" workbookViewId="0">
      <selection activeCell="D19" sqref="D19"/>
    </sheetView>
  </sheetViews>
  <sheetFormatPr defaultRowHeight="15" x14ac:dyDescent="0.25"/>
  <cols>
    <col min="1" max="1" width="25.85546875" customWidth="1"/>
    <col min="2" max="4" width="20.140625" customWidth="1"/>
    <col min="5" max="6" width="20.42578125" customWidth="1"/>
  </cols>
  <sheetData>
    <row r="1" spans="1:6" ht="16.5" x14ac:dyDescent="0.3">
      <c r="A1" s="1" t="s">
        <v>187</v>
      </c>
    </row>
    <row r="2" spans="1:6" ht="17.25" thickBot="1" x14ac:dyDescent="0.35">
      <c r="A2" s="2" t="s">
        <v>7</v>
      </c>
    </row>
    <row r="3" spans="1:6" ht="22.5" customHeight="1" thickTop="1" thickBot="1" x14ac:dyDescent="0.3">
      <c r="A3" s="213" t="s">
        <v>54</v>
      </c>
      <c r="B3" s="214" t="s">
        <v>55</v>
      </c>
      <c r="C3" s="214" t="s">
        <v>56</v>
      </c>
      <c r="D3" s="214" t="s">
        <v>53</v>
      </c>
    </row>
    <row r="4" spans="1:6" ht="22.5" customHeight="1" thickTop="1" thickBot="1" x14ac:dyDescent="0.3">
      <c r="A4" s="41" t="s">
        <v>57</v>
      </c>
      <c r="B4" s="33"/>
      <c r="C4" s="33"/>
      <c r="D4" s="34"/>
    </row>
    <row r="5" spans="1:6" ht="22.5" customHeight="1" thickTop="1" thickBot="1" x14ac:dyDescent="0.3">
      <c r="A5" s="10" t="s">
        <v>58</v>
      </c>
      <c r="B5" s="18"/>
      <c r="C5" s="18"/>
      <c r="D5" s="165">
        <f>SUMIF(SUA!C:C,"042",SUA!F:F)</f>
        <v>0</v>
      </c>
      <c r="E5" s="166"/>
      <c r="F5" s="163"/>
    </row>
    <row r="6" spans="1:6" ht="22.5" customHeight="1" thickBot="1" x14ac:dyDescent="0.3">
      <c r="A6" s="10" t="s">
        <v>50</v>
      </c>
      <c r="B6" s="18"/>
      <c r="C6" s="18"/>
      <c r="D6" s="165">
        <f>SUMIF(SUA!C:C,"047",SUA!F:F)</f>
        <v>0</v>
      </c>
      <c r="E6" s="166"/>
      <c r="F6" s="163"/>
    </row>
    <row r="7" spans="1:6" ht="22.5" customHeight="1" thickBot="1" x14ac:dyDescent="0.3">
      <c r="A7" s="10" t="s">
        <v>59</v>
      </c>
      <c r="B7" s="18"/>
      <c r="C7" s="18"/>
      <c r="D7" s="165">
        <f>SUMIF(SUA!C:C,"048",SUA!F:F)</f>
        <v>0</v>
      </c>
      <c r="E7" s="166"/>
      <c r="F7" s="163"/>
    </row>
    <row r="8" spans="1:6" ht="22.5" customHeight="1" thickBot="1" x14ac:dyDescent="0.3">
      <c r="A8" s="10" t="s">
        <v>51</v>
      </c>
      <c r="B8" s="18"/>
      <c r="C8" s="18"/>
      <c r="D8" s="165">
        <f>SUMIF(SUA!C:C,"049",SUA!F:F)</f>
        <v>0</v>
      </c>
      <c r="E8" s="166"/>
      <c r="F8" s="163"/>
    </row>
    <row r="9" spans="1:6" ht="22.5" customHeight="1" thickBot="1" x14ac:dyDescent="0.3">
      <c r="A9" s="10" t="s">
        <v>52</v>
      </c>
      <c r="B9" s="18"/>
      <c r="C9" s="18"/>
      <c r="D9" s="165">
        <f>SUMIF(SUA!C:C,"051",SUA!F:F)</f>
        <v>0</v>
      </c>
      <c r="E9" s="166"/>
      <c r="F9" s="163"/>
    </row>
    <row r="10" spans="1:6" ht="22.5" customHeight="1" thickBot="1" x14ac:dyDescent="0.3">
      <c r="A10" s="19" t="s">
        <v>60</v>
      </c>
      <c r="B10" s="38">
        <f>SUM(B5:B9)</f>
        <v>0</v>
      </c>
      <c r="C10" s="38">
        <f>SUM(C5:C9)</f>
        <v>0</v>
      </c>
      <c r="D10" s="162">
        <f>SUM(D5:D9)</f>
        <v>0</v>
      </c>
      <c r="E10" s="166"/>
      <c r="F10" s="166"/>
    </row>
    <row r="11" spans="1:6" ht="22.5" customHeight="1" thickTop="1" thickBot="1" x14ac:dyDescent="0.3">
      <c r="A11" s="41" t="s">
        <v>61</v>
      </c>
      <c r="B11" s="33"/>
      <c r="C11" s="33"/>
      <c r="D11" s="161"/>
      <c r="E11" s="166"/>
      <c r="F11" s="166"/>
    </row>
    <row r="12" spans="1:6" ht="22.5" customHeight="1" thickTop="1" thickBot="1" x14ac:dyDescent="0.3">
      <c r="A12" s="10" t="s">
        <v>62</v>
      </c>
      <c r="B12" s="18"/>
      <c r="C12" s="18"/>
      <c r="D12" s="165">
        <f>SUMIF(SUA!C:C,"054",SUA!F:F)</f>
        <v>7217.68</v>
      </c>
      <c r="E12" s="166"/>
      <c r="F12" s="163"/>
    </row>
    <row r="13" spans="1:6" ht="22.5" customHeight="1" thickBot="1" x14ac:dyDescent="0.3">
      <c r="A13" s="10" t="s">
        <v>50</v>
      </c>
      <c r="B13" s="18"/>
      <c r="C13" s="18"/>
      <c r="D13" s="165">
        <f>SUMIF(SUA!C:C,"059",SUA!F:F)</f>
        <v>0</v>
      </c>
      <c r="E13" s="166"/>
      <c r="F13" s="163"/>
    </row>
    <row r="14" spans="1:6" ht="22.5" customHeight="1" thickBot="1" x14ac:dyDescent="0.3">
      <c r="A14" s="10" t="s">
        <v>59</v>
      </c>
      <c r="B14" s="18"/>
      <c r="C14" s="18"/>
      <c r="D14" s="165">
        <f>SUMIF(SUA!C:C,"060",SUA!F:F)</f>
        <v>0</v>
      </c>
      <c r="E14" s="166"/>
      <c r="F14" s="163"/>
    </row>
    <row r="15" spans="1:6" ht="22.5" customHeight="1" thickBot="1" x14ac:dyDescent="0.3">
      <c r="A15" s="10" t="s">
        <v>51</v>
      </c>
      <c r="B15" s="18"/>
      <c r="C15" s="18"/>
      <c r="D15" s="165">
        <f>SUMIF(SUA!C:C,"061",SUA!F:F)</f>
        <v>0</v>
      </c>
      <c r="E15" s="166"/>
      <c r="F15" s="163"/>
    </row>
    <row r="16" spans="1:6" ht="22.5" customHeight="1" thickBot="1" x14ac:dyDescent="0.3">
      <c r="A16" s="10" t="s">
        <v>63</v>
      </c>
      <c r="B16" s="18"/>
      <c r="C16" s="18"/>
      <c r="D16" s="165">
        <f>SUMIF(SUA!C:C,"062",SUA!F:F)</f>
        <v>0</v>
      </c>
      <c r="E16" s="166"/>
      <c r="F16" s="163"/>
    </row>
    <row r="17" spans="1:6" ht="22.5" customHeight="1" thickBot="1" x14ac:dyDescent="0.3">
      <c r="A17" s="10" t="s">
        <v>64</v>
      </c>
      <c r="B17" s="18"/>
      <c r="C17" s="18"/>
      <c r="D17" s="165">
        <f>SUMIF(SUA!C:C,"063",SUA!F:F)</f>
        <v>789.18</v>
      </c>
      <c r="E17" s="166"/>
      <c r="F17" s="163"/>
    </row>
    <row r="18" spans="1:6" ht="22.5" customHeight="1" thickBot="1" x14ac:dyDescent="0.3">
      <c r="A18" s="10" t="s">
        <v>52</v>
      </c>
      <c r="B18" s="18"/>
      <c r="C18" s="18"/>
      <c r="D18" s="165">
        <f>SUMIF(SUA!C:C,"065",SUA!F:F)</f>
        <v>195.07</v>
      </c>
      <c r="E18" s="166"/>
      <c r="F18" s="163"/>
    </row>
    <row r="19" spans="1:6" ht="22.5" customHeight="1" thickBot="1" x14ac:dyDescent="0.3">
      <c r="A19" s="19" t="s">
        <v>65</v>
      </c>
      <c r="B19" s="38">
        <f>SUM(B12:B18)</f>
        <v>0</v>
      </c>
      <c r="C19" s="38">
        <f>SUM(C12:C18)</f>
        <v>0</v>
      </c>
      <c r="D19" s="40">
        <f>SUM(D12:D18)</f>
        <v>8201.93</v>
      </c>
    </row>
    <row r="20" spans="1:6" ht="17.25" thickTop="1" x14ac:dyDescent="0.3">
      <c r="A20" s="5"/>
    </row>
  </sheetData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9"/>
  <sheetViews>
    <sheetView showGridLines="0" zoomScaleNormal="100" workbookViewId="0">
      <selection activeCell="C7" sqref="C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6.5" x14ac:dyDescent="0.3">
      <c r="A1" s="1" t="s">
        <v>188</v>
      </c>
    </row>
    <row r="2" spans="1:3" ht="17.25" thickBot="1" x14ac:dyDescent="0.35">
      <c r="A2" s="4" t="s">
        <v>66</v>
      </c>
    </row>
    <row r="3" spans="1:3" ht="24" thickTop="1" thickBot="1" x14ac:dyDescent="0.3">
      <c r="A3" s="208" t="s">
        <v>54</v>
      </c>
      <c r="B3" s="210" t="s">
        <v>2</v>
      </c>
      <c r="C3" s="210" t="s">
        <v>3</v>
      </c>
    </row>
    <row r="4" spans="1:3" ht="16.5" thickTop="1" thickBot="1" x14ac:dyDescent="0.3">
      <c r="A4" s="91" t="s">
        <v>67</v>
      </c>
      <c r="B4" s="167">
        <f>SUMIF(SUA!C:C,"072",SUA!F:F)</f>
        <v>3270.96</v>
      </c>
      <c r="C4" s="168">
        <f>SUMIF(SUA!C:C,"072",SUA!G:G)</f>
        <v>3015.9</v>
      </c>
    </row>
    <row r="5" spans="1:3" ht="15.75" thickBot="1" x14ac:dyDescent="0.3">
      <c r="A5" s="92" t="s">
        <v>68</v>
      </c>
      <c r="B5" s="169">
        <f>SUMIF(SUA!C:C,"073",SUA!F:F)-(SUMIF(HK!A:A,"261*",HK!K:K)+SUMIF(HK!A:A,"261*",HK!L:L))</f>
        <v>-24614.5</v>
      </c>
      <c r="C5" s="170">
        <f>SUMIF(SUA!C:C,"073",SUA!G:G)-(SUMIF(HK!A:A,"261*",HK!C:C)+SUMIF(HK!A:A,"261*",HK!D:D))</f>
        <v>-25201.66</v>
      </c>
    </row>
    <row r="6" spans="1:3" ht="15.75" thickBot="1" x14ac:dyDescent="0.3">
      <c r="A6" s="92" t="s">
        <v>69</v>
      </c>
      <c r="B6" s="169">
        <f>SUMIF(SUA!C:C,"030",SUA!F:F)</f>
        <v>0</v>
      </c>
      <c r="C6" s="170">
        <f>SUMIF(SUA!C:C,"030",SUA!G:G)</f>
        <v>0</v>
      </c>
    </row>
    <row r="7" spans="1:3" ht="15.75" thickBot="1" x14ac:dyDescent="0.3">
      <c r="A7" s="92" t="s">
        <v>70</v>
      </c>
      <c r="B7" s="169">
        <f>SUMIF(HK!A:A,"261*",HK!K:K)-SUMIF(HK!A:A,"261*",HK!L:L)</f>
        <v>0</v>
      </c>
      <c r="C7" s="170">
        <f>SUMIF(HK!A:A,"261*",HK!C:C)-SUMIF(HK!A:A,"261*",HK!D:D)</f>
        <v>0</v>
      </c>
    </row>
    <row r="8" spans="1:3" ht="15.75" thickBot="1" x14ac:dyDescent="0.3">
      <c r="A8" s="93" t="s">
        <v>8</v>
      </c>
      <c r="B8" s="94">
        <f>SUM(B4:B7)</f>
        <v>-21343.54</v>
      </c>
      <c r="C8" s="40">
        <f>SUM(C4:C7)</f>
        <v>-22185.759999999998</v>
      </c>
    </row>
    <row r="9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27"/>
  <sheetViews>
    <sheetView showGridLines="0" zoomScaleNormal="100" workbookViewId="0">
      <selection activeCell="B26" sqref="B26"/>
    </sheetView>
  </sheetViews>
  <sheetFormatPr defaultRowHeight="15" x14ac:dyDescent="0.25"/>
  <cols>
    <col min="1" max="1" width="41" customWidth="1"/>
    <col min="2" max="2" width="45.42578125" customWidth="1"/>
    <col min="3" max="7" width="12" customWidth="1"/>
  </cols>
  <sheetData>
    <row r="1" spans="1:2" ht="16.5" customHeight="1" x14ac:dyDescent="0.3">
      <c r="A1" s="254" t="s">
        <v>189</v>
      </c>
      <c r="B1" s="254"/>
    </row>
    <row r="2" spans="1:2" ht="15.75" thickBot="1" x14ac:dyDescent="0.3">
      <c r="A2" s="16" t="s">
        <v>7</v>
      </c>
      <c r="B2" s="16"/>
    </row>
    <row r="3" spans="1:2" ht="16.5" thickTop="1" thickBot="1" x14ac:dyDescent="0.3">
      <c r="A3" s="51" t="s">
        <v>54</v>
      </c>
      <c r="B3" s="211" t="s">
        <v>3</v>
      </c>
    </row>
    <row r="4" spans="1:2" ht="16.5" thickTop="1" thickBot="1" x14ac:dyDescent="0.3">
      <c r="A4" s="43" t="s">
        <v>71</v>
      </c>
      <c r="B4" s="179">
        <f>IF(SUMIF(SUP!C:C,"100",SUP!E:E)&gt; 0,SUMIF(SUP!C:C,"100",SUP!E:E), 0)</f>
        <v>0</v>
      </c>
    </row>
    <row r="5" spans="1:2" ht="16.5" thickTop="1" thickBot="1" x14ac:dyDescent="0.3">
      <c r="A5" s="43" t="s">
        <v>72</v>
      </c>
      <c r="B5" s="176" t="s">
        <v>2</v>
      </c>
    </row>
    <row r="6" spans="1:2" ht="16.5" thickTop="1" thickBot="1" x14ac:dyDescent="0.3">
      <c r="A6" s="212" t="s">
        <v>73</v>
      </c>
      <c r="B6" s="177"/>
    </row>
    <row r="7" spans="1:2" ht="15.75" thickBot="1" x14ac:dyDescent="0.3">
      <c r="A7" s="212" t="s">
        <v>74</v>
      </c>
      <c r="B7" s="177"/>
    </row>
    <row r="8" spans="1:2" ht="15.75" thickBot="1" x14ac:dyDescent="0.3">
      <c r="A8" s="212" t="s">
        <v>75</v>
      </c>
      <c r="B8" s="177"/>
    </row>
    <row r="9" spans="1:2" ht="15.75" thickBot="1" x14ac:dyDescent="0.3">
      <c r="A9" s="212" t="s">
        <v>76</v>
      </c>
      <c r="B9" s="177"/>
    </row>
    <row r="10" spans="1:2" ht="15.75" thickBot="1" x14ac:dyDescent="0.3">
      <c r="A10" s="212" t="s">
        <v>77</v>
      </c>
      <c r="B10" s="177"/>
    </row>
    <row r="11" spans="1:2" ht="15.75" thickBot="1" x14ac:dyDescent="0.3">
      <c r="A11" s="212" t="s">
        <v>78</v>
      </c>
      <c r="B11" s="177"/>
    </row>
    <row r="12" spans="1:2" ht="15.75" thickBot="1" x14ac:dyDescent="0.3">
      <c r="A12" s="212" t="s">
        <v>79</v>
      </c>
      <c r="B12" s="177"/>
    </row>
    <row r="13" spans="1:2" ht="15.75" thickBot="1" x14ac:dyDescent="0.3">
      <c r="A13" s="212" t="s">
        <v>80</v>
      </c>
      <c r="B13" s="177"/>
    </row>
    <row r="14" spans="1:2" ht="15.75" thickBot="1" x14ac:dyDescent="0.3">
      <c r="A14" s="43" t="s">
        <v>8</v>
      </c>
      <c r="B14" s="178">
        <f>SUM(B6:B13)</f>
        <v>0</v>
      </c>
    </row>
    <row r="15" spans="1:2" ht="15.75" thickTop="1" x14ac:dyDescent="0.25">
      <c r="A15" s="16"/>
      <c r="B15" s="150"/>
    </row>
    <row r="16" spans="1:2" ht="15.75" thickBot="1" x14ac:dyDescent="0.3">
      <c r="A16" s="16" t="s">
        <v>9</v>
      </c>
      <c r="B16" s="150"/>
    </row>
    <row r="17" spans="1:2" ht="16.5" thickTop="1" thickBot="1" x14ac:dyDescent="0.3">
      <c r="A17" s="51" t="s">
        <v>54</v>
      </c>
      <c r="B17" s="209" t="s">
        <v>3</v>
      </c>
    </row>
    <row r="18" spans="1:2" ht="16.5" thickTop="1" thickBot="1" x14ac:dyDescent="0.3">
      <c r="A18" s="43" t="s">
        <v>81</v>
      </c>
      <c r="B18" s="179">
        <f>IF(SUMIF(SUP!C:C,"100",SUP!E:E)&gt; 0,0,SUMIF(SUP!C:C,"100",SUP!E:E))</f>
        <v>-2271.7399999999998</v>
      </c>
    </row>
    <row r="19" spans="1:2" ht="16.5" thickTop="1" thickBot="1" x14ac:dyDescent="0.3">
      <c r="A19" s="43" t="s">
        <v>82</v>
      </c>
      <c r="B19" s="176" t="s">
        <v>2</v>
      </c>
    </row>
    <row r="20" spans="1:2" ht="16.5" thickTop="1" thickBot="1" x14ac:dyDescent="0.3">
      <c r="A20" s="212" t="s">
        <v>83</v>
      </c>
      <c r="B20" s="177"/>
    </row>
    <row r="21" spans="1:2" ht="15.75" thickBot="1" x14ac:dyDescent="0.3">
      <c r="A21" s="212" t="s">
        <v>84</v>
      </c>
      <c r="B21" s="48"/>
    </row>
    <row r="22" spans="1:2" ht="15.75" thickBot="1" x14ac:dyDescent="0.3">
      <c r="A22" s="212" t="s">
        <v>85</v>
      </c>
      <c r="B22" s="48"/>
    </row>
    <row r="23" spans="1:2" ht="15.75" thickBot="1" x14ac:dyDescent="0.3">
      <c r="A23" s="212" t="s">
        <v>86</v>
      </c>
      <c r="B23" s="48"/>
    </row>
    <row r="24" spans="1:2" ht="15.75" thickBot="1" x14ac:dyDescent="0.3">
      <c r="A24" s="212" t="s">
        <v>87</v>
      </c>
      <c r="B24" s="48"/>
    </row>
    <row r="25" spans="1:2" ht="15.75" thickBot="1" x14ac:dyDescent="0.3">
      <c r="A25" s="212" t="s">
        <v>80</v>
      </c>
      <c r="B25" s="48"/>
    </row>
    <row r="26" spans="1:2" ht="15.75" thickBot="1" x14ac:dyDescent="0.3">
      <c r="A26" s="43" t="s">
        <v>88</v>
      </c>
      <c r="B26" s="46">
        <f>SUM(B20:B25)</f>
        <v>0</v>
      </c>
    </row>
    <row r="27" spans="1:2" ht="15.75" thickTop="1" x14ac:dyDescent="0.25"/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6"/>
  <sheetViews>
    <sheetView showGridLines="0" zoomScaleNormal="100" workbookViewId="0">
      <selection activeCell="B11" sqref="B11"/>
    </sheetView>
  </sheetViews>
  <sheetFormatPr defaultRowHeight="15" x14ac:dyDescent="0.25"/>
  <cols>
    <col min="1" max="1" width="20.7109375" customWidth="1"/>
    <col min="2" max="2" width="16.140625" bestFit="1" customWidth="1"/>
    <col min="3" max="5" width="13.140625" customWidth="1"/>
    <col min="6" max="6" width="16.140625" bestFit="1" customWidth="1"/>
    <col min="7" max="7" width="23.28515625" customWidth="1"/>
  </cols>
  <sheetData>
    <row r="1" spans="1:9" x14ac:dyDescent="0.25">
      <c r="A1" s="232" t="s">
        <v>196</v>
      </c>
      <c r="B1" s="16"/>
      <c r="C1" s="16"/>
      <c r="D1" s="16"/>
      <c r="E1" s="16"/>
      <c r="F1" s="16"/>
    </row>
    <row r="2" spans="1:9" ht="15.75" thickBot="1" x14ac:dyDescent="0.3">
      <c r="A2" s="16" t="s">
        <v>7</v>
      </c>
      <c r="B2" s="16"/>
      <c r="C2" s="16"/>
      <c r="D2" s="16"/>
      <c r="E2" s="16"/>
      <c r="F2" s="16"/>
    </row>
    <row r="3" spans="1:9" ht="16.5" thickTop="1" thickBot="1" x14ac:dyDescent="0.3">
      <c r="A3" s="258" t="s">
        <v>54</v>
      </c>
      <c r="B3" s="255" t="s">
        <v>2</v>
      </c>
      <c r="C3" s="256"/>
      <c r="D3" s="256"/>
      <c r="E3" s="256"/>
      <c r="F3" s="257"/>
    </row>
    <row r="4" spans="1:9" s="3" customFormat="1" ht="33" customHeight="1" thickTop="1" thickBot="1" x14ac:dyDescent="0.3">
      <c r="A4" s="259"/>
      <c r="B4" s="17" t="s">
        <v>23</v>
      </c>
      <c r="C4" s="17" t="s">
        <v>49</v>
      </c>
      <c r="D4" s="59" t="s">
        <v>89</v>
      </c>
      <c r="E4" s="84" t="s">
        <v>90</v>
      </c>
      <c r="F4" s="17" t="s">
        <v>21</v>
      </c>
    </row>
    <row r="5" spans="1:9" ht="21" customHeight="1" thickTop="1" thickBot="1" x14ac:dyDescent="0.3">
      <c r="A5" s="53" t="s">
        <v>91</v>
      </c>
      <c r="B5" s="175">
        <f>SUMIF(HK!A:A,"459*",HK!D:D)-SUMIF(HK!A:A,"459*",HK!C:C)</f>
        <v>0</v>
      </c>
      <c r="C5" s="181">
        <f>SUM(C6:C10)</f>
        <v>0</v>
      </c>
      <c r="D5" s="181">
        <f t="shared" ref="D5:E5" si="0">SUM(D6:D10)</f>
        <v>0</v>
      </c>
      <c r="E5" s="181">
        <f t="shared" si="0"/>
        <v>0</v>
      </c>
      <c r="F5" s="188">
        <f>SUMIF(HK!A:A,"459*",HK!L:L)-SUMIF(HK!A:A,"459*",HK!K:K)</f>
        <v>0</v>
      </c>
      <c r="G5" s="166"/>
      <c r="H5" s="163"/>
      <c r="I5" s="166"/>
    </row>
    <row r="6" spans="1:9" ht="21" customHeight="1" thickTop="1" thickBot="1" x14ac:dyDescent="0.3">
      <c r="A6" s="62"/>
      <c r="B6" s="173"/>
      <c r="C6" s="171"/>
      <c r="D6" s="182"/>
      <c r="E6" s="182"/>
      <c r="F6" s="183">
        <f t="shared" ref="F6:F17" si="1">SUM(B6:E6)</f>
        <v>0</v>
      </c>
      <c r="G6" s="166"/>
      <c r="H6" s="166"/>
      <c r="I6" s="166"/>
    </row>
    <row r="7" spans="1:9" ht="21" customHeight="1" thickBot="1" x14ac:dyDescent="0.3">
      <c r="A7" s="62"/>
      <c r="B7" s="173"/>
      <c r="C7" s="171"/>
      <c r="D7" s="184"/>
      <c r="E7" s="184"/>
      <c r="F7" s="183">
        <f t="shared" si="1"/>
        <v>0</v>
      </c>
      <c r="G7" s="166"/>
      <c r="H7" s="166"/>
      <c r="I7" s="166"/>
    </row>
    <row r="8" spans="1:9" ht="21" customHeight="1" thickBot="1" x14ac:dyDescent="0.3">
      <c r="A8" s="62"/>
      <c r="B8" s="173"/>
      <c r="C8" s="171"/>
      <c r="D8" s="184"/>
      <c r="E8" s="184"/>
      <c r="F8" s="183">
        <f t="shared" si="1"/>
        <v>0</v>
      </c>
      <c r="G8" s="166"/>
      <c r="H8" s="166"/>
      <c r="I8" s="166"/>
    </row>
    <row r="9" spans="1:9" ht="21" customHeight="1" thickBot="1" x14ac:dyDescent="0.3">
      <c r="A9" s="62"/>
      <c r="B9" s="173"/>
      <c r="C9" s="171"/>
      <c r="D9" s="184"/>
      <c r="E9" s="184"/>
      <c r="F9" s="183">
        <f t="shared" si="1"/>
        <v>0</v>
      </c>
      <c r="G9" s="166"/>
      <c r="H9" s="166"/>
      <c r="I9" s="166"/>
    </row>
    <row r="10" spans="1:9" ht="21" customHeight="1" thickBot="1" x14ac:dyDescent="0.3">
      <c r="A10" s="82"/>
      <c r="B10" s="174"/>
      <c r="C10" s="185"/>
      <c r="D10" s="186"/>
      <c r="E10" s="186"/>
      <c r="F10" s="187">
        <f t="shared" si="1"/>
        <v>0</v>
      </c>
      <c r="G10" s="166"/>
      <c r="H10" s="166"/>
      <c r="I10" s="166"/>
    </row>
    <row r="11" spans="1:9" ht="21" customHeight="1" thickTop="1" thickBot="1" x14ac:dyDescent="0.3">
      <c r="A11" s="53" t="s">
        <v>92</v>
      </c>
      <c r="B11" s="189">
        <f>SUMIF(HK!A:A,"323*",HK!D:D)-SUMIF(HK!A:A,"323*",HK!C:C)</f>
        <v>2953.61</v>
      </c>
      <c r="C11" s="185">
        <f>SUM(C12:C16)</f>
        <v>0</v>
      </c>
      <c r="D11" s="185">
        <f t="shared" ref="D11:E11" si="2">SUM(D12:D16)</f>
        <v>0</v>
      </c>
      <c r="E11" s="185">
        <f t="shared" si="2"/>
        <v>0</v>
      </c>
      <c r="F11" s="190">
        <f>SUMIF(HK!A:A,"323*",HK!L:L)-SUMIF(HK!A:A,"323*",HK!K:K)</f>
        <v>1091.28</v>
      </c>
      <c r="G11" s="166"/>
      <c r="H11" s="163"/>
      <c r="I11" s="166"/>
    </row>
    <row r="12" spans="1:9" ht="21" customHeight="1" thickTop="1" thickBot="1" x14ac:dyDescent="0.3">
      <c r="A12" s="62"/>
      <c r="B12" s="173"/>
      <c r="C12" s="171"/>
      <c r="D12" s="182"/>
      <c r="E12" s="182"/>
      <c r="F12" s="183">
        <f t="shared" si="1"/>
        <v>0</v>
      </c>
      <c r="G12" s="166"/>
      <c r="H12" s="166"/>
      <c r="I12" s="166"/>
    </row>
    <row r="13" spans="1:9" ht="21" customHeight="1" thickBot="1" x14ac:dyDescent="0.3">
      <c r="A13" s="62"/>
      <c r="B13" s="88"/>
      <c r="C13" s="47"/>
      <c r="D13" s="71"/>
      <c r="E13" s="71"/>
      <c r="F13" s="79">
        <f t="shared" si="1"/>
        <v>0</v>
      </c>
    </row>
    <row r="14" spans="1:9" ht="21" customHeight="1" thickBot="1" x14ac:dyDescent="0.3">
      <c r="A14" s="62"/>
      <c r="B14" s="88"/>
      <c r="C14" s="47"/>
      <c r="D14" s="71"/>
      <c r="E14" s="71"/>
      <c r="F14" s="79">
        <f t="shared" si="1"/>
        <v>0</v>
      </c>
    </row>
    <row r="15" spans="1:9" ht="21" customHeight="1" thickBot="1" x14ac:dyDescent="0.3">
      <c r="A15" s="62"/>
      <c r="B15" s="88"/>
      <c r="C15" s="47"/>
      <c r="D15" s="71"/>
      <c r="E15" s="71"/>
      <c r="F15" s="79">
        <f t="shared" si="1"/>
        <v>0</v>
      </c>
    </row>
    <row r="16" spans="1:9" ht="21" customHeight="1" thickBot="1" x14ac:dyDescent="0.3">
      <c r="A16" s="62"/>
      <c r="B16" s="88"/>
      <c r="C16" s="47"/>
      <c r="D16" s="71"/>
      <c r="E16" s="71"/>
      <c r="F16" s="79">
        <f t="shared" si="1"/>
        <v>0</v>
      </c>
    </row>
    <row r="17" spans="1:9" ht="21" customHeight="1" thickBot="1" x14ac:dyDescent="0.3">
      <c r="A17" s="82"/>
      <c r="B17" s="96"/>
      <c r="C17" s="49"/>
      <c r="D17" s="80"/>
      <c r="E17" s="80"/>
      <c r="F17" s="81">
        <f t="shared" si="1"/>
        <v>0</v>
      </c>
    </row>
    <row r="18" spans="1:9" ht="15.75" thickTop="1" x14ac:dyDescent="0.25">
      <c r="A18" s="3"/>
      <c r="B18" s="3"/>
      <c r="C18" s="3"/>
      <c r="D18" s="3"/>
      <c r="E18" s="3"/>
      <c r="F18" s="3"/>
    </row>
    <row r="19" spans="1:9" ht="16.5" x14ac:dyDescent="0.3">
      <c r="A19" s="2"/>
    </row>
    <row r="20" spans="1:9" ht="15.75" thickBot="1" x14ac:dyDescent="0.3">
      <c r="A20" s="16" t="s">
        <v>9</v>
      </c>
      <c r="B20" s="16"/>
      <c r="C20" s="16"/>
      <c r="D20" s="16"/>
      <c r="E20" s="16"/>
      <c r="F20" s="16"/>
    </row>
    <row r="21" spans="1:9" ht="16.5" thickTop="1" thickBot="1" x14ac:dyDescent="0.3">
      <c r="A21" s="258" t="s">
        <v>54</v>
      </c>
      <c r="B21" s="255" t="s">
        <v>3</v>
      </c>
      <c r="C21" s="256"/>
      <c r="D21" s="256"/>
      <c r="E21" s="256"/>
      <c r="F21" s="257"/>
    </row>
    <row r="22" spans="1:9" s="3" customFormat="1" ht="24" thickTop="1" thickBot="1" x14ac:dyDescent="0.3">
      <c r="A22" s="259"/>
      <c r="B22" s="17" t="s">
        <v>23</v>
      </c>
      <c r="C22" s="17" t="s">
        <v>49</v>
      </c>
      <c r="D22" s="59" t="s">
        <v>89</v>
      </c>
      <c r="E22" s="84" t="s">
        <v>90</v>
      </c>
      <c r="F22" s="17" t="s">
        <v>21</v>
      </c>
    </row>
    <row r="23" spans="1:9" ht="21" customHeight="1" thickTop="1" thickBot="1" x14ac:dyDescent="0.3">
      <c r="A23" s="82" t="s">
        <v>91</v>
      </c>
      <c r="B23" s="175">
        <f>SUMIF(HKM!A:A,"459*",HKM!D:D)-SUMIF(HKM!A:A,"459*",HKM!C:C)</f>
        <v>0</v>
      </c>
      <c r="C23" s="181">
        <f>SUM(C24:C28)</f>
        <v>0</v>
      </c>
      <c r="D23" s="181">
        <f t="shared" ref="D23:E23" si="3">SUM(D24:D28)</f>
        <v>0</v>
      </c>
      <c r="E23" s="181">
        <f t="shared" si="3"/>
        <v>0</v>
      </c>
      <c r="F23" s="188">
        <f>SUMIF(HKM!A:A,"459*",HKM!L:L)-SUMIF(HKM!A:A,"459*",HKM!K:K)</f>
        <v>0</v>
      </c>
      <c r="G23" s="166"/>
      <c r="H23" s="163"/>
      <c r="I23" s="166"/>
    </row>
    <row r="24" spans="1:9" ht="21" customHeight="1" thickTop="1" thickBot="1" x14ac:dyDescent="0.3">
      <c r="A24" s="62"/>
      <c r="B24" s="173"/>
      <c r="C24" s="171"/>
      <c r="D24" s="182"/>
      <c r="E24" s="182"/>
      <c r="F24" s="183">
        <f t="shared" ref="F24:F35" si="4">SUM(B24:E24)</f>
        <v>0</v>
      </c>
      <c r="G24" s="166"/>
      <c r="H24" s="166"/>
      <c r="I24" s="166"/>
    </row>
    <row r="25" spans="1:9" ht="21" customHeight="1" thickBot="1" x14ac:dyDescent="0.3">
      <c r="A25" s="62"/>
      <c r="B25" s="173"/>
      <c r="C25" s="171"/>
      <c r="D25" s="184"/>
      <c r="E25" s="184"/>
      <c r="F25" s="183">
        <f t="shared" si="4"/>
        <v>0</v>
      </c>
      <c r="G25" s="166"/>
      <c r="H25" s="166"/>
      <c r="I25" s="166"/>
    </row>
    <row r="26" spans="1:9" ht="21" customHeight="1" thickBot="1" x14ac:dyDescent="0.3">
      <c r="A26" s="62"/>
      <c r="B26" s="173"/>
      <c r="C26" s="171"/>
      <c r="D26" s="184"/>
      <c r="E26" s="184"/>
      <c r="F26" s="183">
        <f t="shared" si="4"/>
        <v>0</v>
      </c>
      <c r="G26" s="166"/>
      <c r="H26" s="166"/>
      <c r="I26" s="166"/>
    </row>
    <row r="27" spans="1:9" ht="21" customHeight="1" thickBot="1" x14ac:dyDescent="0.3">
      <c r="A27" s="62"/>
      <c r="B27" s="173"/>
      <c r="C27" s="171"/>
      <c r="D27" s="184"/>
      <c r="E27" s="184"/>
      <c r="F27" s="183">
        <f t="shared" si="4"/>
        <v>0</v>
      </c>
      <c r="G27" s="166"/>
      <c r="H27" s="166"/>
      <c r="I27" s="166"/>
    </row>
    <row r="28" spans="1:9" ht="21" customHeight="1" thickBot="1" x14ac:dyDescent="0.3">
      <c r="A28" s="82"/>
      <c r="B28" s="174"/>
      <c r="C28" s="185"/>
      <c r="D28" s="186"/>
      <c r="E28" s="186"/>
      <c r="F28" s="187">
        <f t="shared" si="4"/>
        <v>0</v>
      </c>
      <c r="G28" s="166"/>
      <c r="H28" s="166"/>
      <c r="I28" s="166"/>
    </row>
    <row r="29" spans="1:9" ht="21" customHeight="1" thickTop="1" thickBot="1" x14ac:dyDescent="0.3">
      <c r="A29" s="82" t="s">
        <v>92</v>
      </c>
      <c r="B29" s="189">
        <f>SUMIF(HKM!A:A,"323*",HKM!D:D)-SUMIF(HKM!A:A,"323*",HKM!C:C)</f>
        <v>2173</v>
      </c>
      <c r="C29" s="185">
        <f>SUM(C30:C34)</f>
        <v>0</v>
      </c>
      <c r="D29" s="185">
        <f t="shared" ref="D29:E29" si="5">SUM(D30:D34)</f>
        <v>0</v>
      </c>
      <c r="E29" s="185">
        <f t="shared" si="5"/>
        <v>0</v>
      </c>
      <c r="F29" s="190">
        <f>SUMIF(HKM!A:A,"323*",HKM!L:L)-SUMIF(HKM!A:A,"323*",HKM!K:K)</f>
        <v>2953.61</v>
      </c>
      <c r="G29" s="166"/>
      <c r="H29" s="163"/>
      <c r="I29" s="166"/>
    </row>
    <row r="30" spans="1:9" ht="21" customHeight="1" thickTop="1" thickBot="1" x14ac:dyDescent="0.3">
      <c r="A30" s="62"/>
      <c r="B30" s="173"/>
      <c r="C30" s="171"/>
      <c r="D30" s="182"/>
      <c r="E30" s="182"/>
      <c r="F30" s="183">
        <f t="shared" si="4"/>
        <v>0</v>
      </c>
      <c r="G30" s="166"/>
      <c r="H30" s="166"/>
      <c r="I30" s="166"/>
    </row>
    <row r="31" spans="1:9" ht="21" customHeight="1" thickBot="1" x14ac:dyDescent="0.3">
      <c r="A31" s="62"/>
      <c r="B31" s="88"/>
      <c r="C31" s="47"/>
      <c r="D31" s="71"/>
      <c r="E31" s="71"/>
      <c r="F31" s="79">
        <f t="shared" si="4"/>
        <v>0</v>
      </c>
    </row>
    <row r="32" spans="1:9" ht="21" customHeight="1" thickBot="1" x14ac:dyDescent="0.3">
      <c r="A32" s="62"/>
      <c r="B32" s="88"/>
      <c r="C32" s="47"/>
      <c r="D32" s="71"/>
      <c r="E32" s="71"/>
      <c r="F32" s="79">
        <f t="shared" si="4"/>
        <v>0</v>
      </c>
    </row>
    <row r="33" spans="1:6" ht="21" customHeight="1" thickBot="1" x14ac:dyDescent="0.3">
      <c r="A33" s="62"/>
      <c r="B33" s="88"/>
      <c r="C33" s="47"/>
      <c r="D33" s="71"/>
      <c r="E33" s="71"/>
      <c r="F33" s="79">
        <f t="shared" si="4"/>
        <v>0</v>
      </c>
    </row>
    <row r="34" spans="1:6" ht="21" customHeight="1" thickBot="1" x14ac:dyDescent="0.3">
      <c r="A34" s="62"/>
      <c r="B34" s="88"/>
      <c r="C34" s="47"/>
      <c r="D34" s="71"/>
      <c r="E34" s="71"/>
      <c r="F34" s="79">
        <f t="shared" si="4"/>
        <v>0</v>
      </c>
    </row>
    <row r="35" spans="1:6" ht="21" customHeight="1" thickBot="1" x14ac:dyDescent="0.3">
      <c r="A35" s="82"/>
      <c r="B35" s="96"/>
      <c r="C35" s="49"/>
      <c r="D35" s="80"/>
      <c r="E35" s="80"/>
      <c r="F35" s="81">
        <f t="shared" si="4"/>
        <v>0</v>
      </c>
    </row>
    <row r="36" spans="1:6" ht="15.75" thickTop="1" x14ac:dyDescent="0.25"/>
  </sheetData>
  <mergeCells count="4">
    <mergeCell ref="B21:F21"/>
    <mergeCell ref="A21:A22"/>
    <mergeCell ref="A3:A4"/>
    <mergeCell ref="B3:F3"/>
  </mergeCells>
  <pageMargins left="0.7" right="0.7" top="0.75" bottom="0.75" header="0.3" footer="0.3"/>
  <pageSetup paperSize="9" orientation="portrait" horizontalDpi="300" verticalDpi="300" r:id="rId1"/>
  <ignoredErrors>
    <ignoredError sqref="F29 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25</vt:i4>
      </vt:variant>
    </vt:vector>
  </HeadingPairs>
  <TitlesOfParts>
    <vt:vector size="25" baseType="lpstr">
      <vt:lpstr>1</vt:lpstr>
      <vt:lpstr>2</vt:lpstr>
      <vt:lpstr>4</vt:lpstr>
      <vt:lpstr>6</vt:lpstr>
      <vt:lpstr>8</vt:lpstr>
      <vt:lpstr>15</vt:lpstr>
      <vt:lpstr>17</vt:lpstr>
      <vt:lpstr>22</vt:lpstr>
      <vt:lpstr>23</vt:lpstr>
      <vt:lpstr>26</vt:lpstr>
      <vt:lpstr>28</vt:lpstr>
      <vt:lpstr>32</vt:lpstr>
      <vt:lpstr>33</vt:lpstr>
      <vt:lpstr>36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2025-03-20T13:25:09Z</dcterms:modified>
</cp:coreProperties>
</file>