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779A0C95-0C59-4C2D-B777-0265ED2A7924}" xr6:coauthVersionLast="47" xr6:coauthVersionMax="47" xr10:uidLastSave="{00000000-0000-0000-0000-000000000000}"/>
  <bookViews>
    <workbookView xWindow="-120" yWindow="-120" windowWidth="29040" windowHeight="1599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B5" i="21" s="1"/>
  <c r="F5" i="21" s="1"/>
  <c r="F3" i="21"/>
  <c r="B3" i="21"/>
  <c r="D12" i="55"/>
  <c r="C12" i="55"/>
  <c r="E11" i="55"/>
  <c r="B11" i="55"/>
  <c r="E10" i="55"/>
  <c r="B10" i="55"/>
  <c r="E9" i="55"/>
  <c r="B9" i="55"/>
  <c r="E7" i="55"/>
  <c r="E12" i="55" s="1"/>
  <c r="B7" i="55"/>
  <c r="E6" i="55"/>
  <c r="B6" i="55"/>
  <c r="B12" i="55" s="1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9" i="77" s="1"/>
  <c r="D12" i="77"/>
  <c r="C10" i="77"/>
  <c r="B10" i="77"/>
  <c r="D9" i="77"/>
  <c r="D8" i="77"/>
  <c r="D7" i="77"/>
  <c r="D6" i="77"/>
  <c r="D10" i="77" s="1"/>
  <c r="D5" i="77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B6" i="14"/>
  <c r="F5" i="14"/>
  <c r="F12" i="14" s="1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5" i="11"/>
  <c r="F19" i="11" s="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J26" i="9" s="1"/>
  <c r="J30" i="9" s="1"/>
  <c r="B26" i="9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C6" i="9"/>
  <c r="B6" i="9"/>
  <c r="J6" i="9" s="1"/>
  <c r="J10" i="9" s="1"/>
  <c r="F51" i="7"/>
  <c r="G50" i="7"/>
  <c r="I48" i="7"/>
  <c r="I51" i="7" s="1"/>
  <c r="H48" i="7"/>
  <c r="H51" i="7" s="1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E38" i="7"/>
  <c r="D38" i="7"/>
  <c r="J38" i="7" s="1"/>
  <c r="J42" i="7" s="1"/>
  <c r="C38" i="7"/>
  <c r="I36" i="7"/>
  <c r="H36" i="7"/>
  <c r="G36" i="7"/>
  <c r="G51" i="7" s="1"/>
  <c r="F36" i="7"/>
  <c r="E36" i="7"/>
  <c r="E51" i="7" s="1"/>
  <c r="D36" i="7"/>
  <c r="D51" i="7" s="1"/>
  <c r="C36" i="7"/>
  <c r="C51" i="7" s="1"/>
  <c r="B36" i="7"/>
  <c r="B51" i="7" s="1"/>
  <c r="J35" i="7"/>
  <c r="J34" i="7"/>
  <c r="J33" i="7"/>
  <c r="I32" i="7"/>
  <c r="I50" i="7" s="1"/>
  <c r="H32" i="7"/>
  <c r="H50" i="7" s="1"/>
  <c r="G32" i="7"/>
  <c r="F32" i="7"/>
  <c r="F50" i="7" s="1"/>
  <c r="E32" i="7"/>
  <c r="E50" i="7" s="1"/>
  <c r="D32" i="7"/>
  <c r="D50" i="7" s="1"/>
  <c r="C32" i="7"/>
  <c r="C50" i="7" s="1"/>
  <c r="B32" i="7"/>
  <c r="J32" i="7" s="1"/>
  <c r="I22" i="7"/>
  <c r="H22" i="7"/>
  <c r="J20" i="7"/>
  <c r="J19" i="7"/>
  <c r="I18" i="7"/>
  <c r="J18" i="7" s="1"/>
  <c r="J22" i="7" s="1"/>
  <c r="H18" i="7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G45" i="5"/>
  <c r="I45" i="5" s="1"/>
  <c r="I49" i="5" s="1"/>
  <c r="F43" i="5"/>
  <c r="E43" i="5"/>
  <c r="D43" i="5"/>
  <c r="C43" i="5"/>
  <c r="B43" i="5"/>
  <c r="I41" i="5"/>
  <c r="I40" i="5"/>
  <c r="F39" i="5"/>
  <c r="E39" i="5"/>
  <c r="I39" i="5" s="1"/>
  <c r="I43" i="5" s="1"/>
  <c r="D39" i="5"/>
  <c r="C39" i="5"/>
  <c r="B39" i="5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C33" i="5"/>
  <c r="B33" i="5"/>
  <c r="I33" i="5" s="1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B12" i="5"/>
  <c r="I12" i="5" s="1"/>
  <c r="I16" i="5" s="1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I6" i="5" s="1"/>
  <c r="J36" i="7" l="1"/>
  <c r="J51" i="7" s="1"/>
  <c r="J50" i="7"/>
  <c r="I51" i="5"/>
  <c r="I37" i="5"/>
  <c r="I52" i="5" s="1"/>
  <c r="I10" i="5"/>
  <c r="I25" i="5" s="1"/>
  <c r="I24" i="5"/>
  <c r="J24" i="7"/>
  <c r="J10" i="7"/>
  <c r="J25" i="7" s="1"/>
  <c r="B50" i="7"/>
</calcChain>
</file>

<file path=xl/sharedStrings.xml><?xml version="1.0" encoding="utf-8"?>
<sst xmlns="http://schemas.openxmlformats.org/spreadsheetml/2006/main" count="2497" uniqueCount="1134">
  <si>
    <t>130</t>
  </si>
  <si>
    <t>Hodnota vlastného imania ÚJ, v ktorej má ÚJ umiestnený DFM</t>
  </si>
  <si>
    <t>341100</t>
  </si>
  <si>
    <t>591</t>
  </si>
  <si>
    <t>125</t>
  </si>
  <si>
    <t>Tabuľka č. 3</t>
  </si>
  <si>
    <t>Tabuľka č. 2</t>
  </si>
  <si>
    <t>Poplatky banke</t>
  </si>
  <si>
    <t>081400</t>
  </si>
  <si>
    <t>378301</t>
  </si>
  <si>
    <t>381120</t>
  </si>
  <si>
    <t>(3) Kód SK NACE sa vypĺňa podľa vyhlášky Štatistického úradu Slovenskej republiky č. 306/2007</t>
  </si>
  <si>
    <t>021</t>
  </si>
  <si>
    <t>Tabuľka č. 4</t>
  </si>
  <si>
    <t>429000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</si>
  <si>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</si>
  <si>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</si>
  <si>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</si>
  <si>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</si>
  <si>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</si>
  <si>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</si>
  <si>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Dodávatelia tuzemsko</t>
  </si>
  <si>
    <t>018</t>
  </si>
  <si>
    <t>Dlhodobé záväzky z obchodného styku súčet (r. 104 až r. 106)</t>
  </si>
  <si>
    <t>Prídel do zákonného rezervného fondu</t>
  </si>
  <si>
    <t>089</t>
  </si>
  <si>
    <t>Daň z nehnutelnosti</t>
  </si>
  <si>
    <t>Pozemky ( 031 ) - 092A</t>
  </si>
  <si>
    <t>Krátkodobý finančný majetok v prepojených ÚJ (251A,253A,256A,257A,25XA) - /291A,29XA)</t>
  </si>
  <si>
    <t xml:space="preserve">Tabuľka č. 1 </t>
  </si>
  <si>
    <t>Opravná pol. ku krátkodob.fin.majetku</t>
  </si>
  <si>
    <t>Odložená daňová pohľadávka (481A)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</si>
  <si>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</si>
  <si>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</si>
  <si>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</si>
  <si>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</si>
  <si>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</si>
  <si>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</si>
  <si>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</si>
  <si>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</si>
  <si>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</si>
  <si>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Ostatné realizované cenné papiere a podiely (063A) - /096A/</t>
  </si>
  <si>
    <t>Nerozdelený zisk 2011 14% ZP</t>
  </si>
  <si>
    <t>46</t>
  </si>
  <si>
    <t>Výrobky</t>
  </si>
  <si>
    <t xml:space="preserve">teoretická daň </t>
  </si>
  <si>
    <t>Odložená daň z príjmov</t>
  </si>
  <si>
    <t>Zabezpečovacie deriváty, z toho:</t>
  </si>
  <si>
    <t>411920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</si>
  <si>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</si>
  <si>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</si>
  <si>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</si>
  <si>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Suma zadržanej platby</t>
  </si>
  <si>
    <t>Ostatné dlhodobé CP a podiely</t>
  </si>
  <si>
    <t>Pridaná hodnota (r.03+r.04+r.05+r.06+r.07)-(r.11+r.12+r.13+r.14)</t>
  </si>
  <si>
    <t>026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</si>
  <si>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</si>
  <si>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</si>
  <si>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</si>
  <si>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</si>
  <si>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</si>
  <si>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</si>
  <si>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</si>
  <si>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314000</t>
  </si>
  <si>
    <t>N.1.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</si>
  <si>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</si>
  <si>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</si>
  <si>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</si>
  <si>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</si>
  <si>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</si>
  <si>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</si>
  <si>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</si>
  <si>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</si>
  <si>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Účtovná hodnota DFM</t>
  </si>
  <si>
    <t>Zásoby</t>
  </si>
  <si>
    <t>DPPO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</si>
  <si>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</si>
  <si>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</si>
  <si>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</si>
  <si>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</si>
  <si>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</si>
  <si>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</si>
  <si>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</si>
  <si>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</si>
  <si>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</si>
  <si>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</si>
  <si>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</si>
  <si>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Poskytnuté  preddavky</t>
  </si>
  <si>
    <t>Výnosy z hospodárskej činnosti spolu súčet (r.03 až r.09)</t>
  </si>
  <si>
    <t>Z nerozdeleného zisku minulých rokov</t>
  </si>
  <si>
    <t>Oprávky stavbám</t>
  </si>
  <si>
    <t>DFM – dlhodobý finančný majetok</t>
  </si>
  <si>
    <t>Opravná pol. krátkodob. fin.majetku</t>
  </si>
  <si>
    <t>702000</t>
  </si>
  <si>
    <t>Tvorba OP</t>
  </si>
  <si>
    <t>Dlhodobý nehmotný majetok</t>
  </si>
  <si>
    <t>429300</t>
  </si>
  <si>
    <t>37</t>
  </si>
  <si>
    <t>B.IV.</t>
  </si>
  <si>
    <t>Oprávky-dunaj.areál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</si>
  <si>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</si>
  <si>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</si>
  <si>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</si>
  <si>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</si>
  <si>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</si>
  <si>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</si>
  <si>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</si>
  <si>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</si>
  <si>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</si>
  <si>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</si>
  <si>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Pohlad.voci Hotel Kor. - post. z Praclik</t>
  </si>
  <si>
    <t>702</t>
  </si>
  <si>
    <t>123</t>
  </si>
  <si>
    <t>Emisné kvóty</t>
  </si>
  <si>
    <t>021100</t>
  </si>
  <si>
    <t>532000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</si>
  <si>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</si>
  <si>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</si>
  <si>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</si>
  <si>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</si>
  <si>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</si>
  <si>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</si>
  <si>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</si>
  <si>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</si>
  <si>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145</t>
  </si>
  <si>
    <t>24. Informácie k časti G. písm. c) a d) prílohy č. 3 o záväzkoch</t>
  </si>
  <si>
    <t>Odberatelia tuzemsko</t>
  </si>
  <si>
    <t>379</t>
  </si>
  <si>
    <t>Názov položky</t>
  </si>
  <si>
    <t>004</t>
  </si>
  <si>
    <t>Výsledok hospodárenia z hospodárskej činnosti (+/-) (r.02 - r. 10)</t>
  </si>
  <si>
    <t>Zákonné rezervné fondy r. 088 + r. 089</t>
  </si>
  <si>
    <t>429100</t>
  </si>
  <si>
    <t>013</t>
  </si>
  <si>
    <t>384100</t>
  </si>
  <si>
    <t>Neuhradená strata 2023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</si>
  <si>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</si>
  <si>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</si>
  <si>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</si>
  <si>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</si>
  <si>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</si>
  <si>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</si>
  <si>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</si>
  <si>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</si>
  <si>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032000</t>
  </si>
  <si>
    <t>26</t>
  </si>
  <si>
    <t>Pohľadávky voči spoločníkom,členom a združeniu (354A,355A,358A,35XA) -/391A/</t>
  </si>
  <si>
    <t>Stav OP na začiatku účtovného obdobia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</si>
  <si>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</si>
  <si>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</si>
  <si>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</si>
  <si>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</si>
  <si>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</si>
  <si>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</si>
  <si>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</si>
  <si>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</si>
  <si>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Pohlad.voci Lib Stav - post. z Praclika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</si>
  <si>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</si>
  <si>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</si>
  <si>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</si>
  <si>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</si>
  <si>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</si>
  <si>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</si>
  <si>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</si>
  <si>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</si>
  <si>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</si>
  <si>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</si>
  <si>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</si>
  <si>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</si>
  <si>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Oprávky k stavbám hotel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</si>
  <si>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</si>
  <si>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</si>
  <si>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</si>
  <si>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</si>
  <si>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</si>
  <si>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Umelecké diela a zbierky</t>
  </si>
  <si>
    <t>502100</t>
  </si>
  <si>
    <t>Zostatková cena predaného dlhodobého majetku a predaného materiálu ( 541, 542 )</t>
  </si>
  <si>
    <t>Bezprostred- 
ne predchádza-
júce účtovné obdobie</t>
  </si>
  <si>
    <t>Výnosy budúcich období</t>
  </si>
  <si>
    <t>Bežné bankové účty</t>
  </si>
  <si>
    <t>038</t>
  </si>
  <si>
    <t>Hodnota pohľadávky</t>
  </si>
  <si>
    <t>Spotreba energie</t>
  </si>
  <si>
    <t>XIV.</t>
  </si>
  <si>
    <t>602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</si>
  <si>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</si>
  <si>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</si>
  <si>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</si>
  <si>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</si>
  <si>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</si>
  <si>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</si>
  <si>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Ostatné dane a poplatky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</si>
  <si>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</si>
  <si>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</si>
  <si>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</si>
  <si>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</si>
  <si>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</si>
  <si>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</si>
  <si>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</si>
  <si>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</si>
  <si>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</si>
  <si>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</si>
  <si>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</si>
  <si>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</si>
  <si>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</si>
  <si>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</si>
  <si>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</si>
  <si>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</si>
  <si>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472100</t>
  </si>
  <si>
    <t>Daň z príjmov odložená (+/-) (592)</t>
  </si>
  <si>
    <t>A. IV. 1.</t>
  </si>
  <si>
    <t>Výdavky budúcich období dlhodobé ( 383A )</t>
  </si>
  <si>
    <t>Pohlad.voci Praclik - post. Libai</t>
  </si>
  <si>
    <t>081500</t>
  </si>
  <si>
    <t xml:space="preserve">Zvieratá </t>
  </si>
  <si>
    <t>Hodnota</t>
  </si>
  <si>
    <t>Krátkodobé pohľadávky</t>
  </si>
  <si>
    <t>Kód druhu obchodu</t>
  </si>
  <si>
    <t>428111</t>
  </si>
  <si>
    <t>568100</t>
  </si>
  <si>
    <t>Odpisy o opravné položky dlhodobému NM a dlhodobému HM (r.22 + r.23)</t>
  </si>
  <si>
    <t>P A S Í V A</t>
  </si>
  <si>
    <t>Priemerný prepočítaný počet zamestnancov</t>
  </si>
  <si>
    <t>379600</t>
  </si>
  <si>
    <t>Tabuľka č. 1</t>
  </si>
  <si>
    <t>Poskytnuté preddavky 
na zásoby</t>
  </si>
  <si>
    <t>Poskytnuté preddavky na dlhodobý HM ( 052 ) - /095A/</t>
  </si>
  <si>
    <t>074</t>
  </si>
  <si>
    <t>Pôžička Kormoran</t>
  </si>
  <si>
    <t>Obstarávaný krátkodobý finančný majetok (259,314A) - /291A/</t>
  </si>
  <si>
    <t>Zo zákonného rezervného fondu</t>
  </si>
  <si>
    <t>315101</t>
  </si>
  <si>
    <t>Manká a škody</t>
  </si>
  <si>
    <t>Stavby budova hotel</t>
  </si>
  <si>
    <t>378304</t>
  </si>
  <si>
    <t>Náklady budúcich období dlhodobé ( 381A,382A )</t>
  </si>
  <si>
    <t>Dátum splatnosti</t>
  </si>
  <si>
    <t>Zúčtovanie s DÚ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</si>
  <si>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</si>
  <si>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</si>
  <si>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</si>
  <si>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</si>
  <si>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</si>
  <si>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</si>
  <si>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</si>
  <si>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Vstup tuzemsko 19%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</si>
  <si>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</si>
  <si>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</si>
  <si>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</si>
  <si>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</si>
  <si>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</si>
  <si>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</si>
  <si>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</si>
  <si>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</si>
  <si>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</si>
  <si>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</si>
  <si>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</si>
  <si>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</si>
  <si>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</si>
  <si>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</si>
  <si>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</si>
  <si>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</si>
  <si>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</si>
  <si>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</si>
  <si>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</si>
  <si>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</si>
  <si>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</si>
  <si>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101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</si>
  <si>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</si>
  <si>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</si>
  <si>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</si>
  <si>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</si>
  <si>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Počet</t>
  </si>
  <si>
    <t>081100</t>
  </si>
  <si>
    <t>Záväzky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</si>
  <si>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</si>
  <si>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</si>
  <si>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</si>
  <si>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</si>
  <si>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</si>
  <si>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</si>
  <si>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</si>
  <si>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</si>
  <si>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</si>
  <si>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</si>
  <si>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</si>
  <si>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</si>
  <si>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</si>
  <si>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Výdavky budúcich období krátkodobé ( 383A )</t>
  </si>
  <si>
    <t>Základné imanie ( 411 alebo +/-491 )</t>
  </si>
  <si>
    <t>Daň z príjmov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</si>
  <si>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</si>
  <si>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</si>
  <si>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</si>
  <si>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</si>
  <si>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</si>
  <si>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</si>
  <si>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</si>
  <si>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</si>
  <si>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</si>
  <si>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</si>
  <si>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V.</t>
  </si>
  <si>
    <t>081220</t>
  </si>
  <si>
    <t>C.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</si>
  <si>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</si>
  <si>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</si>
  <si>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</si>
  <si>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</si>
  <si>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</si>
  <si>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</si>
  <si>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</si>
  <si>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378</t>
  </si>
  <si>
    <t>Výnosy z nehnuteľnosti na predaj</t>
  </si>
  <si>
    <t>511100</t>
  </si>
  <si>
    <t>Účty v bankách ( 221A, 22X +/-261 )</t>
  </si>
  <si>
    <t>Krátkodobé záväzky spolu</t>
  </si>
  <si>
    <t>Ostatné pohľadávky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</si>
  <si>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</si>
  <si>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</si>
  <si>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</si>
  <si>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</si>
  <si>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</si>
  <si>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</si>
  <si>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</si>
  <si>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</si>
  <si>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565000</t>
  </si>
  <si>
    <t>Mesačný obrat
Má dať</t>
  </si>
  <si>
    <t>648</t>
  </si>
  <si>
    <t>662</t>
  </si>
  <si>
    <t>032</t>
  </si>
  <si>
    <t>054</t>
  </si>
  <si>
    <t>Daňové pohľadávky a dotácie</t>
  </si>
  <si>
    <t>Krátkodobé pohľadávky spolu</t>
  </si>
  <si>
    <t>10</t>
  </si>
  <si>
    <t>100</t>
  </si>
  <si>
    <t>391999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</si>
  <si>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</si>
  <si>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</si>
  <si>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</si>
  <si>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</si>
  <si>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</si>
  <si>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</si>
  <si>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012</t>
  </si>
  <si>
    <t>Základ dane</t>
  </si>
  <si>
    <t>384000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</si>
  <si>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</si>
  <si>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</si>
  <si>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</si>
  <si>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</si>
  <si>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</si>
  <si>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</si>
  <si>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</si>
  <si>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</si>
  <si>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</si>
  <si>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</si>
  <si>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</si>
  <si>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315104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</si>
  <si>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</si>
  <si>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</si>
  <si>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</si>
  <si>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</si>
  <si>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</si>
  <si>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</si>
  <si>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</si>
  <si>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Pozemky - Kormorán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</si>
  <si>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</si>
  <si>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</si>
  <si>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</si>
  <si>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</si>
  <si>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</si>
  <si>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</si>
  <si>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</si>
  <si>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</si>
  <si>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</si>
  <si>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</si>
  <si>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Stav v minulom
účtovnom období</t>
  </si>
  <si>
    <t>13</t>
  </si>
  <si>
    <t>Účet</t>
  </si>
  <si>
    <t>088</t>
  </si>
  <si>
    <t>Pôžička Praclík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</si>
  <si>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</si>
  <si>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</si>
  <si>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</si>
  <si>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</si>
  <si>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</si>
  <si>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</si>
  <si>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</si>
  <si>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</si>
  <si>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</si>
  <si>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</si>
  <si>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</si>
  <si>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</si>
  <si>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</si>
  <si>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</si>
  <si>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</si>
  <si>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</si>
  <si>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</si>
  <si>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</si>
  <si>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</si>
  <si>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Dlhodobý finančný majetok spolu</t>
  </si>
  <si>
    <t>211200</t>
  </si>
  <si>
    <t>I.</t>
  </si>
  <si>
    <t>Tovar ( 132,133,13X,139 ) - /196,19X/</t>
  </si>
  <si>
    <t>06</t>
  </si>
  <si>
    <t>Výnosové úroky (r.40 + r.41)</t>
  </si>
  <si>
    <t>428119</t>
  </si>
  <si>
    <t>Odpisy dlhodob.nehmot.a hmot.majetku</t>
  </si>
  <si>
    <t>III.</t>
  </si>
  <si>
    <t>Suma odloženej dani z príjmov, ktorá sa vzťahuje na položky účtované priamo na účty vlastného imania bez účtovania na účty nákladov a výnosov</t>
  </si>
  <si>
    <t>N.</t>
  </si>
  <si>
    <t>Obstarávaný dlhodobý nehmotný majetok  ( 041 ) - 093</t>
  </si>
  <si>
    <t>a počet riadkov v nich uvádzajú podľa potrieb účtovnej jednotky.</t>
  </si>
  <si>
    <t>379503</t>
  </si>
  <si>
    <t>Služby (účtovná skupina 51)</t>
  </si>
  <si>
    <t>29</t>
  </si>
  <si>
    <t>daňové poradenstvo</t>
  </si>
  <si>
    <t>Neuhradená strata minulých rokov 2022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</si>
  <si>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</si>
  <si>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</si>
  <si>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</si>
  <si>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</si>
  <si>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</si>
  <si>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</si>
  <si>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384</t>
  </si>
  <si>
    <t>Časové rozlíšenie súčet (r. 142 až r. 145)</t>
  </si>
  <si>
    <t>Pôžička Seidner Juraj</t>
  </si>
  <si>
    <t>411000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</si>
  <si>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</si>
  <si>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</si>
  <si>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</si>
  <si>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</si>
  <si>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068</t>
  </si>
  <si>
    <t>121</t>
  </si>
  <si>
    <t>Presuny</t>
  </si>
  <si>
    <t>Dlhodobé rezervy, z toho:</t>
  </si>
  <si>
    <t>085000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</si>
  <si>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</si>
  <si>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</si>
  <si>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</si>
  <si>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</si>
  <si>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</si>
  <si>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</si>
  <si>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</si>
  <si>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</si>
  <si>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</si>
  <si>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</si>
  <si>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</si>
  <si>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Úroky LIBBROKER pôžička</t>
  </si>
  <si>
    <t>602110</t>
  </si>
  <si>
    <t>Účtovná strata</t>
  </si>
  <si>
    <t>Náklady na precenenie cenných papierov a náklady na derivátové operácie (564,567)</t>
  </si>
  <si>
    <t>005</t>
  </si>
  <si>
    <t>Podiel ÚJ na hlasovacích právach v %</t>
  </si>
  <si>
    <t>Peniaze na ceste</t>
  </si>
  <si>
    <t>Opravy a udržovanie</t>
  </si>
  <si>
    <t>035</t>
  </si>
  <si>
    <t>ZI – základné imanie</t>
  </si>
  <si>
    <t>131</t>
  </si>
  <si>
    <t>031100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</si>
  <si>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</si>
  <si>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</si>
  <si>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</si>
  <si>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</si>
  <si>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</si>
  <si>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</si>
  <si>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</si>
  <si>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</si>
  <si>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</si>
  <si>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</si>
  <si>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</si>
  <si>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</si>
  <si>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</si>
  <si>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</si>
  <si>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</si>
  <si>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</si>
  <si>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</si>
  <si>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</si>
  <si>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</si>
  <si>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</si>
  <si>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</si>
  <si>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</si>
  <si>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</si>
  <si>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</si>
  <si>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</si>
  <si>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</si>
  <si>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</si>
  <si>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</si>
  <si>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</si>
  <si>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</si>
  <si>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</si>
  <si>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</si>
  <si>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</si>
  <si>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</si>
  <si>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</si>
  <si>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ZI LIBST. /AUTOM./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</si>
  <si>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</si>
  <si>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</si>
  <si>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</si>
  <si>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</si>
  <si>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</si>
  <si>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</si>
  <si>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32</t>
  </si>
  <si>
    <t>Obstaranie dlhodobého hmot.majetku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</si>
  <si>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</si>
  <si>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</si>
  <si>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</si>
  <si>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</si>
  <si>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</si>
  <si>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</si>
  <si>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</si>
  <si>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</si>
  <si>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</si>
  <si>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</si>
  <si>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</si>
  <si>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</si>
  <si>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</si>
  <si>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Spotreba el.energie - Refakturacia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</si>
  <si>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</si>
  <si>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</si>
  <si>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</si>
  <si>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</si>
  <si>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</si>
  <si>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</si>
  <si>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</si>
  <si>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</si>
  <si>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</si>
  <si>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</si>
  <si>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</si>
  <si>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</si>
  <si>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</si>
  <si>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</si>
  <si>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</si>
  <si>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</si>
  <si>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</si>
  <si>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</si>
  <si>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</si>
  <si>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</si>
  <si>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Oprávky k stavbám parkovisko</t>
  </si>
  <si>
    <t>016</t>
  </si>
  <si>
    <t>58</t>
  </si>
  <si>
    <t>Časové rozlíšenie súčet r. 075 až r.078</t>
  </si>
  <si>
    <t>025</t>
  </si>
  <si>
    <t>45</t>
  </si>
  <si>
    <t>379100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</si>
  <si>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</si>
  <si>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</si>
  <si>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</si>
  <si>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</si>
  <si>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</si>
  <si>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</si>
  <si>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</si>
  <si>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</si>
  <si>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Krátkodobé rezervy r.137 +r.138</t>
  </si>
  <si>
    <t>Úroky</t>
  </si>
  <si>
    <t>47</t>
  </si>
  <si>
    <t>Odpisy dlhodobého nehmot.a hmot.majetku</t>
  </si>
  <si>
    <t>Ostatné výnosy z hospodárskej činnosti</t>
  </si>
  <si>
    <t>Ostatné výnosy z cenných papierov a podielov (665 A)</t>
  </si>
  <si>
    <t>60</t>
  </si>
  <si>
    <t>Dlhodobé pohľadávky spolu</t>
  </si>
  <si>
    <t>428000</t>
  </si>
  <si>
    <t>120</t>
  </si>
  <si>
    <t>Pozemky /AUTOM./</t>
  </si>
  <si>
    <t>do jedného roka vrátane</t>
  </si>
  <si>
    <t>Možnosť previesť nevyužité daňové odpočty</t>
  </si>
  <si>
    <t>Poskytnuté preddavky</t>
  </si>
  <si>
    <t>Dlhodobé pohľadávky súčet (r.042 + r.046 až r.052)</t>
  </si>
  <si>
    <t>058</t>
  </si>
  <si>
    <t>221</t>
  </si>
  <si>
    <t>602000</t>
  </si>
  <si>
    <t>Odložená daňová pohľadávka</t>
  </si>
  <si>
    <t>061000</t>
  </si>
  <si>
    <t>073</t>
  </si>
  <si>
    <t>Výrobky ( 123 ) - /194/</t>
  </si>
  <si>
    <t>545000</t>
  </si>
  <si>
    <t>099</t>
  </si>
  <si>
    <t>311100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</si>
  <si>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</si>
  <si>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</si>
  <si>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</si>
  <si>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</si>
  <si>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431000</t>
  </si>
  <si>
    <t>XI.</t>
  </si>
  <si>
    <t>úradom Slovenskej republiky.</t>
  </si>
  <si>
    <t>037</t>
  </si>
  <si>
    <t>Mesačný obrat
Dal</t>
  </si>
  <si>
    <t>Celkový obrat
Dal</t>
  </si>
  <si>
    <t>Tržby z predaja služieb</t>
  </si>
  <si>
    <t>kons. – konsolidovaný</t>
  </si>
  <si>
    <t>429223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</si>
  <si>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</si>
  <si>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</si>
  <si>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</si>
  <si>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</si>
  <si>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</si>
  <si>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</si>
  <si>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</si>
  <si>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</si>
  <si>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</si>
  <si>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</si>
  <si>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</si>
  <si>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OP k pohľadávkam - nedaňová</t>
  </si>
  <si>
    <t>085</t>
  </si>
  <si>
    <t>076</t>
  </si>
  <si>
    <t>Oprávky-lávka pre peších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</si>
  <si>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</si>
  <si>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</si>
  <si>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</si>
  <si>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</si>
  <si>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379501</t>
  </si>
  <si>
    <t>Pohľadávky z obchodného styku súčet (r. 055 až r. 057)</t>
  </si>
  <si>
    <t>315105</t>
  </si>
  <si>
    <t>345</t>
  </si>
  <si>
    <t>Spotreba materiálu,energie a ostatných neskladovateľných dodávok (501,502,503)</t>
  </si>
  <si>
    <t>Netto v minulom
účtovnom období</t>
  </si>
  <si>
    <t>Softvér</t>
  </si>
  <si>
    <t>042000</t>
  </si>
  <si>
    <t>Nerozdelený zisk minulých rokov</t>
  </si>
  <si>
    <t>472</t>
  </si>
  <si>
    <t>291000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</si>
  <si>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</si>
  <si>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</si>
  <si>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</si>
  <si>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</si>
  <si>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</si>
  <si>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</si>
  <si>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Pohlad.voci Praclik - post. Seidnerova</t>
  </si>
  <si>
    <t>Označenie</t>
  </si>
  <si>
    <t>Zaokrúhlené
(netto)</t>
  </si>
  <si>
    <t>Rezervný fond na vlastné akcie a vlastné podiely ( 417A,421A )</t>
  </si>
  <si>
    <t>518600</t>
  </si>
  <si>
    <t>Zmena stavu vnútroorga-nizačných zásob vo výkaze ziskov a strát</t>
  </si>
  <si>
    <t>Ostat.sl.-ostatné</t>
  </si>
  <si>
    <t>Použitie</t>
  </si>
  <si>
    <t>Zmena stavu vnútroorganizačných zásob</t>
  </si>
  <si>
    <t>551100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</si>
  <si>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</si>
  <si>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</si>
  <si>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</si>
  <si>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</si>
  <si>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</si>
  <si>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421100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</si>
  <si>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</si>
  <si>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</si>
  <si>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</si>
  <si>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</si>
  <si>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</si>
  <si>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</si>
  <si>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</si>
  <si>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</si>
  <si>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</si>
  <si>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Výsledok hospodárenia za účtovné obdobie po zdanení (+-)</t>
  </si>
  <si>
    <t>(2) Daňové identifikačné číslo (DIČ) sa vyplňuje, ak ho má účtovná jednotka pridelené.</t>
  </si>
  <si>
    <t>Nerozdelený zisk 2010 0%</t>
  </si>
  <si>
    <t>Nájomné - služby</t>
  </si>
  <si>
    <t>Dlhové cen.papiere a ostatný dlhodobý finančný majetok ( 065A,069A,06XA ) - /096A/</t>
  </si>
  <si>
    <t>Oceniteľné práva ( 014 ) - /074, 091A/</t>
  </si>
  <si>
    <t>Oceňovacie rozdiely z precenenia súčet (r. 094 až r. 096)</t>
  </si>
  <si>
    <t>nedaňové náklady</t>
  </si>
  <si>
    <t>Krátkodobý  finančný majetok</t>
  </si>
  <si>
    <t>Zaúčtovaná ako náklad</t>
  </si>
  <si>
    <t>021500</t>
  </si>
  <si>
    <t>M.</t>
  </si>
  <si>
    <t xml:space="preserve">Suma prijatých preddavkov </t>
  </si>
  <si>
    <t>343200</t>
  </si>
  <si>
    <t>CP – cenný papier</t>
  </si>
  <si>
    <t>Začiatočný účet súvahový</t>
  </si>
  <si>
    <t>10.</t>
  </si>
  <si>
    <t>021400</t>
  </si>
  <si>
    <t>30. Informácie k časti G. písm. l) prílohy č. 3 o položkách zabezpečených derivátmi</t>
  </si>
  <si>
    <t>315102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</si>
  <si>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</si>
  <si>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</si>
  <si>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</si>
  <si>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</si>
  <si>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</si>
  <si>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</si>
  <si>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</si>
  <si>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</si>
  <si>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</si>
  <si>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</si>
  <si>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</si>
  <si>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</si>
  <si>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063</t>
  </si>
  <si>
    <t>Tvorba a zúčt. opr. položiek k fin. maj.</t>
  </si>
  <si>
    <t>Poč.stav k 1.1.
Má dať</t>
  </si>
  <si>
    <t>26. Informácie k časti G. písm. g) prílohy č. 3 o záväzkoch zo sociálneho fondu</t>
  </si>
  <si>
    <t>648000</t>
  </si>
  <si>
    <t>081</t>
  </si>
  <si>
    <t>Dodávatelia</t>
  </si>
  <si>
    <t>087</t>
  </si>
  <si>
    <t>X.1.</t>
  </si>
  <si>
    <t>548500</t>
  </si>
  <si>
    <t>591000</t>
  </si>
  <si>
    <t>Samostatné hnuteľné veci a súbory hnuteľných vecí (022) -/082, 092A/</t>
  </si>
  <si>
    <t>Dlhové CP držané do splatnosti spolu</t>
  </si>
  <si>
    <t>Náklady budúcich období - poistka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</si>
  <si>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</si>
  <si>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</si>
  <si>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</si>
  <si>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</si>
  <si>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</si>
  <si>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Očakávané budúce obchody dosiaľ zmluvne nezabezpečené</t>
  </si>
  <si>
    <t>429200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</si>
  <si>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</si>
  <si>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</si>
  <si>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</si>
  <si>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</si>
  <si>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</si>
  <si>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Podiel. CP a podiely v ovládanej osobe</t>
  </si>
  <si>
    <t>Vyfakturované nároky za vykonanú prácu na zákazkovej výrobe</t>
  </si>
  <si>
    <t>54</t>
  </si>
  <si>
    <t>1.a.</t>
  </si>
  <si>
    <t>Pohlad.voci Praclik - post. z RMC</t>
  </si>
  <si>
    <t>Bankové účty - TB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</si>
  <si>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</si>
  <si>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</si>
  <si>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</si>
  <si>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</si>
  <si>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</si>
  <si>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</si>
  <si>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</si>
  <si>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</si>
  <si>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</si>
  <si>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</si>
  <si>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Pôžička p. Vrábel Eduard</t>
  </si>
  <si>
    <t>Goodwill (015) - /075,091A/</t>
  </si>
  <si>
    <t>Materiál</t>
  </si>
  <si>
    <t>Oprávky k samostat.hnut.veciam a súborom</t>
  </si>
  <si>
    <t>261000</t>
  </si>
  <si>
    <t>C.   1.</t>
  </si>
  <si>
    <t>Čistá hodnota zákazky (316A)</t>
  </si>
  <si>
    <t>A. IV.</t>
  </si>
  <si>
    <t>Bezprostredne predchádzajúce účtovné obdobie</t>
  </si>
  <si>
    <t>502200</t>
  </si>
  <si>
    <t>Mena</t>
  </si>
  <si>
    <t>Ostatné finančné náklady</t>
  </si>
  <si>
    <t>Dary</t>
  </si>
  <si>
    <t>Pohľadávky z obchodného styku</t>
  </si>
  <si>
    <t>A.VI.1.</t>
  </si>
  <si>
    <t>Tvorba OP</t>
  </si>
  <si>
    <t>428</t>
  </si>
  <si>
    <t>Tvorba 
OP</t>
  </si>
  <si>
    <t>027</t>
  </si>
  <si>
    <t>Stav  OP na konci účtovného obdobia</t>
  </si>
  <si>
    <t>107</t>
  </si>
  <si>
    <t>Opravy a udržiavanie (hotel)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</si>
  <si>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</si>
  <si>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</si>
  <si>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</si>
  <si>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</si>
  <si>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Pokladňa EUR</t>
  </si>
  <si>
    <t>291</t>
  </si>
  <si>
    <t>021220</t>
  </si>
  <si>
    <t>Konečný zostatok sociálneho fondu</t>
  </si>
  <si>
    <t>343819</t>
  </si>
  <si>
    <t>F.</t>
  </si>
  <si>
    <t>Účty v bankách s dobou viazanosti dhšou ako 1 rok (22XA)</t>
  </si>
  <si>
    <t>115</t>
  </si>
  <si>
    <t>532</t>
  </si>
  <si>
    <t>30</t>
  </si>
  <si>
    <t>Zmena základného imania +/- 419</t>
  </si>
  <si>
    <t>daň z nehnuteľnosti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</si>
  <si>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</si>
  <si>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</si>
  <si>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</si>
  <si>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</si>
  <si>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</si>
  <si>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</si>
  <si>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</si>
  <si>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</si>
  <si>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</si>
  <si>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</si>
  <si>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</si>
  <si>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</si>
  <si>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</si>
  <si>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</si>
  <si>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Dlhodobé prij.pred.  - DEPOZIT River A</t>
  </si>
  <si>
    <t>Ostatné fondy ( 427, 42X )</t>
  </si>
  <si>
    <t>Nerozdelený zisk z min.rokov /AUTOM./</t>
  </si>
  <si>
    <t>Výsledok hospodárenia pred  zdanením, z toho:</t>
  </si>
  <si>
    <t>Obchodné meno a sídlo spoločnosti, v ktorej má ÚJ umiestnený DFM</t>
  </si>
  <si>
    <t>040</t>
  </si>
  <si>
    <t>poistenie majetku HK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</si>
  <si>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</si>
  <si>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</si>
  <si>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</si>
  <si>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</si>
  <si>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</si>
  <si>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</si>
  <si>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</si>
  <si>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</si>
  <si>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</si>
  <si>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</si>
  <si>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</si>
  <si>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</si>
  <si>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</si>
  <si>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378305</t>
  </si>
  <si>
    <t>Ostatné záväzky voči prepojeným ÚJ (361A,36XA,471A,47XA)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</si>
  <si>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</si>
  <si>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</si>
  <si>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</si>
  <si>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</si>
  <si>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</si>
  <si>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</si>
  <si>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</si>
  <si>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</si>
  <si>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</si>
  <si>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</si>
  <si>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</si>
  <si>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</si>
  <si>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Samost.hnuteľ. veci a súbory hnuteľ.vecí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</si>
  <si>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</si>
  <si>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</si>
  <si>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</si>
  <si>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</si>
  <si>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</si>
  <si>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538</t>
  </si>
  <si>
    <t>Oceniteľné práva</t>
  </si>
  <si>
    <t>E.1.</t>
  </si>
  <si>
    <t>B.IV. 1.</t>
  </si>
  <si>
    <t>Suma prijatých preddavkov</t>
  </si>
  <si>
    <t>61</t>
  </si>
  <si>
    <t>licencia</t>
  </si>
  <si>
    <t>022100</t>
  </si>
  <si>
    <t>11</t>
  </si>
  <si>
    <t>Vyradenie pôžičky z účtovníctva 
v účtovnom období</t>
  </si>
  <si>
    <t>091</t>
  </si>
  <si>
    <t>126</t>
  </si>
  <si>
    <t>221100</t>
  </si>
  <si>
    <t>Pôžička Libroker</t>
  </si>
  <si>
    <t>048</t>
  </si>
  <si>
    <t>Prídel do štatutárnych a ostatných fondov</t>
  </si>
  <si>
    <t>022</t>
  </si>
  <si>
    <t>378000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</si>
  <si>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</si>
  <si>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</si>
  <si>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</si>
  <si>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</si>
  <si>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</si>
  <si>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</si>
  <si>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</si>
  <si>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Oplotenie det.ihriska</t>
  </si>
  <si>
    <t>Dunaj.areál</t>
  </si>
  <si>
    <t>031110</t>
  </si>
  <si>
    <t>097</t>
  </si>
  <si>
    <t>Krátkodobé záväzky  súčet ( r. 123 + r. 127 až r. 135)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</si>
  <si>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</si>
  <si>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</si>
  <si>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</si>
  <si>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</si>
  <si>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</si>
  <si>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</si>
  <si>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021300</t>
  </si>
  <si>
    <t>Predané cenné papiere a podiely (561)</t>
  </si>
  <si>
    <t>Hodnota za bežné účtovné obdobie</t>
  </si>
  <si>
    <t>Zabezpečovaná položka</t>
  </si>
  <si>
    <t>548300</t>
  </si>
  <si>
    <t>**</t>
  </si>
  <si>
    <t>Zúčtovanie OP z dôvodu zániku opodstatnenosti</t>
  </si>
  <si>
    <t>Emisný kurz</t>
  </si>
  <si>
    <t>39</t>
  </si>
  <si>
    <t>Stavby parkovisko pri hoteli</t>
  </si>
  <si>
    <t>078</t>
  </si>
  <si>
    <t>075</t>
  </si>
  <si>
    <t>110</t>
  </si>
  <si>
    <t>Sadzba dane z príjmov ( v %)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</si>
  <si>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</si>
  <si>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</si>
  <si>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</si>
  <si>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</si>
  <si>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</si>
  <si>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</si>
  <si>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</si>
  <si>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</si>
  <si>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Obstaranie dlhodobého hmotného majetku</t>
  </si>
  <si>
    <t>***</t>
  </si>
  <si>
    <t>602100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</si>
  <si>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</si>
  <si>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</si>
  <si>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</si>
  <si>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</si>
  <si>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</si>
  <si>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</si>
  <si>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</si>
  <si>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</si>
  <si>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</si>
  <si>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</si>
  <si>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Pohľadávky voči dcérskej účtovnej jednotke a materskej účtovnej jednotke</t>
  </si>
  <si>
    <t>092</t>
  </si>
  <si>
    <t>662100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</si>
  <si>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</si>
  <si>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</si>
  <si>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</si>
  <si>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</si>
  <si>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</si>
  <si>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</si>
  <si>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</si>
  <si>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</si>
  <si>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</si>
  <si>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</si>
  <si>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</si>
  <si>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</si>
  <si>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</si>
  <si>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Nájomné</t>
  </si>
  <si>
    <t>061</t>
  </si>
  <si>
    <t>Pozemky</t>
  </si>
  <si>
    <t>Podielové CP a podiely 
v spoločnosti
s podstatným
vplyvom</t>
  </si>
  <si>
    <t>Nákladové úroky na prepojené ÚJ ( 562A )</t>
  </si>
  <si>
    <t>001</t>
  </si>
  <si>
    <t>502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</si>
  <si>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</si>
  <si>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</si>
  <si>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</si>
  <si>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</si>
  <si>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</si>
  <si>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</si>
  <si>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</si>
  <si>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565</t>
  </si>
  <si>
    <t>Zakladné stádo a ťažné zvieratá ( 026 ) - / 086, 092A/</t>
  </si>
  <si>
    <t>118</t>
  </si>
  <si>
    <t>Záväzky zo sociálneho fondu</t>
  </si>
  <si>
    <t>A. III.</t>
  </si>
  <si>
    <t>345100</t>
  </si>
  <si>
    <t>9. Informácie k časti F. písm. j) a l) prílohy č. 3 o dlhových CP držaných do splatnosti</t>
  </si>
  <si>
    <t>Záväzky z obchodného styku súčet (r. 124 až r. 126)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</si>
  <si>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</si>
  <si>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</si>
  <si>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</si>
  <si>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</si>
  <si>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</si>
  <si>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</si>
  <si>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</si>
  <si>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</si>
  <si>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</si>
  <si>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</si>
  <si>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</si>
  <si>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</si>
  <si>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</si>
  <si>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</si>
  <si>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</si>
  <si>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</si>
  <si>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</si>
  <si>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42</t>
  </si>
  <si>
    <t>Deriváty určené na obchodovanie, z toho:</t>
  </si>
  <si>
    <t>378303</t>
  </si>
  <si>
    <t>Zvýšenie hodnoty</t>
  </si>
  <si>
    <t>475</t>
  </si>
  <si>
    <t>055</t>
  </si>
  <si>
    <t>Výnosy budúcich období krátkodobé ( 384A )</t>
  </si>
  <si>
    <t>047</t>
  </si>
  <si>
    <t>321100</t>
  </si>
  <si>
    <t>108</t>
  </si>
  <si>
    <t>Tvorba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</si>
  <si>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</si>
  <si>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</si>
  <si>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</si>
  <si>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</si>
  <si>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</si>
  <si>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</si>
  <si>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</si>
  <si>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</si>
  <si>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</si>
  <si>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</si>
  <si>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</si>
  <si>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</si>
  <si>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</si>
  <si>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</si>
  <si>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</si>
  <si>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</si>
  <si>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</si>
  <si>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</si>
  <si>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</si>
  <si>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</si>
  <si>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</si>
  <si>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</si>
  <si>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</si>
  <si>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</si>
  <si>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Lávka pre peších</t>
  </si>
  <si>
    <t>Zákonný rezervný fond - tvorba</t>
  </si>
  <si>
    <t>096</t>
  </si>
  <si>
    <t>Ostatné pokuty a penále</t>
  </si>
  <si>
    <t>Použité skratky:</t>
  </si>
  <si>
    <t>Opravná položka k nadobudnut.majetku  ( +/-097, +/-098 )</t>
  </si>
  <si>
    <t>082100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</si>
  <si>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</si>
  <si>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</si>
  <si>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</si>
  <si>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poistenie majetku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</si>
  <si>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</si>
  <si>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</si>
  <si>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</si>
  <si>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</si>
  <si>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</si>
  <si>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</si>
  <si>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031</t>
  </si>
  <si>
    <t>023</t>
  </si>
  <si>
    <t>081300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</si>
  <si>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</si>
  <si>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</si>
  <si>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</si>
  <si>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</si>
  <si>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</si>
  <si>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</si>
  <si>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</si>
  <si>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</si>
  <si>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</si>
  <si>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</si>
  <si>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</si>
  <si>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</si>
  <si>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</si>
  <si>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</si>
  <si>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</si>
  <si>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Pôžička Lib Stav</t>
  </si>
  <si>
    <t>B.  I.</t>
  </si>
  <si>
    <t>Výnosové úroky od prepojených ÚJ (662A)</t>
  </si>
  <si>
    <t>súvisiace audítorské služby</t>
  </si>
  <si>
    <t>315103</t>
  </si>
  <si>
    <t>122</t>
  </si>
  <si>
    <t>060</t>
  </si>
  <si>
    <t>Tvorba sociálneho fondu na ťarchu nákladov</t>
  </si>
  <si>
    <t>428100</t>
  </si>
  <si>
    <t>019</t>
  </si>
  <si>
    <t>090</t>
  </si>
  <si>
    <t>104</t>
  </si>
  <si>
    <t>Záväzky so zostatkovou dobou splatnosti 
jeden rok až päť rokov</t>
  </si>
  <si>
    <t>20</t>
  </si>
  <si>
    <t>Výnosy buduce - zaloha na najom 25-27</t>
  </si>
  <si>
    <t>411</t>
  </si>
  <si>
    <t>Dlhodobé prijaté preddavky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</si>
  <si>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</si>
  <si>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</si>
  <si>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</si>
  <si>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</si>
  <si>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</si>
  <si>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</si>
  <si>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</si>
  <si>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</si>
  <si>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</si>
  <si>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</si>
  <si>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</si>
  <si>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</si>
  <si>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 xml:space="preserve">Výnosy zo zákazkovej výstavby nehnuteľnosti určenej na predaj 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</si>
  <si>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</si>
  <si>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</si>
  <si>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</si>
  <si>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</si>
  <si>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</si>
  <si>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</si>
  <si>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</si>
  <si>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</si>
  <si>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</si>
  <si>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</si>
  <si>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</si>
  <si>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</si>
  <si>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</si>
  <si>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</si>
  <si>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475100</t>
  </si>
  <si>
    <t>A.III.</t>
  </si>
  <si>
    <t>Daňovo neuznané náklady</t>
  </si>
  <si>
    <t>Korekcia v bežnom
účtovnom období</t>
  </si>
  <si>
    <t>Oprávky k pestovat. celkom a porastom</t>
  </si>
  <si>
    <t>511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</si>
  <si>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</si>
  <si>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</si>
  <si>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</si>
  <si>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</si>
  <si>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</si>
  <si>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</si>
  <si>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</si>
  <si>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538000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</si>
  <si>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</si>
  <si>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</si>
  <si>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</si>
  <si>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</si>
  <si>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</si>
  <si>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</si>
  <si>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ZI BROSS. /AUTOM./</t>
  </si>
  <si>
    <t>Ostatný DHM</t>
  </si>
  <si>
    <t>Skutočnosť v účtovnom
období minulom</t>
  </si>
  <si>
    <t>378306</t>
  </si>
  <si>
    <t>Iné pohľadávky</t>
  </si>
  <si>
    <t>IČO – identifikačné číslo organizácie</t>
  </si>
  <si>
    <t>B. VI.</t>
  </si>
  <si>
    <t>Ostatné pokuty,penále a úroky z omešk.</t>
  </si>
  <si>
    <t>15</t>
  </si>
  <si>
    <t>071</t>
  </si>
  <si>
    <t>Náklady budúcich období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</si>
  <si>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</si>
  <si>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</si>
  <si>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</si>
  <si>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</si>
  <si>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</si>
  <si>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</si>
  <si>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</si>
  <si>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</si>
  <si>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Pôžička Bross for Partners</t>
  </si>
  <si>
    <t>Nehnuteľnosť na predaj</t>
  </si>
  <si>
    <t>záväzku</t>
  </si>
  <si>
    <t>Tžby z predaja služieb ( 602, 606 )</t>
  </si>
  <si>
    <t>391</t>
  </si>
  <si>
    <t>043</t>
  </si>
  <si>
    <t>Záväzky z obchodného styku voči prepojeným ÚJ (321A,322A,324A,325A,326A,32XA,475A,476A,478A,47XA)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</si>
  <si>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</si>
  <si>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</si>
  <si>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</si>
  <si>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</si>
  <si>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</si>
  <si>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</si>
  <si>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Spotreba plyn - Refakturacia</t>
  </si>
  <si>
    <t>Príjmy budúcich období dlhodobé ( 385A )</t>
  </si>
  <si>
    <t>Nerozdelený zisk 2019 7%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</si>
  <si>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</si>
  <si>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</si>
  <si>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</si>
  <si>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</si>
  <si>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</si>
  <si>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</si>
  <si>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428110</t>
  </si>
  <si>
    <t>VIII.</t>
  </si>
  <si>
    <t>Výnosy z cenných papierov a podielov od prepojených ÚJ (665 A)</t>
  </si>
  <si>
    <t>411930</t>
  </si>
  <si>
    <t>VI.</t>
  </si>
  <si>
    <t>18</t>
  </si>
  <si>
    <t>Nerozdelený zisk z minulých rokov ( 428 )</t>
  </si>
  <si>
    <t>Oprávky-oplotenie det.ihris</t>
  </si>
  <si>
    <t>*</t>
  </si>
  <si>
    <t>Obstarávaný dlhodobý hmotný majetok ( 042 ) - /094/</t>
  </si>
  <si>
    <t>Iné dlhodobé záväzky ( 336A, 372A, 474A, 47XA)</t>
  </si>
  <si>
    <t>314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</si>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</sst>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9" fontId="4" fillId="0" borderId="2" xfId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49" fontId="4" fillId="0" borderId="0" xfId="0" applyNumberFormat="1" applyFont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top"/>
    </xf>
    <xf numFmtId="3" fontId="4" fillId="2" borderId="24" xfId="0" applyNumberFormat="1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278</v>
      </c>
    </row>
    <row r="2" spans="1:2" x14ac:dyDescent="0.25">
      <c r="A2" t="s">
        <v>1049</v>
      </c>
    </row>
    <row r="3" spans="1:2" x14ac:dyDescent="0.25">
      <c r="A3" t="s">
        <v>584</v>
      </c>
    </row>
    <row r="4" spans="1:2" x14ac:dyDescent="0.25">
      <c r="A4" t="s">
        <v>653</v>
      </c>
    </row>
    <row r="5" spans="1:2" x14ac:dyDescent="0.25">
      <c r="A5" t="s">
        <v>11</v>
      </c>
    </row>
    <row r="6" spans="1:2" x14ac:dyDescent="0.25">
      <c r="A6" t="s">
        <v>350</v>
      </c>
    </row>
    <row r="7" spans="1:2" x14ac:dyDescent="0.25">
      <c r="A7" t="s">
        <v>171</v>
      </c>
    </row>
    <row r="8" spans="1:2" x14ac:dyDescent="0.25">
      <c r="A8" t="s">
        <v>597</v>
      </c>
    </row>
    <row r="9" spans="1:2" x14ac:dyDescent="0.25">
      <c r="A9" t="s">
        <v>412</v>
      </c>
    </row>
    <row r="10" spans="1:2" x14ac:dyDescent="0.25">
      <c r="A10" t="s">
        <v>720</v>
      </c>
    </row>
    <row r="11" spans="1:2" x14ac:dyDescent="0.25">
      <c r="A11" s="39" t="s">
        <v>218</v>
      </c>
      <c r="B11" s="39" t="s">
        <v>187</v>
      </c>
    </row>
    <row r="12" spans="1:2" x14ac:dyDescent="0.25">
      <c r="A12" s="144">
        <v>1</v>
      </c>
      <c r="B12" s="52" t="s">
        <v>485</v>
      </c>
    </row>
    <row r="13" spans="1:2" x14ac:dyDescent="0.25">
      <c r="A13" s="144">
        <v>2</v>
      </c>
      <c r="B13" s="52" t="s">
        <v>106</v>
      </c>
    </row>
    <row r="14" spans="1:2" x14ac:dyDescent="0.25">
      <c r="A14" s="144">
        <v>3</v>
      </c>
      <c r="B14" s="52" t="s">
        <v>766</v>
      </c>
    </row>
    <row r="15" spans="1:2" x14ac:dyDescent="0.25">
      <c r="A15" s="144">
        <v>4</v>
      </c>
      <c r="B15" s="52" t="s">
        <v>596</v>
      </c>
    </row>
    <row r="16" spans="1:2" x14ac:dyDescent="0.25">
      <c r="A16" s="144">
        <v>5</v>
      </c>
      <c r="B16" s="52" t="s">
        <v>824</v>
      </c>
    </row>
    <row r="17" spans="1:2" x14ac:dyDescent="0.25">
      <c r="A17" s="144">
        <v>6</v>
      </c>
      <c r="B17" s="52" t="s">
        <v>151</v>
      </c>
    </row>
    <row r="18" spans="1:2" x14ac:dyDescent="0.25">
      <c r="A18" s="144">
        <v>7</v>
      </c>
      <c r="B18" s="52" t="s">
        <v>881</v>
      </c>
    </row>
    <row r="19" spans="1:2" x14ac:dyDescent="0.25">
      <c r="A19" s="144">
        <v>8</v>
      </c>
      <c r="B19" s="52" t="s">
        <v>79</v>
      </c>
    </row>
    <row r="20" spans="1:2" x14ac:dyDescent="0.25">
      <c r="A20" s="144">
        <v>9</v>
      </c>
      <c r="B20" s="52" t="s">
        <v>639</v>
      </c>
    </row>
    <row r="21" spans="1:2" x14ac:dyDescent="0.25">
      <c r="A21" s="144">
        <v>10</v>
      </c>
      <c r="B21" s="52" t="s">
        <v>245</v>
      </c>
    </row>
    <row r="22" spans="1:2" x14ac:dyDescent="0.25">
      <c r="A22" s="144">
        <v>11</v>
      </c>
      <c r="B22" s="52" t="s">
        <v>342</v>
      </c>
    </row>
    <row r="24" spans="1:2" x14ac:dyDescent="0.25">
      <c r="A24" t="s">
        <v>983</v>
      </c>
    </row>
    <row r="25" spans="1:2" x14ac:dyDescent="0.25">
      <c r="A25" t="s">
        <v>589</v>
      </c>
    </row>
    <row r="26" spans="1:2" x14ac:dyDescent="0.25">
      <c r="A26" t="s">
        <v>666</v>
      </c>
    </row>
    <row r="27" spans="1:2" x14ac:dyDescent="0.25">
      <c r="A27" t="s">
        <v>91</v>
      </c>
    </row>
    <row r="28" spans="1:2" x14ac:dyDescent="0.25">
      <c r="A28" t="s">
        <v>158</v>
      </c>
    </row>
    <row r="29" spans="1:2" x14ac:dyDescent="0.25">
      <c r="A29" t="s">
        <v>32</v>
      </c>
    </row>
    <row r="30" spans="1:2" x14ac:dyDescent="0.25">
      <c r="A30" t="s">
        <v>482</v>
      </c>
    </row>
    <row r="31" spans="1:2" x14ac:dyDescent="0.25">
      <c r="A31" t="s">
        <v>86</v>
      </c>
    </row>
    <row r="32" spans="1:2" x14ac:dyDescent="0.25">
      <c r="A32" t="s">
        <v>1083</v>
      </c>
    </row>
    <row r="33" spans="1:1" x14ac:dyDescent="0.25">
      <c r="A33" t="s">
        <v>970</v>
      </c>
    </row>
    <row r="34" spans="1:1" x14ac:dyDescent="0.25">
      <c r="A34" t="s">
        <v>1096</v>
      </c>
    </row>
    <row r="35" spans="1:1" x14ac:dyDescent="0.25">
      <c r="A35" t="s">
        <v>1133</v>
      </c>
    </row>
    <row r="36" spans="1:1" x14ac:dyDescent="0.25">
      <c r="A36" t="s">
        <v>807</v>
      </c>
    </row>
    <row r="37" spans="1:1" x14ac:dyDescent="0.25">
      <c r="A37" t="s">
        <v>457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925</v>
      </c>
    </row>
    <row r="2" spans="1:10" ht="74.25" customHeight="1" thickTop="1" thickBot="1" x14ac:dyDescent="0.3">
      <c r="A2" s="204" t="s">
        <v>592</v>
      </c>
      <c r="B2" s="204" t="s">
        <v>264</v>
      </c>
      <c r="C2" s="47" t="s">
        <v>243</v>
      </c>
      <c r="D2" s="204" t="s">
        <v>947</v>
      </c>
      <c r="E2" s="204" t="s">
        <v>771</v>
      </c>
      <c r="F2" s="47" t="s">
        <v>487</v>
      </c>
      <c r="G2" s="204" t="s">
        <v>480</v>
      </c>
    </row>
    <row r="3" spans="1:10" ht="27" customHeight="1" thickTop="1" thickBot="1" x14ac:dyDescent="0.3">
      <c r="A3" s="169" t="s">
        <v>638</v>
      </c>
      <c r="B3" s="31"/>
      <c r="C3" s="22"/>
      <c r="D3" s="22"/>
      <c r="E3" s="22"/>
      <c r="F3" s="22"/>
      <c r="G3" s="221">
        <f>SUM(C3:F3)</f>
        <v>0</v>
      </c>
    </row>
    <row r="4" spans="1:10" ht="34.5" thickBot="1" x14ac:dyDescent="0.3">
      <c r="A4" s="169" t="s">
        <v>368</v>
      </c>
      <c r="B4" s="153"/>
      <c r="C4" s="41"/>
      <c r="D4" s="41"/>
      <c r="E4" s="41"/>
      <c r="F4" s="41"/>
      <c r="G4" s="124">
        <f>SUM(C4:F4)</f>
        <v>0</v>
      </c>
    </row>
    <row r="5" spans="1:10" ht="34.5" thickBot="1" x14ac:dyDescent="0.3">
      <c r="A5" s="169" t="s">
        <v>806</v>
      </c>
      <c r="B5" s="153"/>
      <c r="C5" s="41"/>
      <c r="D5" s="41"/>
      <c r="E5" s="41"/>
      <c r="F5" s="41"/>
      <c r="G5" s="124">
        <f>SUM(C5:F5)</f>
        <v>0</v>
      </c>
    </row>
    <row r="6" spans="1:10" ht="27" customHeight="1" thickBot="1" x14ac:dyDescent="0.3">
      <c r="A6" s="169" t="s">
        <v>816</v>
      </c>
      <c r="B6" s="153"/>
      <c r="C6" s="41"/>
      <c r="D6" s="41"/>
      <c r="E6" s="41"/>
      <c r="F6" s="41"/>
      <c r="G6" s="124">
        <f>SUM(C6:F6)</f>
        <v>0</v>
      </c>
    </row>
    <row r="7" spans="1:10" ht="27" customHeight="1" thickBot="1" x14ac:dyDescent="0.3">
      <c r="A7" s="125" t="s">
        <v>696</v>
      </c>
      <c r="B7" s="197" t="s">
        <v>66</v>
      </c>
      <c r="C7" s="14"/>
      <c r="D7" s="14"/>
      <c r="E7" s="14"/>
      <c r="F7" s="14"/>
      <c r="G7" s="63">
        <f>SUMIF(HK!A:A,"065*",HK!K:K)-SUMIF(HK!A:A,"065*",HK!L:L)</f>
        <v>0</v>
      </c>
      <c r="J7" s="151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164</v>
      </c>
    </row>
    <row r="2" spans="1:6" ht="58.5" customHeight="1" thickTop="1" thickBot="1" x14ac:dyDescent="0.3">
      <c r="A2" s="204" t="s">
        <v>624</v>
      </c>
      <c r="B2" s="47" t="s">
        <v>243</v>
      </c>
      <c r="C2" s="204" t="s">
        <v>947</v>
      </c>
      <c r="D2" s="204" t="s">
        <v>771</v>
      </c>
      <c r="E2" s="204" t="s">
        <v>827</v>
      </c>
      <c r="F2" s="47" t="s">
        <v>84</v>
      </c>
    </row>
    <row r="3" spans="1:6" ht="27" customHeight="1" thickTop="1" thickBot="1" x14ac:dyDescent="0.3">
      <c r="A3" s="169" t="s">
        <v>638</v>
      </c>
      <c r="B3" s="41"/>
      <c r="C3" s="41"/>
      <c r="D3" s="41"/>
      <c r="E3" s="41"/>
      <c r="F3" s="124">
        <f>SUM(B3:E3)</f>
        <v>0</v>
      </c>
    </row>
    <row r="4" spans="1:6" ht="27" customHeight="1" thickBot="1" x14ac:dyDescent="0.3">
      <c r="A4" s="169" t="s">
        <v>805</v>
      </c>
      <c r="B4" s="41"/>
      <c r="C4" s="41"/>
      <c r="D4" s="41"/>
      <c r="E4" s="41"/>
      <c r="F4" s="124">
        <f>SUM(B4:E4)</f>
        <v>0</v>
      </c>
    </row>
    <row r="5" spans="1:6" ht="27" customHeight="1" thickBot="1" x14ac:dyDescent="0.3">
      <c r="A5" s="169" t="s">
        <v>791</v>
      </c>
      <c r="B5" s="41"/>
      <c r="C5" s="41"/>
      <c r="D5" s="41"/>
      <c r="E5" s="41"/>
      <c r="F5" s="124">
        <f>SUM(B5:E5)</f>
        <v>0</v>
      </c>
    </row>
    <row r="6" spans="1:6" ht="27" customHeight="1" thickBot="1" x14ac:dyDescent="0.3">
      <c r="A6" s="169" t="s">
        <v>816</v>
      </c>
      <c r="B6" s="41"/>
      <c r="C6" s="41"/>
      <c r="D6" s="41"/>
      <c r="E6" s="41"/>
      <c r="F6" s="124">
        <f>SUM(B6:E6)</f>
        <v>0</v>
      </c>
    </row>
    <row r="7" spans="1:6" ht="27" customHeight="1" thickBot="1" x14ac:dyDescent="0.3">
      <c r="A7" s="125" t="s">
        <v>191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18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423</v>
      </c>
    </row>
    <row r="2" spans="1:8" ht="17.25" thickBot="1" x14ac:dyDescent="0.35">
      <c r="A2" s="239" t="s">
        <v>225</v>
      </c>
    </row>
    <row r="3" spans="1:8" ht="16.5" thickTop="1" thickBot="1" x14ac:dyDescent="0.3">
      <c r="A3" s="240" t="s">
        <v>74</v>
      </c>
      <c r="B3" s="245" t="s">
        <v>121</v>
      </c>
      <c r="C3" s="246"/>
      <c r="D3" s="246"/>
      <c r="E3" s="246"/>
      <c r="F3" s="247"/>
    </row>
    <row r="4" spans="1:8" ht="60" customHeight="1" thickTop="1" thickBot="1" x14ac:dyDescent="0.3">
      <c r="A4" s="254"/>
      <c r="B4" s="182" t="s">
        <v>943</v>
      </c>
      <c r="C4" s="179" t="s">
        <v>743</v>
      </c>
      <c r="D4" s="182" t="s">
        <v>61</v>
      </c>
      <c r="E4" s="179" t="s">
        <v>389</v>
      </c>
      <c r="F4" s="182" t="s">
        <v>507</v>
      </c>
    </row>
    <row r="5" spans="1:8" ht="23.25" customHeight="1" thickTop="1" thickBot="1" x14ac:dyDescent="0.3">
      <c r="A5" s="169" t="s">
        <v>728</v>
      </c>
      <c r="B5" s="135">
        <f>SUMIF(HK!A:A,"191*",HK!D:D)-SUMIF(HK!A:A,"191*",HK!C:C)</f>
        <v>0</v>
      </c>
      <c r="C5" s="41"/>
      <c r="D5" s="41"/>
      <c r="E5" s="41"/>
      <c r="F5" s="135">
        <f>SUMIF(HK!A:A,"191*",HK!L:L)-SUMIF(HK!A:A,"191*",HK!K:K)</f>
        <v>0</v>
      </c>
      <c r="H5" s="151"/>
    </row>
    <row r="6" spans="1:8" ht="34.5" thickBot="1" x14ac:dyDescent="0.3">
      <c r="A6" s="169" t="s">
        <v>195</v>
      </c>
      <c r="B6" s="135">
        <f>SUMIF(HK!A:A,"192*",HK!D:D)-SUMIF(HK!A:A,"192*",HK!C:C)+SUMIF(HK!A:A,"193*",HK!D:D)-SUMIF(HK!A:A,"193*",HK!C:C)</f>
        <v>0</v>
      </c>
      <c r="C6" s="41"/>
      <c r="D6" s="41"/>
      <c r="E6" s="41"/>
      <c r="F6" s="135">
        <f>SUMIF(HK!A:A,"192*",HK!L:L)-SUMIF(HK!A:A,"192*",HK!K:K)+SUMIF(HK!A:A,"193*",HK!L:L)-SUMIF(HK!A:A,"193*",HK!K:K)</f>
        <v>0</v>
      </c>
      <c r="H6" s="151"/>
    </row>
    <row r="7" spans="1:8" ht="23.25" customHeight="1" thickBot="1" x14ac:dyDescent="0.3">
      <c r="A7" s="169" t="s">
        <v>44</v>
      </c>
      <c r="B7" s="135">
        <f>SUMIF(HK!A:A,"194*",HK!D:D)-SUMIF(HK!A:A,"194*",HK!C:C)</f>
        <v>0</v>
      </c>
      <c r="C7" s="231"/>
      <c r="D7" s="231"/>
      <c r="E7" s="231"/>
      <c r="F7" s="135">
        <f>SUMIF(HK!A:A,"194*",HK!L:L)-SUMIF(HK!A:A,"194*",HK!K:K)</f>
        <v>0</v>
      </c>
      <c r="H7" s="151"/>
    </row>
    <row r="8" spans="1:8" ht="23.25" customHeight="1" thickBot="1" x14ac:dyDescent="0.3">
      <c r="A8" s="169" t="s">
        <v>215</v>
      </c>
      <c r="B8" s="135">
        <f>SUMIF(HK!A:A,"195*",HK!D:D)-SUMIF(HK!A:A,"195*",HK!C:C)</f>
        <v>0</v>
      </c>
      <c r="C8" s="231"/>
      <c r="D8" s="231"/>
      <c r="E8" s="231"/>
      <c r="F8" s="135">
        <f>SUMIF(HK!A:A,"195*",HK!L:L)-SUMIF(HK!A:A,"195*",HK!K:K)</f>
        <v>0</v>
      </c>
      <c r="H8" s="151"/>
    </row>
    <row r="9" spans="1:8" ht="23.25" customHeight="1" thickBot="1" x14ac:dyDescent="0.3">
      <c r="A9" s="169" t="s">
        <v>65</v>
      </c>
      <c r="B9" s="135">
        <f>SUMIF(HK!A:A,"196*",HK!D:D)-SUMIF(HK!A:A,"196*",HK!C:C)</f>
        <v>0</v>
      </c>
      <c r="C9" s="231"/>
      <c r="D9" s="231"/>
      <c r="E9" s="231"/>
      <c r="F9" s="135">
        <f>SUMIF(HK!A:A,"196*",HK!L:L)-SUMIF(HK!A:A,"196*",HK!K:K)</f>
        <v>0</v>
      </c>
      <c r="H9" s="151"/>
    </row>
    <row r="10" spans="1:8" ht="23.25" customHeight="1" thickBot="1" x14ac:dyDescent="0.3">
      <c r="A10" s="169" t="s">
        <v>1098</v>
      </c>
      <c r="B10" s="160"/>
      <c r="C10" s="160"/>
      <c r="D10" s="160"/>
      <c r="E10" s="160"/>
      <c r="F10" s="124">
        <f>SUM(B10:E10)</f>
        <v>0</v>
      </c>
    </row>
    <row r="11" spans="1:8" ht="23.25" customHeight="1" thickBot="1" x14ac:dyDescent="0.3">
      <c r="A11" s="169" t="s">
        <v>226</v>
      </c>
      <c r="B11" s="160"/>
      <c r="C11" s="160"/>
      <c r="D11" s="160"/>
      <c r="E11" s="160"/>
      <c r="F11" s="124">
        <f>SUM(B11:E11)</f>
        <v>0</v>
      </c>
    </row>
    <row r="12" spans="1:8" ht="23.25" customHeight="1" thickBot="1" x14ac:dyDescent="0.3">
      <c r="A12" s="125" t="s">
        <v>955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18">
        <f>SUM(F5:F11)</f>
        <v>0</v>
      </c>
    </row>
    <row r="13" spans="1:8" ht="17.25" thickTop="1" x14ac:dyDescent="0.3">
      <c r="A13" s="23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423</v>
      </c>
    </row>
    <row r="2" spans="1:2" ht="16.5" x14ac:dyDescent="0.3">
      <c r="A2" s="239"/>
    </row>
    <row r="3" spans="1:2" ht="17.25" thickBot="1" x14ac:dyDescent="0.35">
      <c r="A3" s="239" t="s">
        <v>6</v>
      </c>
    </row>
    <row r="4" spans="1:2" ht="24" customHeight="1" thickTop="1" thickBot="1" x14ac:dyDescent="0.3">
      <c r="A4" s="191" t="s">
        <v>1098</v>
      </c>
      <c r="B4" s="32" t="s">
        <v>216</v>
      </c>
    </row>
    <row r="5" spans="1:2" ht="24" thickTop="1" thickBot="1" x14ac:dyDescent="0.3">
      <c r="A5" s="190" t="s">
        <v>163</v>
      </c>
      <c r="B5" s="221"/>
    </row>
    <row r="6" spans="1:2" ht="24.75" customHeight="1" thickBot="1" x14ac:dyDescent="0.3">
      <c r="A6" s="37" t="s">
        <v>852</v>
      </c>
      <c r="B6" s="211"/>
    </row>
    <row r="7" spans="1:2" ht="15.75" thickTop="1" x14ac:dyDescent="0.25">
      <c r="A7" s="74"/>
      <c r="B7" s="2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249</v>
      </c>
    </row>
    <row r="2" spans="1:2" ht="16.5" thickTop="1" thickBot="1" x14ac:dyDescent="0.3">
      <c r="A2" s="191" t="s">
        <v>74</v>
      </c>
      <c r="B2" s="32" t="s">
        <v>856</v>
      </c>
    </row>
    <row r="3" spans="1:2" ht="24" customHeight="1" thickTop="1" thickBot="1" x14ac:dyDescent="0.3">
      <c r="A3" s="190" t="s">
        <v>259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1116</v>
      </c>
    </row>
    <row r="2" spans="1:7" ht="17.25" thickBot="1" x14ac:dyDescent="0.35">
      <c r="A2" s="239" t="s">
        <v>225</v>
      </c>
    </row>
    <row r="3" spans="1:7" ht="45" customHeight="1" thickTop="1" thickBot="1" x14ac:dyDescent="0.3">
      <c r="A3" s="204" t="s">
        <v>128</v>
      </c>
      <c r="B3" s="47" t="s">
        <v>842</v>
      </c>
      <c r="C3" s="47" t="s">
        <v>388</v>
      </c>
      <c r="D3" s="47" t="s">
        <v>1037</v>
      </c>
    </row>
    <row r="4" spans="1:7" ht="20.25" customHeight="1" thickTop="1" thickBot="1" x14ac:dyDescent="0.3">
      <c r="A4" s="169" t="s">
        <v>1012</v>
      </c>
      <c r="B4" s="135">
        <f>SUMIF(HK!A:A,"606*",HK!L:L)-SUMIF(HK!A:A,"606*",HK!K:K)</f>
        <v>0</v>
      </c>
      <c r="C4" s="135">
        <f>SUMIF(HKM!A:A,"606*",HKM!L:L)-SUMIF(HKM!A:A,"606*",HKM!K:K)</f>
        <v>0</v>
      </c>
      <c r="D4" s="124"/>
      <c r="G4" s="151"/>
    </row>
    <row r="5" spans="1:7" ht="20.25" customHeight="1" thickBot="1" x14ac:dyDescent="0.3">
      <c r="A5" s="169" t="s">
        <v>429</v>
      </c>
      <c r="B5" s="124"/>
      <c r="C5" s="124"/>
      <c r="D5" s="124"/>
    </row>
    <row r="6" spans="1:7" ht="20.25" customHeight="1" thickBot="1" x14ac:dyDescent="0.3">
      <c r="A6" s="37" t="s">
        <v>511</v>
      </c>
      <c r="B6" s="211"/>
      <c r="C6" s="211"/>
      <c r="D6" s="211">
        <f>D4+D5</f>
        <v>0</v>
      </c>
    </row>
    <row r="7" spans="1:7" ht="15.75" thickTop="1" x14ac:dyDescent="0.25">
      <c r="A7" s="54"/>
      <c r="B7" s="142"/>
      <c r="C7" s="142"/>
      <c r="D7" s="142"/>
    </row>
    <row r="8" spans="1:7" x14ac:dyDescent="0.25">
      <c r="A8" s="54"/>
      <c r="B8" s="142"/>
      <c r="C8" s="142"/>
      <c r="D8" s="142"/>
    </row>
    <row r="9" spans="1:7" ht="15.75" thickBot="1" x14ac:dyDescent="0.3">
      <c r="A9" s="54" t="s">
        <v>5</v>
      </c>
      <c r="B9" s="142"/>
      <c r="C9" s="142"/>
      <c r="D9" s="142"/>
    </row>
    <row r="10" spans="1:7" ht="45" customHeight="1" thickTop="1" thickBot="1" x14ac:dyDescent="0.3">
      <c r="A10" s="204" t="s">
        <v>128</v>
      </c>
      <c r="B10" s="47" t="s">
        <v>842</v>
      </c>
      <c r="C10" s="47" t="s">
        <v>388</v>
      </c>
      <c r="D10" s="47" t="s">
        <v>879</v>
      </c>
    </row>
    <row r="11" spans="1:7" ht="35.25" thickTop="1" thickBot="1" x14ac:dyDescent="0.3">
      <c r="A11" s="169" t="s">
        <v>1043</v>
      </c>
      <c r="B11" s="124"/>
      <c r="C11" s="124"/>
      <c r="D11" s="124"/>
    </row>
    <row r="12" spans="1:7" ht="34.5" thickBot="1" x14ac:dyDescent="0.3">
      <c r="A12" s="169" t="s">
        <v>62</v>
      </c>
      <c r="B12" s="124"/>
      <c r="C12" s="124"/>
      <c r="D12" s="124"/>
    </row>
    <row r="13" spans="1:7" ht="15.75" thickBot="1" x14ac:dyDescent="0.3">
      <c r="A13" s="37" t="s">
        <v>511</v>
      </c>
      <c r="B13" s="211">
        <f>B11+B12</f>
        <v>0</v>
      </c>
      <c r="C13" s="211">
        <f>C11+C12</f>
        <v>0</v>
      </c>
      <c r="D13" s="211">
        <f>D11+D12</f>
        <v>0</v>
      </c>
    </row>
    <row r="14" spans="1:7" ht="17.25" thickTop="1" x14ac:dyDescent="0.3">
      <c r="A14" s="70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1116</v>
      </c>
    </row>
    <row r="2" spans="1:3" ht="16.5" x14ac:dyDescent="0.3">
      <c r="A2" s="239"/>
    </row>
    <row r="3" spans="1:3" ht="15.75" thickBot="1" x14ac:dyDescent="0.3">
      <c r="A3" s="142" t="s">
        <v>6</v>
      </c>
      <c r="B3" s="142"/>
      <c r="C3" s="142"/>
    </row>
    <row r="4" spans="1:3" ht="45" customHeight="1" thickTop="1" thickBot="1" x14ac:dyDescent="0.3">
      <c r="A4" s="204" t="s">
        <v>625</v>
      </c>
      <c r="B4" s="47" t="s">
        <v>353</v>
      </c>
      <c r="C4" s="47" t="s">
        <v>445</v>
      </c>
    </row>
    <row r="5" spans="1:3" ht="24" thickTop="1" thickBot="1" x14ac:dyDescent="0.3">
      <c r="A5" s="169" t="s">
        <v>711</v>
      </c>
      <c r="B5" s="124"/>
      <c r="C5" s="124"/>
    </row>
    <row r="6" spans="1:3" ht="34.5" thickBot="1" x14ac:dyDescent="0.3">
      <c r="A6" s="169" t="s">
        <v>1000</v>
      </c>
      <c r="B6" s="124"/>
      <c r="C6" s="124"/>
    </row>
    <row r="7" spans="1:3" ht="20.25" customHeight="1" thickBot="1" x14ac:dyDescent="0.3">
      <c r="A7" s="169" t="s">
        <v>664</v>
      </c>
      <c r="B7" s="124"/>
      <c r="C7" s="124"/>
    </row>
    <row r="8" spans="1:3" ht="20.25" customHeight="1" thickBot="1" x14ac:dyDescent="0.3">
      <c r="A8" s="37" t="s">
        <v>52</v>
      </c>
      <c r="B8" s="211"/>
      <c r="C8" s="211"/>
    </row>
    <row r="9" spans="1:3" ht="15.75" thickTop="1" x14ac:dyDescent="0.25">
      <c r="A9" s="142"/>
      <c r="B9" s="142"/>
      <c r="C9" s="142"/>
    </row>
    <row r="10" spans="1:3" x14ac:dyDescent="0.25">
      <c r="A10" s="48"/>
      <c r="B10" s="142"/>
      <c r="C10" s="142"/>
    </row>
    <row r="11" spans="1:3" ht="15.75" thickBot="1" x14ac:dyDescent="0.3">
      <c r="A11" s="48" t="s">
        <v>13</v>
      </c>
      <c r="B11" s="142"/>
      <c r="C11" s="142"/>
    </row>
    <row r="12" spans="1:3" ht="45" customHeight="1" thickTop="1" thickBot="1" x14ac:dyDescent="0.3">
      <c r="A12" s="204" t="s">
        <v>962</v>
      </c>
      <c r="B12" s="47" t="s">
        <v>353</v>
      </c>
      <c r="C12" s="47" t="s">
        <v>879</v>
      </c>
    </row>
    <row r="13" spans="1:3" ht="35.25" thickTop="1" thickBot="1" x14ac:dyDescent="0.3">
      <c r="A13" s="169" t="s">
        <v>141</v>
      </c>
      <c r="B13" s="124"/>
      <c r="C13" s="124"/>
    </row>
    <row r="14" spans="1:3" ht="34.5" thickBot="1" x14ac:dyDescent="0.3">
      <c r="A14" s="169" t="s">
        <v>1000</v>
      </c>
      <c r="B14" s="124"/>
      <c r="C14" s="124"/>
    </row>
    <row r="15" spans="1:3" ht="20.25" customHeight="1" thickBot="1" x14ac:dyDescent="0.3">
      <c r="A15" s="169" t="s">
        <v>822</v>
      </c>
      <c r="B15" s="124"/>
      <c r="C15" s="124"/>
    </row>
    <row r="16" spans="1:3" ht="20.25" customHeight="1" thickBot="1" x14ac:dyDescent="0.3">
      <c r="A16" s="37" t="s">
        <v>52</v>
      </c>
      <c r="B16" s="211"/>
      <c r="C16" s="211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49</v>
      </c>
    </row>
    <row r="2" spans="1:11" ht="16.5" thickTop="1" thickBot="1" x14ac:dyDescent="0.3">
      <c r="A2" s="240" t="s">
        <v>1091</v>
      </c>
      <c r="B2" s="245" t="s">
        <v>121</v>
      </c>
      <c r="C2" s="246"/>
      <c r="D2" s="246"/>
      <c r="E2" s="246"/>
      <c r="F2" s="247"/>
    </row>
    <row r="3" spans="1:11" ht="62.25" customHeight="1" thickTop="1" thickBot="1" x14ac:dyDescent="0.3">
      <c r="A3" s="254"/>
      <c r="B3" s="165" t="s">
        <v>147</v>
      </c>
      <c r="C3" s="155" t="s">
        <v>94</v>
      </c>
      <c r="D3" s="165" t="s">
        <v>61</v>
      </c>
      <c r="E3" s="155" t="s">
        <v>389</v>
      </c>
      <c r="F3" s="165" t="s">
        <v>507</v>
      </c>
    </row>
    <row r="4" spans="1:11" s="168" customFormat="1" ht="33" customHeight="1" thickTop="1" thickBot="1" x14ac:dyDescent="0.3">
      <c r="A4" s="110" t="s">
        <v>1004</v>
      </c>
      <c r="B4" s="80">
        <f>SUMIF(SUAM!C:C,"042",SUAM!E:E)+SUMIF(SUAM!C:C,"054",SUAM!E:E)</f>
        <v>112311.83</v>
      </c>
      <c r="C4" s="29"/>
      <c r="D4" s="29"/>
      <c r="E4" s="29"/>
      <c r="F4" s="194">
        <f>SUMIF(SUA!C:C,"042",SUA!E:E)+SUMIF(SUA!C:C,"054",SUA!E:E)</f>
        <v>0</v>
      </c>
      <c r="G4" s="185"/>
      <c r="H4" s="185"/>
      <c r="I4" s="24"/>
      <c r="K4" s="223"/>
    </row>
    <row r="5" spans="1:11" s="168" customFormat="1" ht="33" customHeight="1" thickBot="1" x14ac:dyDescent="0.3">
      <c r="A5" s="110" t="s">
        <v>889</v>
      </c>
      <c r="B5" s="30">
        <f>SUMIF(SUAM!C:C,"047",SUAM!E:E)+SUMIF(SUAM!C:C,"059",SUAM!E:E)</f>
        <v>0</v>
      </c>
      <c r="C5" s="231"/>
      <c r="D5" s="231"/>
      <c r="E5" s="231"/>
      <c r="F5" s="135">
        <f>SUMIF(SUA!C:C,"047",SUA!E:E)+SUMIF(SUA!C:C,"059",SUA!E:E)</f>
        <v>0</v>
      </c>
      <c r="G5" s="185"/>
      <c r="H5" s="185"/>
      <c r="I5" s="24"/>
      <c r="K5" s="223"/>
    </row>
    <row r="6" spans="1:11" s="168" customFormat="1" ht="33" customHeight="1" thickBot="1" x14ac:dyDescent="0.3">
      <c r="A6" s="110" t="s">
        <v>359</v>
      </c>
      <c r="B6" s="30">
        <f>SUMIF(SUAM!C:C,"048",SUAM!E:E)+SUMIF(SUAM!C:C,"060",SUAM!E:E)</f>
        <v>0</v>
      </c>
      <c r="C6" s="231"/>
      <c r="D6" s="231"/>
      <c r="E6" s="231"/>
      <c r="F6" s="135">
        <f>SUMIF(SUA!C:C,"048",SUA!E:E)+SUMIF(SUA!C:C,"060",SUA!E:E)</f>
        <v>0</v>
      </c>
      <c r="G6" s="185"/>
      <c r="H6" s="185"/>
      <c r="I6" s="24"/>
      <c r="K6" s="223"/>
    </row>
    <row r="7" spans="1:11" s="168" customFormat="1" ht="33" customHeight="1" thickBot="1" x14ac:dyDescent="0.3">
      <c r="A7" s="110" t="s">
        <v>1035</v>
      </c>
      <c r="B7" s="30">
        <f>SUMIF(SUAM!C:C,"049",SUAM!E:E)+SUMIF(SUAM!C:C,"061",SUAM!E:E)</f>
        <v>0</v>
      </c>
      <c r="C7" s="231"/>
      <c r="D7" s="231"/>
      <c r="E7" s="231"/>
      <c r="F7" s="135">
        <f>SUMIF(SUA!C:C,"049",SUA!E:E)+SUMIF(SUA!C:C,"061",SUA!E:E)</f>
        <v>0</v>
      </c>
      <c r="G7" s="185"/>
      <c r="H7" s="185"/>
      <c r="I7" s="24"/>
      <c r="K7" s="223"/>
    </row>
    <row r="8" spans="1:11" s="168" customFormat="1" ht="33" customHeight="1" thickBot="1" x14ac:dyDescent="0.3">
      <c r="A8" s="110" t="s">
        <v>1082</v>
      </c>
      <c r="B8" s="30">
        <f>SUMIF(SUAM!C:C,"051",SUAM!E:E)+SUMIF(SUAM!C:C,"062",SUAM!E:E)+SUMIF(SUAM!C:C,"063",SUAM!E:E)</f>
        <v>0</v>
      </c>
      <c r="C8" s="231"/>
      <c r="D8" s="231"/>
      <c r="E8" s="231"/>
      <c r="F8" s="135">
        <f>SUMIF(SUA!C:C,"051",SUA!E:E)+SUMIF(SUA!C:C,"062",SUA!E:E)+SUMIF(SUA!C:C,"063",SUA!E:E)</f>
        <v>0</v>
      </c>
      <c r="G8" s="185"/>
      <c r="H8" s="185"/>
      <c r="I8" s="24"/>
      <c r="K8" s="223"/>
    </row>
    <row r="9" spans="1:11" s="168" customFormat="1" ht="33" customHeight="1" thickBot="1" x14ac:dyDescent="0.3">
      <c r="A9" s="122" t="s">
        <v>978</v>
      </c>
      <c r="B9" s="90">
        <f>SUM(D4:D8)</f>
        <v>0</v>
      </c>
      <c r="C9" s="202"/>
      <c r="D9" s="202"/>
      <c r="E9" s="202"/>
      <c r="F9" s="202">
        <f>SUM(F4:F8)</f>
        <v>0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918</v>
      </c>
    </row>
    <row r="2" spans="1:6" ht="17.25" thickBot="1" x14ac:dyDescent="0.35">
      <c r="A2" s="239" t="s">
        <v>225</v>
      </c>
    </row>
    <row r="3" spans="1:6" ht="22.5" customHeight="1" thickTop="1" thickBot="1" x14ac:dyDescent="0.3">
      <c r="A3" s="191" t="s">
        <v>490</v>
      </c>
      <c r="B3" s="32" t="s">
        <v>523</v>
      </c>
      <c r="C3" s="32" t="s">
        <v>880</v>
      </c>
      <c r="D3" s="32" t="s">
        <v>978</v>
      </c>
    </row>
    <row r="4" spans="1:6" ht="22.5" customHeight="1" thickTop="1" thickBot="1" x14ac:dyDescent="0.3">
      <c r="A4" s="104" t="s">
        <v>391</v>
      </c>
      <c r="B4" s="8"/>
      <c r="C4" s="8"/>
      <c r="D4" s="20"/>
    </row>
    <row r="5" spans="1:6" ht="22.5" customHeight="1" thickTop="1" thickBot="1" x14ac:dyDescent="0.3">
      <c r="A5" s="169" t="s">
        <v>1005</v>
      </c>
      <c r="B5" s="41"/>
      <c r="C5" s="41"/>
      <c r="D5" s="228">
        <f>SUMIF(SUA!C:C,"042",SUA!F:F)</f>
        <v>0</v>
      </c>
      <c r="E5" s="56"/>
      <c r="F5" s="24"/>
    </row>
    <row r="6" spans="1:6" ht="22.5" customHeight="1" thickBot="1" x14ac:dyDescent="0.3">
      <c r="A6" s="169" t="s">
        <v>889</v>
      </c>
      <c r="B6" s="41"/>
      <c r="C6" s="41"/>
      <c r="D6" s="228">
        <f>SUMIF(SUA!C:C,"047",SUA!F:F)</f>
        <v>0</v>
      </c>
      <c r="E6" s="56"/>
      <c r="F6" s="24"/>
    </row>
    <row r="7" spans="1:6" ht="22.5" customHeight="1" thickBot="1" x14ac:dyDescent="0.3">
      <c r="A7" s="169" t="s">
        <v>359</v>
      </c>
      <c r="B7" s="41"/>
      <c r="C7" s="41"/>
      <c r="D7" s="228">
        <f>SUMIF(SUA!C:C,"048",SUA!F:F)</f>
        <v>0</v>
      </c>
      <c r="E7" s="56"/>
      <c r="F7" s="24"/>
    </row>
    <row r="8" spans="1:6" ht="22.5" customHeight="1" thickBot="1" x14ac:dyDescent="0.3">
      <c r="A8" s="169" t="s">
        <v>1035</v>
      </c>
      <c r="B8" s="41"/>
      <c r="C8" s="41"/>
      <c r="D8" s="228">
        <f>SUMIF(SUA!C:C,"049",SUA!F:F)</f>
        <v>0</v>
      </c>
      <c r="E8" s="56"/>
      <c r="F8" s="24"/>
    </row>
    <row r="9" spans="1:6" ht="22.5" customHeight="1" thickBot="1" x14ac:dyDescent="0.3">
      <c r="A9" s="169" t="s">
        <v>1082</v>
      </c>
      <c r="B9" s="41"/>
      <c r="C9" s="41"/>
      <c r="D9" s="228">
        <f>SUMIF(SUA!C:C,"051",SUA!F:F)</f>
        <v>0</v>
      </c>
      <c r="E9" s="56"/>
      <c r="F9" s="24"/>
    </row>
    <row r="10" spans="1:6" ht="22.5" customHeight="1" thickBot="1" x14ac:dyDescent="0.3">
      <c r="A10" s="125" t="s">
        <v>560</v>
      </c>
      <c r="B10" s="14">
        <f>SUM(B5:B9)</f>
        <v>0</v>
      </c>
      <c r="C10" s="14">
        <f>SUM(C5:C9)</f>
        <v>0</v>
      </c>
      <c r="D10" s="63">
        <f>SUM(D5:D9)</f>
        <v>0</v>
      </c>
      <c r="E10" s="56"/>
      <c r="F10" s="56"/>
    </row>
    <row r="11" spans="1:6" ht="22.5" customHeight="1" thickTop="1" thickBot="1" x14ac:dyDescent="0.3">
      <c r="A11" s="104" t="s">
        <v>217</v>
      </c>
      <c r="B11" s="8"/>
      <c r="C11" s="8"/>
      <c r="D11" s="226"/>
      <c r="E11" s="56"/>
      <c r="F11" s="56"/>
    </row>
    <row r="12" spans="1:6" ht="22.5" customHeight="1" thickTop="1" thickBot="1" x14ac:dyDescent="0.3">
      <c r="A12" s="169" t="s">
        <v>739</v>
      </c>
      <c r="B12" s="41"/>
      <c r="C12" s="41"/>
      <c r="D12" s="228">
        <f>SUMIF(SUA!C:C,"054",SUA!F:F)</f>
        <v>621025.54</v>
      </c>
      <c r="E12" s="56"/>
      <c r="F12" s="24"/>
    </row>
    <row r="13" spans="1:6" ht="22.5" customHeight="1" thickBot="1" x14ac:dyDescent="0.3">
      <c r="A13" s="169" t="s">
        <v>889</v>
      </c>
      <c r="B13" s="41"/>
      <c r="C13" s="41"/>
      <c r="D13" s="228">
        <f>SUMIF(SUA!C:C,"059",SUA!F:F)</f>
        <v>0</v>
      </c>
      <c r="E13" s="56"/>
      <c r="F13" s="24"/>
    </row>
    <row r="14" spans="1:6" ht="22.5" customHeight="1" thickBot="1" x14ac:dyDescent="0.3">
      <c r="A14" s="169" t="s">
        <v>359</v>
      </c>
      <c r="B14" s="41"/>
      <c r="C14" s="41"/>
      <c r="D14" s="228">
        <f>SUMIF(SUA!C:C,"060",SUA!F:F)</f>
        <v>0</v>
      </c>
      <c r="E14" s="56"/>
      <c r="F14" s="24"/>
    </row>
    <row r="15" spans="1:6" ht="22.5" customHeight="1" thickBot="1" x14ac:dyDescent="0.3">
      <c r="A15" s="169" t="s">
        <v>1035</v>
      </c>
      <c r="B15" s="41"/>
      <c r="C15" s="41"/>
      <c r="D15" s="228">
        <f>SUMIF(SUA!C:C,"061",SUA!F:F)</f>
        <v>0</v>
      </c>
      <c r="E15" s="56"/>
      <c r="F15" s="24"/>
    </row>
    <row r="16" spans="1:6" ht="22.5" customHeight="1" thickBot="1" x14ac:dyDescent="0.3">
      <c r="A16" s="169" t="s">
        <v>940</v>
      </c>
      <c r="B16" s="41"/>
      <c r="C16" s="41"/>
      <c r="D16" s="228">
        <f>SUMIF(SUA!C:C,"062",SUA!F:F)</f>
        <v>0</v>
      </c>
      <c r="E16" s="56"/>
      <c r="F16" s="24"/>
    </row>
    <row r="17" spans="1:6" ht="22.5" customHeight="1" thickBot="1" x14ac:dyDescent="0.3">
      <c r="A17" s="169" t="s">
        <v>332</v>
      </c>
      <c r="B17" s="41"/>
      <c r="C17" s="41"/>
      <c r="D17" s="228">
        <f>SUMIF(SUA!C:C,"063",SUA!F:F)</f>
        <v>0</v>
      </c>
      <c r="E17" s="56"/>
      <c r="F17" s="24"/>
    </row>
    <row r="18" spans="1:6" ht="22.5" customHeight="1" thickBot="1" x14ac:dyDescent="0.3">
      <c r="A18" s="169" t="s">
        <v>1082</v>
      </c>
      <c r="B18" s="41"/>
      <c r="C18" s="41"/>
      <c r="D18" s="228">
        <f>SUMIF(SUA!C:C,"065",SUA!F:F)</f>
        <v>402282.38</v>
      </c>
      <c r="E18" s="56"/>
      <c r="F18" s="24"/>
    </row>
    <row r="19" spans="1:6" ht="22.5" customHeight="1" thickBot="1" x14ac:dyDescent="0.3">
      <c r="A19" s="125" t="s">
        <v>333</v>
      </c>
      <c r="B19" s="14">
        <f>SUM(B12:B18)</f>
        <v>0</v>
      </c>
      <c r="C19" s="14">
        <f>SUM(C12:C18)</f>
        <v>0</v>
      </c>
      <c r="D19" s="118">
        <f>SUM(D12:D18)</f>
        <v>1023307.92</v>
      </c>
    </row>
    <row r="20" spans="1:6" ht="17.25" thickTop="1" x14ac:dyDescent="0.3">
      <c r="A20" s="83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58" t="s">
        <v>150</v>
      </c>
      <c r="B1" s="258"/>
      <c r="C1" s="258"/>
    </row>
    <row r="2" spans="1:3" ht="16.5" thickTop="1" thickBot="1" x14ac:dyDescent="0.3">
      <c r="A2" s="240" t="s">
        <v>72</v>
      </c>
      <c r="B2" s="259" t="s">
        <v>121</v>
      </c>
      <c r="C2" s="260"/>
    </row>
    <row r="3" spans="1:3" ht="16.5" thickTop="1" thickBot="1" x14ac:dyDescent="0.3">
      <c r="A3" s="254"/>
      <c r="B3" s="32" t="s">
        <v>1010</v>
      </c>
      <c r="C3" s="204" t="s">
        <v>182</v>
      </c>
    </row>
    <row r="4" spans="1:3" ht="24" thickTop="1" thickBot="1" x14ac:dyDescent="0.3">
      <c r="A4" s="190" t="s">
        <v>963</v>
      </c>
      <c r="B4" s="22"/>
      <c r="C4" s="221"/>
    </row>
    <row r="5" spans="1:3" ht="23.25" thickBot="1" x14ac:dyDescent="0.3">
      <c r="A5" s="169" t="s">
        <v>514</v>
      </c>
      <c r="B5" s="9" t="s">
        <v>66</v>
      </c>
      <c r="C5" s="12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356</v>
      </c>
    </row>
    <row r="2" spans="1:3" ht="21.75" customHeight="1" thickTop="1" thickBot="1" x14ac:dyDescent="0.3">
      <c r="A2" s="191" t="s">
        <v>128</v>
      </c>
      <c r="B2" s="32" t="s">
        <v>121</v>
      </c>
      <c r="C2" s="32" t="s">
        <v>734</v>
      </c>
    </row>
    <row r="3" spans="1:3" ht="22.5" customHeight="1" thickTop="1" thickBot="1" x14ac:dyDescent="0.3">
      <c r="A3" s="190" t="s">
        <v>223</v>
      </c>
      <c r="B3" s="221"/>
      <c r="C3" s="221"/>
    </row>
    <row r="4" spans="1:3" ht="22.5" customHeight="1" thickBot="1" x14ac:dyDescent="0.3">
      <c r="A4" s="169" t="s">
        <v>270</v>
      </c>
      <c r="B4" s="124"/>
      <c r="C4" s="124"/>
    </row>
    <row r="5" spans="1:3" ht="22.5" customHeight="1" thickBot="1" x14ac:dyDescent="0.3">
      <c r="A5" s="37" t="s">
        <v>874</v>
      </c>
      <c r="B5" s="211"/>
      <c r="C5" s="211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143</v>
      </c>
    </row>
    <row r="2" spans="1:3" ht="17.25" thickBot="1" x14ac:dyDescent="0.35">
      <c r="A2" s="70" t="s">
        <v>29</v>
      </c>
    </row>
    <row r="3" spans="1:3" ht="24" thickTop="1" thickBot="1" x14ac:dyDescent="0.3">
      <c r="A3" s="191" t="s">
        <v>490</v>
      </c>
      <c r="B3" s="32" t="s">
        <v>121</v>
      </c>
      <c r="C3" s="32" t="s">
        <v>734</v>
      </c>
    </row>
    <row r="4" spans="1:3" ht="16.5" thickTop="1" thickBot="1" x14ac:dyDescent="0.3">
      <c r="A4" s="123" t="s">
        <v>678</v>
      </c>
      <c r="B4" s="116">
        <f>SUMIF(SUA!C:C,"072",SUA!F:F)</f>
        <v>98.8</v>
      </c>
      <c r="C4" s="195">
        <f>SUMIF(SUA!C:C,"072",SUA!G:G)</f>
        <v>27598.799999999999</v>
      </c>
    </row>
    <row r="5" spans="1:3" ht="15.75" thickBot="1" x14ac:dyDescent="0.3">
      <c r="A5" s="110" t="s">
        <v>180</v>
      </c>
      <c r="B5" s="235">
        <f>SUMIF(SUA!C:C,"073",SUA!F:F)-(SUMIF(HK!A:A,"261*",HK!K:K)+SUMIF(HK!A:A,"261*",HK!L:L))</f>
        <v>166263.26</v>
      </c>
      <c r="C5" s="59">
        <f>SUMIF(SUA!C:C,"073",SUA!G:G)-(SUMIF(HK!A:A,"261*",HK!C:C)+SUMIF(HK!A:A,"261*",HK!D:D))</f>
        <v>134824.34000000003</v>
      </c>
    </row>
    <row r="6" spans="1:3" ht="15.75" thickBot="1" x14ac:dyDescent="0.3">
      <c r="A6" s="110" t="s">
        <v>293</v>
      </c>
      <c r="B6" s="235">
        <f>SUMIF(SUA!C:C,"030",SUA!F:F)</f>
        <v>0</v>
      </c>
      <c r="C6" s="59">
        <f>SUMIF(SUA!C:C,"030",SUA!G:G)</f>
        <v>0</v>
      </c>
    </row>
    <row r="7" spans="1:3" ht="15.75" thickBot="1" x14ac:dyDescent="0.3">
      <c r="A7" s="110" t="s">
        <v>641</v>
      </c>
      <c r="B7" s="235">
        <f>SUMIF(HK!A:A,"261*",HK!K:K)-SUMIF(HK!A:A,"261*",HK!L:L)</f>
        <v>0</v>
      </c>
      <c r="C7" s="59">
        <f>SUMIF(HK!A:A,"261*",HK!C:C)-SUMIF(HK!A:A,"261*",HK!D:D)</f>
        <v>174.61</v>
      </c>
    </row>
    <row r="8" spans="1:3" ht="15.75" thickBot="1" x14ac:dyDescent="0.3">
      <c r="A8" s="122" t="s">
        <v>872</v>
      </c>
      <c r="B8" s="138">
        <f>SUM(B4:B7)</f>
        <v>166362.06</v>
      </c>
      <c r="C8" s="118">
        <f>SUM(C4:C7)</f>
        <v>162597.75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143</v>
      </c>
    </row>
    <row r="2" spans="1:7" ht="17.25" thickBot="1" x14ac:dyDescent="0.35">
      <c r="A2" s="70" t="s">
        <v>6</v>
      </c>
    </row>
    <row r="3" spans="1:7" ht="16.5" thickTop="1" thickBot="1" x14ac:dyDescent="0.3">
      <c r="A3" s="240" t="s">
        <v>660</v>
      </c>
      <c r="B3" s="245" t="s">
        <v>121</v>
      </c>
      <c r="C3" s="246"/>
      <c r="D3" s="246"/>
      <c r="E3" s="247"/>
    </row>
    <row r="4" spans="1:7" ht="18" customHeight="1" thickTop="1" x14ac:dyDescent="0.25">
      <c r="A4" s="241"/>
      <c r="B4" s="241" t="s">
        <v>57</v>
      </c>
      <c r="C4" s="241" t="s">
        <v>1064</v>
      </c>
      <c r="D4" s="241" t="s">
        <v>18</v>
      </c>
      <c r="E4" s="241" t="s">
        <v>84</v>
      </c>
    </row>
    <row r="5" spans="1:7" ht="17.25" customHeight="1" thickBot="1" x14ac:dyDescent="0.3">
      <c r="A5" s="254"/>
      <c r="B5" s="254"/>
      <c r="C5" s="254"/>
      <c r="D5" s="254"/>
      <c r="E5" s="254"/>
    </row>
    <row r="6" spans="1:7" ht="21.75" customHeight="1" thickTop="1" thickBot="1" x14ac:dyDescent="0.3">
      <c r="A6" s="169" t="s">
        <v>894</v>
      </c>
      <c r="B6" s="135">
        <f>SUMIF(HK!A:A,"251*",HK!C:C)-SUMIF(HK!A:A,"251*",HK!D:D)</f>
        <v>0</v>
      </c>
      <c r="C6" s="231"/>
      <c r="D6" s="231"/>
      <c r="E6" s="228">
        <f>SUMIF(HK!A:A,"251*",HK!K:K)-SUMIF(HK!A:A,"251*",HK!L:L)</f>
        <v>0</v>
      </c>
      <c r="F6" s="56"/>
      <c r="G6" s="24"/>
    </row>
    <row r="7" spans="1:7" ht="21.75" customHeight="1" thickBot="1" x14ac:dyDescent="0.3">
      <c r="A7" s="169" t="s">
        <v>188</v>
      </c>
      <c r="B7" s="135">
        <f>SUMIF(HK!A:A,"253*",HK!C:C)-SUMIF(HK!A:A,"253*",HK!D:D)</f>
        <v>0</v>
      </c>
      <c r="C7" s="231"/>
      <c r="D7" s="231"/>
      <c r="E7" s="228">
        <f>SUMIF(HK!A:A,"253*",HK!K:K)-SUMIF(HK!A:A,"253*",HK!L:L)</f>
        <v>0</v>
      </c>
      <c r="F7" s="56"/>
      <c r="G7" s="24"/>
    </row>
    <row r="8" spans="1:7" ht="21.75" customHeight="1" thickBot="1" x14ac:dyDescent="0.3">
      <c r="A8" s="169" t="s">
        <v>113</v>
      </c>
      <c r="B8" s="135"/>
      <c r="C8" s="231"/>
      <c r="D8" s="231"/>
      <c r="E8" s="228"/>
      <c r="F8" s="56"/>
      <c r="G8" s="56"/>
    </row>
    <row r="9" spans="1:7" ht="21.75" customHeight="1" thickBot="1" x14ac:dyDescent="0.3">
      <c r="A9" s="169" t="s">
        <v>20</v>
      </c>
      <c r="B9" s="135">
        <f>SUMIF(HK!A:A,"256*",HK!C:C)-SUMIF(HK!A:A,"256*",HK!D:D)</f>
        <v>0</v>
      </c>
      <c r="C9" s="231"/>
      <c r="D9" s="231"/>
      <c r="E9" s="228">
        <f>SUMIF(HK!A:A,"256*",HK!K:K)-SUMIF(HK!A:A,"256*",HK!L:L)</f>
        <v>0</v>
      </c>
      <c r="F9" s="56"/>
      <c r="G9" s="24"/>
    </row>
    <row r="10" spans="1:7" ht="21.75" customHeight="1" thickBot="1" x14ac:dyDescent="0.3">
      <c r="A10" s="169" t="s">
        <v>1011</v>
      </c>
      <c r="B10" s="135">
        <f>SUMIF(HK!A:A,"257*",HK!C:C)-SUMIF(HK!A:A,"257*",HK!D:D)</f>
        <v>0</v>
      </c>
      <c r="C10" s="231"/>
      <c r="D10" s="231"/>
      <c r="E10" s="228">
        <f>SUMIF(HK!A:A,"257*",HK!K:K)-SUMIF(HK!A:A,"257*",HK!L:L)</f>
        <v>0</v>
      </c>
      <c r="F10" s="56"/>
      <c r="G10" s="24"/>
    </row>
    <row r="11" spans="1:7" ht="21.75" customHeight="1" thickBot="1" x14ac:dyDescent="0.3">
      <c r="A11" s="169" t="s">
        <v>140</v>
      </c>
      <c r="B11" s="135">
        <f>SUMIF(HK!A:A,"259*",HK!C:C)-SUMIF(HK!A:A,"259*",HK!D:D)</f>
        <v>0</v>
      </c>
      <c r="C11" s="231"/>
      <c r="D11" s="231"/>
      <c r="E11" s="228">
        <f>SUMIF(HK!A:A,"259*",HK!K:K)-SUMIF(HK!A:A,"259*",HK!L:L)</f>
        <v>0</v>
      </c>
      <c r="F11" s="56"/>
      <c r="G11" s="24"/>
    </row>
    <row r="12" spans="1:7" ht="21.75" customHeight="1" thickBot="1" x14ac:dyDescent="0.3">
      <c r="A12" s="125" t="s">
        <v>51</v>
      </c>
      <c r="B12" s="14">
        <f>SUM(B6:B11)</f>
        <v>0</v>
      </c>
      <c r="C12" s="14">
        <f>SUM(C6:C11)</f>
        <v>0</v>
      </c>
      <c r="D12" s="14">
        <f>SUM(D6:D11)</f>
        <v>0</v>
      </c>
      <c r="E12" s="118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58" t="s">
        <v>394</v>
      </c>
      <c r="B1" s="258"/>
      <c r="C1" s="258"/>
      <c r="D1" s="258"/>
      <c r="E1" s="258"/>
      <c r="F1" s="258"/>
      <c r="G1" s="168"/>
    </row>
    <row r="2" spans="1:10" ht="55.5" customHeight="1" thickTop="1" thickBot="1" x14ac:dyDescent="0.3">
      <c r="A2" s="204" t="s">
        <v>157</v>
      </c>
      <c r="B2" s="204" t="s">
        <v>138</v>
      </c>
      <c r="C2" s="204" t="s">
        <v>741</v>
      </c>
      <c r="D2" s="204" t="s">
        <v>860</v>
      </c>
      <c r="E2" s="204" t="s">
        <v>389</v>
      </c>
      <c r="F2" s="204" t="s">
        <v>745</v>
      </c>
    </row>
    <row r="3" spans="1:10" ht="23.25" customHeight="1" thickTop="1" thickBot="1" x14ac:dyDescent="0.3">
      <c r="A3" s="17" t="s">
        <v>1011</v>
      </c>
      <c r="B3" s="135">
        <f>SUMIF(SUAM!C:C,"069",SUAM!E:E)</f>
        <v>0</v>
      </c>
      <c r="C3" s="136"/>
      <c r="D3" s="136"/>
      <c r="E3" s="136"/>
      <c r="F3" s="73">
        <f>SUMIF(SUA!C:C,"069",SUA!E:E)</f>
        <v>0</v>
      </c>
      <c r="G3" s="56"/>
      <c r="H3" s="24"/>
      <c r="J3" s="223"/>
    </row>
    <row r="4" spans="1:10" ht="23.25" customHeight="1" thickBot="1" x14ac:dyDescent="0.3">
      <c r="A4" s="169" t="s">
        <v>140</v>
      </c>
      <c r="B4" s="135">
        <f>SUMIF(SUAM!C:C,"070",SUAM!E:E)</f>
        <v>0</v>
      </c>
      <c r="C4" s="136"/>
      <c r="D4" s="136"/>
      <c r="E4" s="136"/>
      <c r="F4" s="73">
        <f>SUMIF(SUA!C:C,"070",SUA!E:E)</f>
        <v>0</v>
      </c>
      <c r="G4" s="56"/>
      <c r="H4" s="24"/>
      <c r="J4" s="223"/>
    </row>
    <row r="5" spans="1:10" ht="23.25" customHeight="1" thickBot="1" x14ac:dyDescent="0.3">
      <c r="A5" s="125" t="s">
        <v>51</v>
      </c>
      <c r="B5" s="103">
        <f>SUM(B3:B4)</f>
        <v>0</v>
      </c>
      <c r="C5" s="103">
        <f>SUM(C3:C4)</f>
        <v>0</v>
      </c>
      <c r="D5" s="103">
        <f>SUM(D3:D4)</f>
        <v>0</v>
      </c>
      <c r="E5" s="103">
        <f>SUM(E3:E4)</f>
        <v>0</v>
      </c>
      <c r="F5" s="212">
        <f>SUM(B5:E5)</f>
        <v>0</v>
      </c>
    </row>
    <row r="6" spans="1:10" ht="15.75" thickTop="1" x14ac:dyDescent="0.25"/>
    <row r="10" spans="1:10" x14ac:dyDescent="0.25">
      <c r="B10" s="142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58" t="s">
        <v>269</v>
      </c>
      <c r="B1" s="258"/>
      <c r="C1" s="168"/>
    </row>
    <row r="2" spans="1:3" ht="16.5" thickTop="1" thickBot="1" x14ac:dyDescent="0.3">
      <c r="A2" s="95" t="s">
        <v>490</v>
      </c>
      <c r="B2" s="196" t="s">
        <v>856</v>
      </c>
    </row>
    <row r="3" spans="1:3" ht="24" thickTop="1" thickBot="1" x14ac:dyDescent="0.3">
      <c r="A3" s="190" t="s">
        <v>719</v>
      </c>
      <c r="B3" s="129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RowHeight="15" x14ac:dyDescent="0.25"/>
  <cols>
    <col min="1" max="1" width="26.140625" customWidth="1"/>
    <col min="2" max="4" width="20.140625" customWidth="1"/>
  </cols>
  <sheetData>
    <row r="1" spans="1:4" s="168" customFormat="1" ht="36.75" customHeight="1" thickBot="1" x14ac:dyDescent="0.35">
      <c r="A1" s="258" t="s">
        <v>1089</v>
      </c>
      <c r="B1" s="258"/>
      <c r="C1" s="258"/>
      <c r="D1" s="258"/>
    </row>
    <row r="2" spans="1:4" ht="44.25" customHeight="1" thickTop="1" thickBot="1" x14ac:dyDescent="0.3">
      <c r="A2" s="106" t="s">
        <v>157</v>
      </c>
      <c r="B2" s="47" t="s">
        <v>258</v>
      </c>
      <c r="C2" s="47" t="s">
        <v>196</v>
      </c>
      <c r="D2" s="47" t="s">
        <v>966</v>
      </c>
    </row>
    <row r="3" spans="1:4" ht="16.5" thickTop="1" thickBot="1" x14ac:dyDescent="0.3">
      <c r="A3" s="17" t="s">
        <v>894</v>
      </c>
      <c r="B3" s="201"/>
      <c r="C3" s="201"/>
      <c r="D3" s="35"/>
    </row>
    <row r="4" spans="1:4" ht="15.75" thickBot="1" x14ac:dyDescent="0.3">
      <c r="A4" s="17" t="s">
        <v>188</v>
      </c>
      <c r="B4" s="201"/>
      <c r="C4" s="201"/>
      <c r="D4" s="35"/>
    </row>
    <row r="5" spans="1:4" ht="15.75" thickBot="1" x14ac:dyDescent="0.3">
      <c r="A5" s="17" t="s">
        <v>71</v>
      </c>
      <c r="B5" s="201"/>
      <c r="C5" s="201"/>
      <c r="D5" s="35"/>
    </row>
    <row r="6" spans="1:4" ht="15.75" thickBot="1" x14ac:dyDescent="0.3">
      <c r="A6" s="17" t="s">
        <v>1011</v>
      </c>
      <c r="B6" s="201"/>
      <c r="C6" s="201"/>
      <c r="D6" s="35"/>
    </row>
    <row r="7" spans="1:4" ht="26.25" customHeight="1" thickBot="1" x14ac:dyDescent="0.3">
      <c r="A7" s="67" t="s">
        <v>51</v>
      </c>
      <c r="B7" s="13"/>
      <c r="C7" s="13"/>
      <c r="D7" s="117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964</v>
      </c>
    </row>
    <row r="2" spans="1:7" ht="36.75" customHeight="1" thickTop="1" thickBot="1" x14ac:dyDescent="0.3">
      <c r="A2" s="261" t="s">
        <v>128</v>
      </c>
      <c r="B2" s="264" t="s">
        <v>121</v>
      </c>
      <c r="C2" s="265"/>
      <c r="D2" s="266"/>
      <c r="E2" s="245" t="s">
        <v>173</v>
      </c>
      <c r="F2" s="246"/>
      <c r="G2" s="247"/>
    </row>
    <row r="3" spans="1:7" ht="16.5" thickTop="1" thickBot="1" x14ac:dyDescent="0.3">
      <c r="A3" s="262"/>
      <c r="B3" s="264" t="s">
        <v>510</v>
      </c>
      <c r="C3" s="265"/>
      <c r="D3" s="266"/>
      <c r="E3" s="264" t="s">
        <v>510</v>
      </c>
      <c r="F3" s="265"/>
      <c r="G3" s="266"/>
    </row>
    <row r="4" spans="1:7" ht="46.5" thickTop="1" thickBot="1" x14ac:dyDescent="0.3">
      <c r="A4" s="263"/>
      <c r="B4" s="179" t="s">
        <v>564</v>
      </c>
      <c r="C4" s="179" t="s">
        <v>1131</v>
      </c>
      <c r="D4" s="179" t="s">
        <v>248</v>
      </c>
      <c r="E4" s="179" t="s">
        <v>564</v>
      </c>
      <c r="F4" s="179" t="s">
        <v>1131</v>
      </c>
      <c r="G4" s="179" t="s">
        <v>248</v>
      </c>
    </row>
    <row r="5" spans="1:7" ht="16.5" customHeight="1" thickTop="1" thickBot="1" x14ac:dyDescent="0.3">
      <c r="A5" s="17" t="s">
        <v>1036</v>
      </c>
      <c r="B5" s="201"/>
      <c r="C5" s="201"/>
      <c r="D5" s="201"/>
      <c r="E5" s="201"/>
      <c r="F5" s="201"/>
      <c r="G5" s="35"/>
    </row>
    <row r="6" spans="1:7" ht="15.75" thickBot="1" x14ac:dyDescent="0.3">
      <c r="A6" s="17" t="s">
        <v>287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872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67" t="s">
        <v>797</v>
      </c>
      <c r="B1" s="267"/>
    </row>
    <row r="2" spans="1:2" ht="15.75" thickBot="1" x14ac:dyDescent="0.3">
      <c r="A2" s="142" t="s">
        <v>225</v>
      </c>
      <c r="B2" s="142"/>
    </row>
    <row r="3" spans="1:2" ht="16.5" thickTop="1" thickBot="1" x14ac:dyDescent="0.3">
      <c r="A3" s="106" t="s">
        <v>490</v>
      </c>
      <c r="B3" s="205" t="s">
        <v>734</v>
      </c>
    </row>
    <row r="4" spans="1:2" ht="16.5" thickTop="1" thickBot="1" x14ac:dyDescent="0.3">
      <c r="A4" s="36" t="s">
        <v>81</v>
      </c>
      <c r="B4" s="23">
        <f>IF(SUMIF(SUP!C:C,"100",SUP!E:E)&gt; 0,SUMIF(SUP!C:C,"100",SUP!E:E), 0)</f>
        <v>0</v>
      </c>
    </row>
    <row r="5" spans="1:2" ht="16.5" thickTop="1" thickBot="1" x14ac:dyDescent="0.3">
      <c r="A5" s="36" t="s">
        <v>374</v>
      </c>
      <c r="B5" s="137" t="s">
        <v>121</v>
      </c>
    </row>
    <row r="6" spans="1:2" ht="16.5" thickTop="1" thickBot="1" x14ac:dyDescent="0.3">
      <c r="A6" s="17" t="s">
        <v>24</v>
      </c>
      <c r="B6" s="227"/>
    </row>
    <row r="7" spans="1:2" ht="15.75" thickBot="1" x14ac:dyDescent="0.3">
      <c r="A7" s="17" t="s">
        <v>833</v>
      </c>
      <c r="B7" s="227"/>
    </row>
    <row r="8" spans="1:2" ht="15.75" thickBot="1" x14ac:dyDescent="0.3">
      <c r="A8" s="17" t="s">
        <v>492</v>
      </c>
      <c r="B8" s="227"/>
    </row>
    <row r="9" spans="1:2" ht="15.75" thickBot="1" x14ac:dyDescent="0.3">
      <c r="A9" s="17" t="s">
        <v>870</v>
      </c>
      <c r="B9" s="227"/>
    </row>
    <row r="10" spans="1:2" ht="15.75" thickBot="1" x14ac:dyDescent="0.3">
      <c r="A10" s="17" t="s">
        <v>899</v>
      </c>
      <c r="B10" s="227"/>
    </row>
    <row r="11" spans="1:2" ht="15.75" thickBot="1" x14ac:dyDescent="0.3">
      <c r="A11" s="17" t="s">
        <v>19</v>
      </c>
      <c r="B11" s="227"/>
    </row>
    <row r="12" spans="1:2" ht="15.75" thickBot="1" x14ac:dyDescent="0.3">
      <c r="A12" s="17" t="s">
        <v>1074</v>
      </c>
      <c r="B12" s="227"/>
    </row>
    <row r="13" spans="1:2" ht="15.75" thickBot="1" x14ac:dyDescent="0.3">
      <c r="A13" s="17" t="s">
        <v>473</v>
      </c>
      <c r="B13" s="227"/>
    </row>
    <row r="14" spans="1:2" ht="15.75" thickBot="1" x14ac:dyDescent="0.3">
      <c r="A14" s="36" t="s">
        <v>872</v>
      </c>
      <c r="B14" s="64">
        <f>SUM(B6:B13)</f>
        <v>0</v>
      </c>
    </row>
    <row r="15" spans="1:2" ht="15.75" thickTop="1" x14ac:dyDescent="0.25">
      <c r="A15" s="142"/>
      <c r="B15" s="7"/>
    </row>
    <row r="16" spans="1:2" ht="15.75" thickBot="1" x14ac:dyDescent="0.3">
      <c r="A16" s="142" t="s">
        <v>6</v>
      </c>
      <c r="B16" s="7"/>
    </row>
    <row r="17" spans="1:2" ht="16.5" thickTop="1" thickBot="1" x14ac:dyDescent="0.3">
      <c r="A17" s="106" t="s">
        <v>490</v>
      </c>
      <c r="B17" s="10" t="s">
        <v>734</v>
      </c>
    </row>
    <row r="18" spans="1:2" ht="16.5" thickTop="1" thickBot="1" x14ac:dyDescent="0.3">
      <c r="A18" s="36" t="s">
        <v>450</v>
      </c>
      <c r="B18" s="23">
        <f>IF(SUMIF(SUP!C:C,"100",SUP!E:E)&gt; 0,0,SUMIF(SUP!C:C,"100",SUP!E:E))</f>
        <v>-58637.84</v>
      </c>
    </row>
    <row r="19" spans="1:2" ht="16.5" thickTop="1" thickBot="1" x14ac:dyDescent="0.3">
      <c r="A19" s="36" t="s">
        <v>200</v>
      </c>
      <c r="B19" s="137" t="s">
        <v>121</v>
      </c>
    </row>
    <row r="20" spans="1:2" ht="16.5" thickTop="1" thickBot="1" x14ac:dyDescent="0.3">
      <c r="A20" s="17" t="s">
        <v>231</v>
      </c>
      <c r="B20" s="227"/>
    </row>
    <row r="21" spans="1:2" ht="15.75" thickBot="1" x14ac:dyDescent="0.3">
      <c r="A21" s="17" t="s">
        <v>675</v>
      </c>
      <c r="B21" s="35"/>
    </row>
    <row r="22" spans="1:2" ht="15.75" thickBot="1" x14ac:dyDescent="0.3">
      <c r="A22" s="17" t="s">
        <v>89</v>
      </c>
      <c r="B22" s="35"/>
    </row>
    <row r="23" spans="1:2" ht="15.75" thickBot="1" x14ac:dyDescent="0.3">
      <c r="A23" s="17" t="s">
        <v>606</v>
      </c>
      <c r="B23" s="35"/>
    </row>
    <row r="24" spans="1:2" ht="15.75" thickBot="1" x14ac:dyDescent="0.3">
      <c r="A24" s="17" t="s">
        <v>1132</v>
      </c>
      <c r="B24" s="35"/>
    </row>
    <row r="25" spans="1:2" ht="15.75" thickBot="1" x14ac:dyDescent="0.3">
      <c r="A25" s="17" t="s">
        <v>473</v>
      </c>
      <c r="B25" s="35"/>
    </row>
    <row r="26" spans="1:2" ht="15.75" thickBot="1" x14ac:dyDescent="0.3">
      <c r="A26" s="36" t="s">
        <v>1033</v>
      </c>
      <c r="B26" s="117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0" t="s">
        <v>283</v>
      </c>
      <c r="B1" s="142"/>
      <c r="C1" s="142"/>
      <c r="D1" s="142"/>
      <c r="E1" s="142"/>
      <c r="F1" s="142"/>
    </row>
    <row r="2" spans="1:9" ht="15.75" thickBot="1" x14ac:dyDescent="0.3">
      <c r="A2" s="142" t="s">
        <v>225</v>
      </c>
      <c r="B2" s="142"/>
      <c r="C2" s="142"/>
      <c r="D2" s="142"/>
      <c r="E2" s="142"/>
      <c r="F2" s="142"/>
    </row>
    <row r="3" spans="1:9" ht="16.5" thickTop="1" thickBot="1" x14ac:dyDescent="0.3">
      <c r="A3" s="261" t="s">
        <v>490</v>
      </c>
      <c r="B3" s="264" t="s">
        <v>121</v>
      </c>
      <c r="C3" s="265"/>
      <c r="D3" s="265"/>
      <c r="E3" s="265"/>
      <c r="F3" s="266"/>
    </row>
    <row r="4" spans="1:9" s="168" customFormat="1" ht="33" customHeight="1" thickTop="1" thickBot="1" x14ac:dyDescent="0.3">
      <c r="A4" s="263"/>
      <c r="B4" s="179" t="s">
        <v>57</v>
      </c>
      <c r="C4" s="179" t="s">
        <v>954</v>
      </c>
      <c r="D4" s="192" t="s">
        <v>634</v>
      </c>
      <c r="E4" s="182" t="s">
        <v>646</v>
      </c>
      <c r="F4" s="179" t="s">
        <v>84</v>
      </c>
    </row>
    <row r="5" spans="1:9" ht="21" customHeight="1" thickTop="1" thickBot="1" x14ac:dyDescent="0.3">
      <c r="A5" s="67" t="s">
        <v>435</v>
      </c>
      <c r="B5" s="26">
        <f>SUMIF(HK!A:A,"459*",HK!D:D)-SUMIF(HK!A:A,"459*",HK!C:C)</f>
        <v>0</v>
      </c>
      <c r="C5" s="218">
        <f>SUM(C6:C10)</f>
        <v>0</v>
      </c>
      <c r="D5" s="218">
        <f>SUM(D6:D10)</f>
        <v>0</v>
      </c>
      <c r="E5" s="218">
        <f>SUM(E6:E10)</f>
        <v>0</v>
      </c>
      <c r="F5" s="40">
        <f>SUMIF(HK!A:A,"459*",HK!L:L)-SUMIF(HK!A:A,"459*",HK!K:K)</f>
        <v>0</v>
      </c>
      <c r="G5" s="56"/>
      <c r="H5" s="24"/>
      <c r="I5" s="56"/>
    </row>
    <row r="6" spans="1:9" ht="21" customHeight="1" thickTop="1" thickBot="1" x14ac:dyDescent="0.3">
      <c r="A6" s="180"/>
      <c r="B6" s="234"/>
      <c r="C6" s="136"/>
      <c r="D6" s="121"/>
      <c r="E6" s="121"/>
      <c r="F6" s="53">
        <f>SUM(B6:E6)</f>
        <v>0</v>
      </c>
      <c r="G6" s="56"/>
      <c r="H6" s="56"/>
      <c r="I6" s="56"/>
    </row>
    <row r="7" spans="1:9" ht="21" customHeight="1" thickBot="1" x14ac:dyDescent="0.3">
      <c r="A7" s="180"/>
      <c r="B7" s="234"/>
      <c r="C7" s="136"/>
      <c r="D7" s="193"/>
      <c r="E7" s="193"/>
      <c r="F7" s="53">
        <f>SUM(B7:E7)</f>
        <v>0</v>
      </c>
      <c r="G7" s="56"/>
      <c r="H7" s="56"/>
      <c r="I7" s="56"/>
    </row>
    <row r="8" spans="1:9" ht="21" customHeight="1" thickBot="1" x14ac:dyDescent="0.3">
      <c r="A8" s="180"/>
      <c r="B8" s="234"/>
      <c r="C8" s="136"/>
      <c r="D8" s="193"/>
      <c r="E8" s="193"/>
      <c r="F8" s="53">
        <f>SUM(B8:E8)</f>
        <v>0</v>
      </c>
      <c r="G8" s="56"/>
      <c r="H8" s="56"/>
      <c r="I8" s="56"/>
    </row>
    <row r="9" spans="1:9" ht="21" customHeight="1" thickBot="1" x14ac:dyDescent="0.3">
      <c r="A9" s="180"/>
      <c r="B9" s="234"/>
      <c r="C9" s="136"/>
      <c r="D9" s="193"/>
      <c r="E9" s="193"/>
      <c r="F9" s="53">
        <f>SUM(B9:E9)</f>
        <v>0</v>
      </c>
      <c r="G9" s="56"/>
      <c r="H9" s="56"/>
      <c r="I9" s="56"/>
    </row>
    <row r="10" spans="1:9" ht="21" customHeight="1" thickBot="1" x14ac:dyDescent="0.3">
      <c r="A10" s="220"/>
      <c r="B10" s="85"/>
      <c r="C10" s="208"/>
      <c r="D10" s="25"/>
      <c r="E10" s="25"/>
      <c r="F10" s="172">
        <f>SUM(B10:E10)</f>
        <v>0</v>
      </c>
      <c r="G10" s="56"/>
      <c r="H10" s="56"/>
      <c r="I10" s="56"/>
    </row>
    <row r="11" spans="1:9" ht="21" customHeight="1" thickTop="1" thickBot="1" x14ac:dyDescent="0.3">
      <c r="A11" s="67" t="s">
        <v>168</v>
      </c>
      <c r="B11" s="178">
        <f>SUMIF(HK!A:A,"323*",HK!D:D)-SUMIF(HK!A:A,"323*",HK!C:C)</f>
        <v>0</v>
      </c>
      <c r="C11" s="208">
        <f>SUM(C12:C16)</f>
        <v>0</v>
      </c>
      <c r="D11" s="208">
        <f>SUM(D12:D16)</f>
        <v>0</v>
      </c>
      <c r="E11" s="208">
        <f>SUM(E12:E16)</f>
        <v>0</v>
      </c>
      <c r="F11" s="148">
        <f>SUMIF(HK!A:A,"323*",HK!L:L)-SUMIF(HK!A:A,"323*",HK!K:K)</f>
        <v>0</v>
      </c>
      <c r="G11" s="56"/>
      <c r="H11" s="24"/>
      <c r="I11" s="56"/>
    </row>
    <row r="12" spans="1:9" ht="21" customHeight="1" thickTop="1" thickBot="1" x14ac:dyDescent="0.3">
      <c r="A12" s="180"/>
      <c r="B12" s="234"/>
      <c r="C12" s="136"/>
      <c r="D12" s="121"/>
      <c r="E12" s="121"/>
      <c r="F12" s="53">
        <f t="shared" ref="F12:F17" si="0">SUM(B12:E12)</f>
        <v>0</v>
      </c>
      <c r="G12" s="56"/>
      <c r="H12" s="56"/>
      <c r="I12" s="56"/>
    </row>
    <row r="13" spans="1:9" ht="21" customHeight="1" thickBot="1" x14ac:dyDescent="0.3">
      <c r="A13" s="180"/>
      <c r="B13" s="43"/>
      <c r="C13" s="201"/>
      <c r="D13" s="237"/>
      <c r="E13" s="237"/>
      <c r="F13" s="109">
        <f t="shared" si="0"/>
        <v>0</v>
      </c>
    </row>
    <row r="14" spans="1:9" ht="21" customHeight="1" thickBot="1" x14ac:dyDescent="0.3">
      <c r="A14" s="180"/>
      <c r="B14" s="43"/>
      <c r="C14" s="201"/>
      <c r="D14" s="237"/>
      <c r="E14" s="237"/>
      <c r="F14" s="109">
        <f t="shared" si="0"/>
        <v>0</v>
      </c>
    </row>
    <row r="15" spans="1:9" ht="21" customHeight="1" thickBot="1" x14ac:dyDescent="0.3">
      <c r="A15" s="180"/>
      <c r="B15" s="43"/>
      <c r="C15" s="201"/>
      <c r="D15" s="237"/>
      <c r="E15" s="237"/>
      <c r="F15" s="109">
        <f t="shared" si="0"/>
        <v>0</v>
      </c>
    </row>
    <row r="16" spans="1:9" ht="21" customHeight="1" thickBot="1" x14ac:dyDescent="0.3">
      <c r="A16" s="180"/>
      <c r="B16" s="43"/>
      <c r="C16" s="201"/>
      <c r="D16" s="237"/>
      <c r="E16" s="237"/>
      <c r="F16" s="109">
        <f t="shared" si="0"/>
        <v>0</v>
      </c>
    </row>
    <row r="17" spans="1:9" ht="21" customHeight="1" thickBot="1" x14ac:dyDescent="0.3">
      <c r="A17" s="220"/>
      <c r="B17" s="229"/>
      <c r="C17" s="103"/>
      <c r="D17" s="164"/>
      <c r="E17" s="164"/>
      <c r="F17" s="69">
        <f t="shared" si="0"/>
        <v>0</v>
      </c>
    </row>
    <row r="18" spans="1:9" ht="15.75" thickTop="1" x14ac:dyDescent="0.25">
      <c r="A18" s="168"/>
      <c r="B18" s="168"/>
      <c r="C18" s="168"/>
      <c r="D18" s="168"/>
      <c r="E18" s="168"/>
      <c r="F18" s="168"/>
    </row>
    <row r="19" spans="1:9" ht="16.5" x14ac:dyDescent="0.3">
      <c r="A19" s="239"/>
    </row>
    <row r="20" spans="1:9" ht="15.75" thickBot="1" x14ac:dyDescent="0.3">
      <c r="A20" s="142" t="s">
        <v>6</v>
      </c>
      <c r="B20" s="142"/>
      <c r="C20" s="142"/>
      <c r="D20" s="142"/>
      <c r="E20" s="142"/>
      <c r="F20" s="142"/>
    </row>
    <row r="21" spans="1:9" ht="16.5" thickTop="1" thickBot="1" x14ac:dyDescent="0.3">
      <c r="A21" s="261" t="s">
        <v>490</v>
      </c>
      <c r="B21" s="264" t="s">
        <v>734</v>
      </c>
      <c r="C21" s="265"/>
      <c r="D21" s="265"/>
      <c r="E21" s="265"/>
      <c r="F21" s="266"/>
    </row>
    <row r="22" spans="1:9" s="168" customFormat="1" ht="24" thickTop="1" thickBot="1" x14ac:dyDescent="0.3">
      <c r="A22" s="263"/>
      <c r="B22" s="179" t="s">
        <v>57</v>
      </c>
      <c r="C22" s="179" t="s">
        <v>954</v>
      </c>
      <c r="D22" s="192" t="s">
        <v>634</v>
      </c>
      <c r="E22" s="182" t="s">
        <v>646</v>
      </c>
      <c r="F22" s="179" t="s">
        <v>84</v>
      </c>
    </row>
    <row r="23" spans="1:9" ht="21" customHeight="1" thickTop="1" thickBot="1" x14ac:dyDescent="0.3">
      <c r="A23" s="220" t="s">
        <v>435</v>
      </c>
      <c r="B23" s="26">
        <f>SUMIF(HKM!A:A,"459*",HKM!D:D)-SUMIF(HKM!A:A,"459*",HKM!C:C)</f>
        <v>0</v>
      </c>
      <c r="C23" s="218">
        <f>SUM(C24:C28)</f>
        <v>0</v>
      </c>
      <c r="D23" s="218">
        <f>SUM(D24:D28)</f>
        <v>0</v>
      </c>
      <c r="E23" s="218">
        <f>SUM(E24:E28)</f>
        <v>0</v>
      </c>
      <c r="F23" s="40">
        <f>SUMIF(HKM!A:A,"459*",HKM!L:L)-SUMIF(HKM!A:A,"459*",HKM!K:K)</f>
        <v>0</v>
      </c>
      <c r="G23" s="56"/>
      <c r="H23" s="24"/>
      <c r="I23" s="56"/>
    </row>
    <row r="24" spans="1:9" ht="21" customHeight="1" thickTop="1" thickBot="1" x14ac:dyDescent="0.3">
      <c r="A24" s="180"/>
      <c r="B24" s="234"/>
      <c r="C24" s="136"/>
      <c r="D24" s="121"/>
      <c r="E24" s="121"/>
      <c r="F24" s="53">
        <f>SUM(B24:E24)</f>
        <v>0</v>
      </c>
      <c r="G24" s="56"/>
      <c r="H24" s="56"/>
      <c r="I24" s="56"/>
    </row>
    <row r="25" spans="1:9" ht="21" customHeight="1" thickBot="1" x14ac:dyDescent="0.3">
      <c r="A25" s="180"/>
      <c r="B25" s="234"/>
      <c r="C25" s="136"/>
      <c r="D25" s="193"/>
      <c r="E25" s="193"/>
      <c r="F25" s="53">
        <f>SUM(B25:E25)</f>
        <v>0</v>
      </c>
      <c r="G25" s="56"/>
      <c r="H25" s="56"/>
      <c r="I25" s="56"/>
    </row>
    <row r="26" spans="1:9" ht="21" customHeight="1" thickBot="1" x14ac:dyDescent="0.3">
      <c r="A26" s="180"/>
      <c r="B26" s="234"/>
      <c r="C26" s="136"/>
      <c r="D26" s="193"/>
      <c r="E26" s="193"/>
      <c r="F26" s="53">
        <f>SUM(B26:E26)</f>
        <v>0</v>
      </c>
      <c r="G26" s="56"/>
      <c r="H26" s="56"/>
      <c r="I26" s="56"/>
    </row>
    <row r="27" spans="1:9" ht="21" customHeight="1" thickBot="1" x14ac:dyDescent="0.3">
      <c r="A27" s="180"/>
      <c r="B27" s="234"/>
      <c r="C27" s="136"/>
      <c r="D27" s="193"/>
      <c r="E27" s="193"/>
      <c r="F27" s="53">
        <f>SUM(B27:E27)</f>
        <v>0</v>
      </c>
      <c r="G27" s="56"/>
      <c r="H27" s="56"/>
      <c r="I27" s="56"/>
    </row>
    <row r="28" spans="1:9" ht="21" customHeight="1" thickBot="1" x14ac:dyDescent="0.3">
      <c r="A28" s="220"/>
      <c r="B28" s="85"/>
      <c r="C28" s="208"/>
      <c r="D28" s="25"/>
      <c r="E28" s="25"/>
      <c r="F28" s="172">
        <f>SUM(B28:E28)</f>
        <v>0</v>
      </c>
      <c r="G28" s="56"/>
      <c r="H28" s="56"/>
      <c r="I28" s="56"/>
    </row>
    <row r="29" spans="1:9" ht="21" customHeight="1" thickTop="1" thickBot="1" x14ac:dyDescent="0.3">
      <c r="A29" s="220" t="s">
        <v>168</v>
      </c>
      <c r="B29" s="178">
        <f>SUMIF(HKM!A:A,"323*",HKM!D:D)-SUMIF(HKM!A:A,"323*",HKM!C:C)</f>
        <v>0</v>
      </c>
      <c r="C29" s="208">
        <f>SUM(C30:C34)</f>
        <v>0</v>
      </c>
      <c r="D29" s="208">
        <f>SUM(D30:D34)</f>
        <v>0</v>
      </c>
      <c r="E29" s="208">
        <f>SUM(E30:E34)</f>
        <v>0</v>
      </c>
      <c r="F29" s="148">
        <f>SUMIF(HKM!A:A,"323*",HKM!L:L)-SUMIF(HKM!A:A,"323*",HKM!K:K)</f>
        <v>0</v>
      </c>
      <c r="G29" s="56"/>
      <c r="H29" s="24"/>
      <c r="I29" s="56"/>
    </row>
    <row r="30" spans="1:9" ht="21" customHeight="1" thickTop="1" thickBot="1" x14ac:dyDescent="0.3">
      <c r="A30" s="180"/>
      <c r="B30" s="234"/>
      <c r="C30" s="136"/>
      <c r="D30" s="121"/>
      <c r="E30" s="121"/>
      <c r="F30" s="53">
        <f t="shared" ref="F30:F35" si="1">SUM(B30:E30)</f>
        <v>0</v>
      </c>
      <c r="G30" s="56"/>
      <c r="H30" s="56"/>
      <c r="I30" s="56"/>
    </row>
    <row r="31" spans="1:9" ht="21" customHeight="1" thickBot="1" x14ac:dyDescent="0.3">
      <c r="A31" s="180"/>
      <c r="B31" s="43"/>
      <c r="C31" s="201"/>
      <c r="D31" s="237"/>
      <c r="E31" s="237"/>
      <c r="F31" s="109">
        <f t="shared" si="1"/>
        <v>0</v>
      </c>
    </row>
    <row r="32" spans="1:9" ht="21" customHeight="1" thickBot="1" x14ac:dyDescent="0.3">
      <c r="A32" s="180"/>
      <c r="B32" s="43"/>
      <c r="C32" s="201"/>
      <c r="D32" s="237"/>
      <c r="E32" s="237"/>
      <c r="F32" s="109">
        <f t="shared" si="1"/>
        <v>0</v>
      </c>
    </row>
    <row r="33" spans="1:6" ht="21" customHeight="1" thickBot="1" x14ac:dyDescent="0.3">
      <c r="A33" s="180"/>
      <c r="B33" s="43"/>
      <c r="C33" s="201"/>
      <c r="D33" s="237"/>
      <c r="E33" s="237"/>
      <c r="F33" s="109">
        <f t="shared" si="1"/>
        <v>0</v>
      </c>
    </row>
    <row r="34" spans="1:6" ht="21" customHeight="1" thickBot="1" x14ac:dyDescent="0.3">
      <c r="A34" s="180"/>
      <c r="B34" s="43"/>
      <c r="C34" s="201"/>
      <c r="D34" s="237"/>
      <c r="E34" s="237"/>
      <c r="F34" s="109">
        <f t="shared" si="1"/>
        <v>0</v>
      </c>
    </row>
    <row r="35" spans="1:6" ht="21" customHeight="1" thickBot="1" x14ac:dyDescent="0.3">
      <c r="A35" s="220"/>
      <c r="B35" s="229"/>
      <c r="C35" s="103"/>
      <c r="D35" s="164"/>
      <c r="E35" s="164"/>
      <c r="F35" s="69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125</v>
      </c>
    </row>
    <row r="2" spans="1:3" ht="26.25" customHeight="1" thickTop="1" thickBot="1" x14ac:dyDescent="0.3">
      <c r="A2" s="106" t="s">
        <v>490</v>
      </c>
      <c r="B2" s="47" t="s">
        <v>121</v>
      </c>
      <c r="C2" s="47" t="s">
        <v>734</v>
      </c>
    </row>
    <row r="3" spans="1:3" ht="26.25" customHeight="1" thickTop="1" thickBot="1" x14ac:dyDescent="0.3">
      <c r="A3" s="125" t="s">
        <v>801</v>
      </c>
      <c r="B3" s="127"/>
      <c r="C3" s="126"/>
    </row>
    <row r="4" spans="1:3" ht="26.25" customHeight="1" thickTop="1" thickBot="1" x14ac:dyDescent="0.3">
      <c r="A4" s="169" t="s">
        <v>358</v>
      </c>
      <c r="B4" s="19"/>
      <c r="C4" s="222"/>
    </row>
    <row r="5" spans="1:3" ht="31.5" customHeight="1" thickBot="1" x14ac:dyDescent="0.3">
      <c r="A5" s="169" t="s">
        <v>1026</v>
      </c>
      <c r="B5" s="127"/>
      <c r="C5" s="126"/>
    </row>
    <row r="6" spans="1:3" ht="20.25" customHeight="1" thickBot="1" x14ac:dyDescent="0.3">
      <c r="A6" s="18" t="s">
        <v>316</v>
      </c>
      <c r="B6" s="127"/>
      <c r="C6" s="126"/>
    </row>
    <row r="7" spans="1:3" ht="26.25" customHeight="1" thickBot="1" x14ac:dyDescent="0.3">
      <c r="A7" s="169" t="s">
        <v>263</v>
      </c>
      <c r="B7" s="43"/>
      <c r="C7" s="35"/>
    </row>
    <row r="8" spans="1:3" ht="27.75" customHeight="1" thickBot="1" x14ac:dyDescent="0.3">
      <c r="A8" s="169" t="s">
        <v>251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68" customFormat="1" ht="40.5" customHeight="1" thickBot="1" x14ac:dyDescent="0.35">
      <c r="A1" s="258" t="s">
        <v>1013</v>
      </c>
      <c r="B1" s="258"/>
      <c r="C1" s="258"/>
    </row>
    <row r="2" spans="1:5" ht="24" thickTop="1" thickBot="1" x14ac:dyDescent="0.3">
      <c r="A2" s="106" t="s">
        <v>490</v>
      </c>
      <c r="B2" s="47" t="s">
        <v>121</v>
      </c>
      <c r="C2" s="47" t="s">
        <v>734</v>
      </c>
    </row>
    <row r="3" spans="1:5" ht="35.25" thickTop="1" thickBot="1" x14ac:dyDescent="0.3">
      <c r="A3" s="18" t="s">
        <v>107</v>
      </c>
      <c r="B3" s="201"/>
      <c r="C3" s="35"/>
    </row>
    <row r="4" spans="1:5" ht="23.25" customHeight="1" thickBot="1" x14ac:dyDescent="0.3">
      <c r="A4" s="169" t="s">
        <v>701</v>
      </c>
      <c r="B4" s="201"/>
      <c r="C4" s="35"/>
    </row>
    <row r="5" spans="1:5" ht="23.25" customHeight="1" thickBot="1" x14ac:dyDescent="0.3">
      <c r="A5" s="169" t="s">
        <v>39</v>
      </c>
      <c r="B5" s="201"/>
      <c r="C5" s="35"/>
    </row>
    <row r="6" spans="1:5" ht="45.75" thickBot="1" x14ac:dyDescent="0.3">
      <c r="A6" s="18" t="s">
        <v>360</v>
      </c>
      <c r="B6" s="201"/>
      <c r="C6" s="35"/>
    </row>
    <row r="7" spans="1:5" ht="23.25" customHeight="1" thickBot="1" x14ac:dyDescent="0.3">
      <c r="A7" s="169" t="s">
        <v>701</v>
      </c>
      <c r="B7" s="201"/>
      <c r="C7" s="35"/>
    </row>
    <row r="8" spans="1:5" ht="23.25" customHeight="1" thickBot="1" x14ac:dyDescent="0.3">
      <c r="A8" s="169" t="s">
        <v>39</v>
      </c>
      <c r="B8" s="201"/>
      <c r="C8" s="35"/>
    </row>
    <row r="9" spans="1:5" ht="23.25" customHeight="1" thickBot="1" x14ac:dyDescent="0.3">
      <c r="A9" s="18" t="s">
        <v>513</v>
      </c>
      <c r="B9" s="201"/>
      <c r="C9" s="35"/>
    </row>
    <row r="10" spans="1:5" ht="23.25" customHeight="1" thickBot="1" x14ac:dyDescent="0.3">
      <c r="A10" s="18" t="s">
        <v>565</v>
      </c>
      <c r="B10" s="201"/>
      <c r="C10" s="35"/>
    </row>
    <row r="11" spans="1:5" ht="23.25" customHeight="1" thickBot="1" x14ac:dyDescent="0.3">
      <c r="A11" s="18" t="s">
        <v>867</v>
      </c>
      <c r="B11" s="149">
        <v>0.22</v>
      </c>
      <c r="C11" s="3">
        <v>0.23</v>
      </c>
    </row>
    <row r="12" spans="1:5" ht="23.25" customHeight="1" thickBot="1" x14ac:dyDescent="0.3">
      <c r="A12" s="18" t="s">
        <v>571</v>
      </c>
      <c r="B12" s="232">
        <f>SUMIF(SUA!C:C,"052",SUA!F:F)</f>
        <v>0</v>
      </c>
      <c r="C12" s="73">
        <f>SUMIF(SUA!C:C,"052",SUA!G:G)</f>
        <v>0</v>
      </c>
      <c r="D12" s="56"/>
      <c r="E12" s="92"/>
    </row>
    <row r="13" spans="1:5" ht="23.25" customHeight="1" thickBot="1" x14ac:dyDescent="0.3">
      <c r="A13" s="18" t="s">
        <v>901</v>
      </c>
      <c r="B13" s="136"/>
      <c r="C13" s="227"/>
      <c r="D13" s="56"/>
      <c r="E13" s="56"/>
    </row>
    <row r="14" spans="1:5" ht="23.25" customHeight="1" thickBot="1" x14ac:dyDescent="0.3">
      <c r="A14" s="169" t="s">
        <v>644</v>
      </c>
      <c r="B14" s="136"/>
      <c r="C14" s="227"/>
      <c r="D14" s="56"/>
      <c r="E14" s="56"/>
    </row>
    <row r="15" spans="1:5" ht="23.25" customHeight="1" thickBot="1" x14ac:dyDescent="0.3">
      <c r="A15" s="169" t="s">
        <v>348</v>
      </c>
      <c r="B15" s="136"/>
      <c r="C15" s="227"/>
      <c r="D15" s="56"/>
      <c r="E15" s="56"/>
    </row>
    <row r="16" spans="1:5" ht="23.25" customHeight="1" thickBot="1" x14ac:dyDescent="0.3">
      <c r="A16" s="139" t="s">
        <v>601</v>
      </c>
      <c r="B16" s="232">
        <f>SUMIF(SUA!C:C,"117",SUA!F:F)</f>
        <v>0</v>
      </c>
      <c r="C16" s="73">
        <f>SUMIF(SUA!C:C,"117",SUA!G:G)</f>
        <v>0</v>
      </c>
      <c r="D16" s="56"/>
      <c r="E16" s="92"/>
    </row>
    <row r="17" spans="1:3" ht="23.25" customHeight="1" thickBot="1" x14ac:dyDescent="0.3">
      <c r="A17" s="79" t="s">
        <v>122</v>
      </c>
      <c r="B17" s="201"/>
      <c r="C17" s="35"/>
    </row>
    <row r="18" spans="1:3" ht="23.25" customHeight="1" thickBot="1" x14ac:dyDescent="0.3">
      <c r="A18" s="169" t="s">
        <v>661</v>
      </c>
      <c r="B18" s="201"/>
      <c r="C18" s="35"/>
    </row>
    <row r="19" spans="1:3" ht="23.25" customHeight="1" thickBot="1" x14ac:dyDescent="0.3">
      <c r="A19" s="58" t="s">
        <v>348</v>
      </c>
      <c r="B19" s="45"/>
      <c r="C19" s="128"/>
    </row>
    <row r="20" spans="1:3" ht="18.75" customHeight="1" thickBot="1" x14ac:dyDescent="0.3">
      <c r="A20" s="4" t="s">
        <v>683</v>
      </c>
      <c r="B20" s="81"/>
      <c r="C20" s="81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85</v>
      </c>
    </row>
    <row r="2" spans="1:12" ht="17.25" thickBot="1" x14ac:dyDescent="0.35">
      <c r="A2" s="239" t="s">
        <v>225</v>
      </c>
    </row>
    <row r="3" spans="1:12" ht="15" customHeight="1" thickTop="1" thickBot="1" x14ac:dyDescent="0.3">
      <c r="A3" s="240" t="s">
        <v>95</v>
      </c>
      <c r="B3" s="245" t="s">
        <v>121</v>
      </c>
      <c r="C3" s="246"/>
      <c r="D3" s="246"/>
      <c r="E3" s="246"/>
      <c r="F3" s="246"/>
      <c r="G3" s="246"/>
      <c r="H3" s="246"/>
      <c r="I3" s="247"/>
    </row>
    <row r="4" spans="1:12" ht="35.25" customHeight="1" thickTop="1" thickBot="1" x14ac:dyDescent="0.3">
      <c r="A4" s="241"/>
      <c r="B4" s="155" t="s">
        <v>206</v>
      </c>
      <c r="C4" s="32" t="s">
        <v>616</v>
      </c>
      <c r="D4" s="32" t="s">
        <v>819</v>
      </c>
      <c r="E4" s="191" t="s">
        <v>837</v>
      </c>
      <c r="F4" s="155" t="s">
        <v>205</v>
      </c>
      <c r="G4" s="32" t="s">
        <v>501</v>
      </c>
      <c r="H4" s="32" t="s">
        <v>371</v>
      </c>
      <c r="I4" s="32" t="s">
        <v>872</v>
      </c>
    </row>
    <row r="5" spans="1:12" ht="15" customHeight="1" thickTop="1" thickBot="1" x14ac:dyDescent="0.3">
      <c r="A5" s="15" t="s">
        <v>1090</v>
      </c>
      <c r="B5" s="158"/>
      <c r="C5" s="158"/>
      <c r="D5" s="158"/>
      <c r="E5" s="158"/>
      <c r="F5" s="158"/>
      <c r="G5" s="158"/>
      <c r="H5" s="158"/>
      <c r="I5" s="174"/>
    </row>
    <row r="6" spans="1:12" ht="16.5" thickTop="1" thickBot="1" x14ac:dyDescent="0.3">
      <c r="A6" s="18" t="s">
        <v>934</v>
      </c>
      <c r="B6" s="135">
        <f>SUMIF(HK!A:A,"012*",HK!C:C)-SUMIF(HK!A:A,"012*",HK!D:D)</f>
        <v>0</v>
      </c>
      <c r="C6" s="135">
        <f>SUMIF(HK!A:A,"013*",HK!C:C)-SUMIF(HK!A:A,"013*",HK!D:D)</f>
        <v>0</v>
      </c>
      <c r="D6" s="135">
        <f>SUMIF(HK!A:A,"014*",HK!C:C)-SUMIF(HK!A:A,"014*",HK!D:D)</f>
        <v>0</v>
      </c>
      <c r="E6" s="135">
        <f>SUMIF(HK!A:A,"015*",HK!C:C)-SUMIF(HK!A:A,"015*",HK!D:D)</f>
        <v>0</v>
      </c>
      <c r="F6" s="135">
        <f>SUMIF(HK!A:A,"019*",HK!C:C)-SUMIF(HK!A:A,"019*",HK!D:D)</f>
        <v>0</v>
      </c>
      <c r="G6" s="135">
        <f>SUMIF(HK!A:A,"041*",HK!C:C)-SUMIF(HK!A:A,"041*",HK!D:D)</f>
        <v>0</v>
      </c>
      <c r="H6" s="135">
        <f>SUMIF(HK!A:A,"051*",HK!C:C)-SUMIF(HK!A:A,"051*",HK!D:D)</f>
        <v>0</v>
      </c>
      <c r="I6" s="71">
        <f>SUM(B6:H6)</f>
        <v>0</v>
      </c>
      <c r="J6" s="76"/>
      <c r="K6" s="38"/>
      <c r="L6" s="76"/>
    </row>
    <row r="7" spans="1:12" ht="25.5" customHeight="1" thickBot="1" x14ac:dyDescent="0.3">
      <c r="A7" s="169" t="s">
        <v>1064</v>
      </c>
      <c r="B7" s="231"/>
      <c r="C7" s="135"/>
      <c r="D7" s="135"/>
      <c r="E7" s="135"/>
      <c r="F7" s="135"/>
      <c r="G7" s="135"/>
      <c r="H7" s="135"/>
      <c r="I7" s="71">
        <f>SUM(B7:H7)</f>
        <v>0</v>
      </c>
      <c r="J7" s="76"/>
      <c r="K7" s="76"/>
      <c r="L7" s="76"/>
    </row>
    <row r="8" spans="1:12" ht="15" customHeight="1" thickBot="1" x14ac:dyDescent="0.3">
      <c r="A8" s="169" t="s">
        <v>18</v>
      </c>
      <c r="B8" s="231"/>
      <c r="C8" s="231"/>
      <c r="D8" s="231"/>
      <c r="E8" s="231"/>
      <c r="F8" s="29"/>
      <c r="G8" s="231"/>
      <c r="H8" s="231"/>
      <c r="I8" s="71">
        <f>SUM(B8:H8)</f>
        <v>0</v>
      </c>
      <c r="J8" s="76"/>
      <c r="K8" s="76"/>
      <c r="L8" s="76"/>
    </row>
    <row r="9" spans="1:12" ht="23.25" customHeight="1" thickBot="1" x14ac:dyDescent="0.3">
      <c r="A9" s="169" t="s">
        <v>434</v>
      </c>
      <c r="B9" s="231"/>
      <c r="C9" s="135"/>
      <c r="D9" s="135"/>
      <c r="E9" s="135"/>
      <c r="F9" s="135"/>
      <c r="G9" s="135"/>
      <c r="H9" s="135"/>
      <c r="I9" s="71">
        <f>SUM(B9:H9)</f>
        <v>0</v>
      </c>
      <c r="J9" s="76"/>
      <c r="K9" s="76"/>
      <c r="L9" s="76"/>
    </row>
    <row r="10" spans="1:12" ht="15.75" thickBot="1" x14ac:dyDescent="0.3">
      <c r="A10" s="125" t="s">
        <v>84</v>
      </c>
      <c r="B10" s="135">
        <f>SUMIF(HK!A:A,"012*",HK!K:K)-SUMIF(HK!A:A,"012*",HK!L:L)</f>
        <v>0</v>
      </c>
      <c r="C10" s="135">
        <f>SUMIF(HK!A:A,"013*",HK!K:K)-SUMIF(HK!A:A,"013*",HK!L:L)</f>
        <v>0</v>
      </c>
      <c r="D10" s="135">
        <f>SUMIF(HK!A:A,"014*",HK!K:K)-SUMIF(HK!A:A,"014*",HK!L:L)</f>
        <v>0</v>
      </c>
      <c r="E10" s="135">
        <f>SUMIF(HK!A:A,"015*",HK!K:K)-SUMIF(HK!A:A,"015*",HK!L:L)</f>
        <v>0</v>
      </c>
      <c r="F10" s="135">
        <f>SUMIF(HK!A:A,"019*",HK!K:K)-SUMIF(HK!A:A,"019*",HK!L:L)</f>
        <v>0</v>
      </c>
      <c r="G10" s="135">
        <f>SUMIF(HK!A:A,"041*",HK!K:K)-SUMIF(HK!A:A,"041*",HK!L:L)</f>
        <v>0</v>
      </c>
      <c r="H10" s="135">
        <f>SUMIF(HK!A:A,"051*",HK!K:K)-SUMIF(HK!A:A,"051*",HK!L:L)</f>
        <v>0</v>
      </c>
      <c r="I10" s="147">
        <f>I6+I7-I8+I9</f>
        <v>0</v>
      </c>
      <c r="J10" s="76"/>
      <c r="K10" s="38"/>
      <c r="L10" s="76"/>
    </row>
    <row r="11" spans="1:12" ht="15" customHeight="1" thickTop="1" thickBot="1" x14ac:dyDescent="0.3">
      <c r="A11" s="15" t="s">
        <v>267</v>
      </c>
      <c r="B11" s="141"/>
      <c r="C11" s="141"/>
      <c r="D11" s="186"/>
      <c r="E11" s="141"/>
      <c r="F11" s="141"/>
      <c r="G11" s="141"/>
      <c r="H11" s="141"/>
      <c r="I11" s="114"/>
      <c r="J11" s="76"/>
      <c r="K11" s="76"/>
      <c r="L11" s="76"/>
    </row>
    <row r="12" spans="1:12" ht="16.5" thickTop="1" thickBot="1" x14ac:dyDescent="0.3">
      <c r="A12" s="18" t="s">
        <v>57</v>
      </c>
      <c r="B12" s="135">
        <f>SUMIF(HK!A:A,"071*",HK!D:D)-SUMIF(HK!A:A,"071*",HK!C:C)</f>
        <v>0</v>
      </c>
      <c r="C12" s="135">
        <f>SUMIF(HK!A:A,"073*",HK!D:D)-SUMIF(HK!A:A,"073*",HK!C:C)</f>
        <v>0</v>
      </c>
      <c r="D12" s="96">
        <f>SUMIF(HK!A:A,"074*",HK!D:D)-SUMIF(HK!A:A,"074*",HK!C:C)</f>
        <v>0</v>
      </c>
      <c r="E12" s="135">
        <f>SUMIF(HK!A:A,"075*",HK!D:D)-SUMIF(HK!A:A,"075*",HK!C:C)</f>
        <v>0</v>
      </c>
      <c r="F12" s="135">
        <f>SUMIF(HK!A:A,"079*",HK!D:D)-SUMIF(HK!A:A,"079*",HK!C:C)</f>
        <v>0</v>
      </c>
      <c r="G12" s="150"/>
      <c r="H12" s="150"/>
      <c r="I12" s="71">
        <f>SUM(B12:H12)</f>
        <v>0</v>
      </c>
      <c r="J12" s="76"/>
      <c r="K12" s="38"/>
      <c r="L12" s="76"/>
    </row>
    <row r="13" spans="1:12" ht="22.5" customHeight="1" thickBot="1" x14ac:dyDescent="0.3">
      <c r="A13" s="169" t="s">
        <v>1064</v>
      </c>
      <c r="B13" s="231"/>
      <c r="C13" s="135"/>
      <c r="D13" s="135"/>
      <c r="E13" s="135"/>
      <c r="F13" s="135"/>
      <c r="G13" s="231"/>
      <c r="H13" s="231"/>
      <c r="I13" s="71">
        <f>SUM(B13:H13)</f>
        <v>0</v>
      </c>
      <c r="J13" s="76"/>
      <c r="K13" s="76"/>
      <c r="L13" s="76"/>
    </row>
    <row r="14" spans="1:12" ht="21.75" customHeight="1" thickBot="1" x14ac:dyDescent="0.3">
      <c r="A14" s="169" t="s">
        <v>18</v>
      </c>
      <c r="B14" s="135"/>
      <c r="C14" s="135"/>
      <c r="D14" s="135"/>
      <c r="E14" s="135"/>
      <c r="F14" s="135"/>
      <c r="G14" s="231"/>
      <c r="H14" s="231"/>
      <c r="I14" s="71">
        <f>SUM(B14:H14)</f>
        <v>0</v>
      </c>
      <c r="J14" s="76"/>
      <c r="K14" s="76"/>
      <c r="L14" s="76"/>
    </row>
    <row r="15" spans="1:12" ht="21.75" customHeight="1" thickBot="1" x14ac:dyDescent="0.3">
      <c r="A15" s="233" t="s">
        <v>434</v>
      </c>
      <c r="B15" s="135"/>
      <c r="C15" s="135"/>
      <c r="D15" s="135"/>
      <c r="E15" s="135"/>
      <c r="F15" s="135"/>
      <c r="G15" s="167"/>
      <c r="H15" s="29"/>
      <c r="I15" s="133"/>
      <c r="J15" s="76"/>
      <c r="K15" s="76"/>
      <c r="L15" s="76"/>
    </row>
    <row r="16" spans="1:12" ht="15.75" thickBot="1" x14ac:dyDescent="0.3">
      <c r="A16" s="125" t="s">
        <v>84</v>
      </c>
      <c r="B16" s="135">
        <f>SUMIF(HK!A:A,"071*",HK!L:L)-SUMIF(HK!A:A,"071*",HK!K:K)</f>
        <v>0</v>
      </c>
      <c r="C16" s="135">
        <f>SUMIF(HK!A:A,"073*",HK!L:L)-SUMIF(HK!A:A,"073*",HK!K:K)</f>
        <v>0</v>
      </c>
      <c r="D16" s="135">
        <f>SUMIF(HK!A:A,"074*",HK!L:L)-SUMIF(HK!A:A,"074*",HK!K:K)</f>
        <v>0</v>
      </c>
      <c r="E16" s="135">
        <f>SUMIF(HK!A:A,"075*",HK!L:L)-SUMIF(HK!A:A,"075*",HK!K:K)</f>
        <v>0</v>
      </c>
      <c r="F16" s="135">
        <f>SUMIF(HK!A:A,"079*",HK!L:L)-SUMIF(HK!A:A,"079*",HK!K:K)</f>
        <v>0</v>
      </c>
      <c r="G16" s="49"/>
      <c r="H16" s="49"/>
      <c r="I16" s="147">
        <f>I12+I13-I14</f>
        <v>0</v>
      </c>
      <c r="J16" s="76"/>
      <c r="K16" s="38"/>
      <c r="L16" s="76"/>
    </row>
    <row r="17" spans="1:13" ht="15" customHeight="1" thickTop="1" thickBot="1" x14ac:dyDescent="0.3">
      <c r="A17" s="15" t="s">
        <v>1077</v>
      </c>
      <c r="B17" s="141"/>
      <c r="C17" s="141"/>
      <c r="D17" s="141"/>
      <c r="E17" s="141"/>
      <c r="F17" s="141"/>
      <c r="G17" s="141"/>
      <c r="H17" s="141"/>
      <c r="I17" s="114"/>
      <c r="J17" s="76"/>
      <c r="K17" s="76"/>
      <c r="L17" s="76"/>
    </row>
    <row r="18" spans="1:13" ht="16.5" thickTop="1" thickBot="1" x14ac:dyDescent="0.3">
      <c r="A18" s="18" t="s">
        <v>57</v>
      </c>
      <c r="B18" s="135"/>
      <c r="C18" s="135"/>
      <c r="D18" s="135"/>
      <c r="E18" s="135"/>
      <c r="F18" s="135"/>
      <c r="G18" s="135">
        <f>SUMIF(HK!A:A,"093*",HK!D:D)-SUMIF(HK!A:A,"093*",HK!C:C)</f>
        <v>0</v>
      </c>
      <c r="H18" s="135">
        <f>SUMIF(SUAM!C:C,"010",SUAM!E:E)</f>
        <v>0</v>
      </c>
      <c r="I18" s="71">
        <f>SUM(B18:H18)</f>
        <v>0</v>
      </c>
      <c r="J18" s="76"/>
      <c r="K18" s="38"/>
      <c r="L18" s="200"/>
      <c r="M18" s="223"/>
    </row>
    <row r="19" spans="1:13" ht="15" customHeight="1" thickBot="1" x14ac:dyDescent="0.3">
      <c r="A19" s="169" t="s">
        <v>1064</v>
      </c>
      <c r="B19" s="231"/>
      <c r="C19" s="231"/>
      <c r="D19" s="231"/>
      <c r="E19" s="231"/>
      <c r="F19" s="231"/>
      <c r="G19" s="231"/>
      <c r="H19" s="231"/>
      <c r="I19" s="71">
        <f>SUM(B19:H19)</f>
        <v>0</v>
      </c>
      <c r="J19" s="76"/>
      <c r="K19" s="120"/>
      <c r="L19" s="76"/>
    </row>
    <row r="20" spans="1:13" ht="15" customHeight="1" thickBot="1" x14ac:dyDescent="0.3">
      <c r="A20" s="169" t="s">
        <v>18</v>
      </c>
      <c r="B20" s="231"/>
      <c r="C20" s="231"/>
      <c r="D20" s="231"/>
      <c r="E20" s="231"/>
      <c r="F20" s="231"/>
      <c r="G20" s="231"/>
      <c r="H20" s="231"/>
      <c r="I20" s="71">
        <f>SUM(B20:H20)</f>
        <v>0</v>
      </c>
      <c r="J20" s="76"/>
      <c r="K20" s="120"/>
      <c r="L20" s="76"/>
    </row>
    <row r="21" spans="1:13" ht="15" customHeight="1" thickBot="1" x14ac:dyDescent="0.3">
      <c r="A21" s="233" t="s">
        <v>434</v>
      </c>
      <c r="B21" s="231"/>
      <c r="C21" s="231"/>
      <c r="D21" s="231"/>
      <c r="E21" s="231"/>
      <c r="F21" s="231"/>
      <c r="G21" s="231"/>
      <c r="H21" s="231"/>
      <c r="I21" s="215"/>
      <c r="J21" s="76"/>
      <c r="K21" s="120"/>
      <c r="L21" s="76"/>
    </row>
    <row r="22" spans="1:13" ht="15.75" thickBot="1" x14ac:dyDescent="0.3">
      <c r="A22" s="125" t="s">
        <v>84</v>
      </c>
      <c r="B22" s="135"/>
      <c r="C22" s="135"/>
      <c r="D22" s="135"/>
      <c r="E22" s="135"/>
      <c r="F22" s="135"/>
      <c r="G22" s="135">
        <f>SUMIF(HK!A:A,"093*",HK!L:L)-SUMIF(HK!A:A,"093*",HK!K:K)</f>
        <v>0</v>
      </c>
      <c r="H22" s="135">
        <f>SUMIF(SUA!C:C,"010",SUA!E:E)</f>
        <v>0</v>
      </c>
      <c r="I22" s="147">
        <f>I18+I19-I20</f>
        <v>0</v>
      </c>
      <c r="J22" s="76"/>
      <c r="K22" s="38"/>
      <c r="L22" s="200"/>
      <c r="M22" s="223"/>
    </row>
    <row r="23" spans="1:13" ht="15" customHeight="1" thickTop="1" thickBot="1" x14ac:dyDescent="0.3">
      <c r="A23" s="15" t="s">
        <v>591</v>
      </c>
      <c r="B23" s="141"/>
      <c r="C23" s="141"/>
      <c r="D23" s="141"/>
      <c r="E23" s="141"/>
      <c r="F23" s="141"/>
      <c r="G23" s="141"/>
      <c r="H23" s="141"/>
      <c r="I23" s="114"/>
      <c r="J23" s="76"/>
      <c r="K23" s="76"/>
      <c r="L23" s="76"/>
    </row>
    <row r="24" spans="1:13" ht="15" customHeight="1" thickTop="1" thickBot="1" x14ac:dyDescent="0.3">
      <c r="A24" s="18" t="s">
        <v>57</v>
      </c>
      <c r="B24" s="231"/>
      <c r="C24" s="231"/>
      <c r="D24" s="231"/>
      <c r="E24" s="231"/>
      <c r="F24" s="231"/>
      <c r="G24" s="231"/>
      <c r="H24" s="231"/>
      <c r="I24" s="71">
        <f>I6-I12-I18</f>
        <v>0</v>
      </c>
      <c r="J24" s="76"/>
      <c r="K24" s="76"/>
      <c r="L24" s="76"/>
    </row>
    <row r="25" spans="1:13" ht="15" customHeight="1" thickBot="1" x14ac:dyDescent="0.3">
      <c r="A25" s="125" t="s">
        <v>84</v>
      </c>
      <c r="B25" s="49"/>
      <c r="C25" s="49"/>
      <c r="D25" s="49"/>
      <c r="E25" s="49"/>
      <c r="F25" s="49"/>
      <c r="G25" s="49"/>
      <c r="H25" s="49"/>
      <c r="I25" s="147">
        <f>I10-I16-I22</f>
        <v>0</v>
      </c>
      <c r="J25" s="76"/>
      <c r="K25" s="76"/>
      <c r="L25" s="76"/>
    </row>
    <row r="26" spans="1:13" ht="15.75" thickTop="1" x14ac:dyDescent="0.25">
      <c r="A26" s="54"/>
      <c r="B26" s="156"/>
      <c r="C26" s="156"/>
      <c r="D26" s="156"/>
      <c r="E26" s="156"/>
      <c r="F26" s="156"/>
      <c r="G26" s="156"/>
      <c r="H26" s="156"/>
      <c r="I26" s="156"/>
      <c r="J26" s="76"/>
      <c r="K26" s="76"/>
      <c r="L26" s="76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6"/>
      <c r="K27" s="76"/>
      <c r="L27" s="76"/>
    </row>
    <row r="28" spans="1:13" x14ac:dyDescent="0.25">
      <c r="A28" s="48" t="s">
        <v>6</v>
      </c>
      <c r="B28" s="7"/>
      <c r="C28" s="7"/>
      <c r="D28" s="7"/>
      <c r="E28" s="7"/>
      <c r="F28" s="7"/>
      <c r="G28" s="7"/>
      <c r="H28" s="7"/>
      <c r="I28" s="7"/>
      <c r="J28" s="76"/>
      <c r="K28" s="76"/>
      <c r="L28" s="76"/>
    </row>
    <row r="29" spans="1:13" ht="15.75" thickBot="1" x14ac:dyDescent="0.3">
      <c r="A29" s="54"/>
      <c r="B29" s="156"/>
      <c r="C29" s="156"/>
      <c r="D29" s="156"/>
      <c r="E29" s="156"/>
      <c r="F29" s="156"/>
      <c r="G29" s="156"/>
      <c r="H29" s="156"/>
      <c r="I29" s="7"/>
      <c r="J29" s="76"/>
      <c r="K29" s="76"/>
      <c r="L29" s="76"/>
    </row>
    <row r="30" spans="1:13" ht="15" customHeight="1" thickTop="1" thickBot="1" x14ac:dyDescent="0.3">
      <c r="A30" s="240" t="s">
        <v>95</v>
      </c>
      <c r="B30" s="242" t="s">
        <v>734</v>
      </c>
      <c r="C30" s="243"/>
      <c r="D30" s="243"/>
      <c r="E30" s="243"/>
      <c r="F30" s="243"/>
      <c r="G30" s="243"/>
      <c r="H30" s="243"/>
      <c r="I30" s="244"/>
      <c r="J30" s="76"/>
      <c r="K30" s="76"/>
      <c r="L30" s="76"/>
    </row>
    <row r="31" spans="1:13" ht="35.25" thickTop="1" thickBot="1" x14ac:dyDescent="0.3">
      <c r="A31" s="241"/>
      <c r="B31" s="216" t="s">
        <v>206</v>
      </c>
      <c r="C31" s="87" t="s">
        <v>616</v>
      </c>
      <c r="D31" s="87" t="s">
        <v>819</v>
      </c>
      <c r="E31" s="236" t="s">
        <v>837</v>
      </c>
      <c r="F31" s="216" t="s">
        <v>205</v>
      </c>
      <c r="G31" s="87" t="s">
        <v>501</v>
      </c>
      <c r="H31" s="87" t="s">
        <v>371</v>
      </c>
      <c r="I31" s="87" t="s">
        <v>872</v>
      </c>
      <c r="J31" s="76"/>
      <c r="K31" s="76"/>
      <c r="L31" s="76"/>
    </row>
    <row r="32" spans="1:13" ht="15" customHeight="1" thickTop="1" thickBot="1" x14ac:dyDescent="0.3">
      <c r="A32" s="15" t="s">
        <v>1090</v>
      </c>
      <c r="B32" s="108"/>
      <c r="C32" s="108"/>
      <c r="D32" s="108"/>
      <c r="E32" s="108"/>
      <c r="F32" s="108"/>
      <c r="G32" s="108"/>
      <c r="H32" s="108"/>
      <c r="I32" s="114"/>
      <c r="J32" s="76"/>
      <c r="K32" s="76"/>
      <c r="L32" s="76"/>
    </row>
    <row r="33" spans="1:13" ht="16.5" thickTop="1" thickBot="1" x14ac:dyDescent="0.3">
      <c r="A33" s="18" t="s">
        <v>934</v>
      </c>
      <c r="B33" s="135">
        <f>SUMIF(HKM!A:A,"012*",HKM!C:C)-SUMIF(HKM!A:A,"012*",HKM!D:D)</f>
        <v>0</v>
      </c>
      <c r="C33" s="135">
        <f>SUMIF(HKM!A:A,"013*",HKM!C:C)-SUMIF(HKM!A:A,"013*",HKM!D:D)</f>
        <v>0</v>
      </c>
      <c r="D33" s="135">
        <f>SUMIF(HKM!A:A,"014*",HKM!C:C)-SUMIF(HKM!A:A,"014*",HKM!D:D)</f>
        <v>0</v>
      </c>
      <c r="E33" s="135">
        <f>SUMIF(HKM!A:A,"015*",HKM!C:C)-SUMIF(HKM!A:A,"015*",HKM!D:D)</f>
        <v>0</v>
      </c>
      <c r="F33" s="135">
        <f>SUMIF(HKM!A:A,"019*",HKM!C:C)-SUMIF(HKM!A:A,"019*",HKM!D:D)</f>
        <v>0</v>
      </c>
      <c r="G33" s="135">
        <f>SUMIF(HKM!A:A,"041*",HKM!C:C)-SUMIF(HKM!A:A,"041*",HKM!D:D)</f>
        <v>0</v>
      </c>
      <c r="H33" s="135">
        <f>SUMIF(HKM!A:A,"051*",HKM!C:C)-SUMIF(HKM!A:A,"051*",HKM!D:D)</f>
        <v>0</v>
      </c>
      <c r="I33" s="71">
        <f>SUM(B33:H33)</f>
        <v>0</v>
      </c>
      <c r="J33" s="76"/>
      <c r="K33" s="38"/>
      <c r="L33" s="76"/>
    </row>
    <row r="34" spans="1:13" ht="15" customHeight="1" thickBot="1" x14ac:dyDescent="0.3">
      <c r="A34" s="169" t="s">
        <v>1064</v>
      </c>
      <c r="B34" s="231"/>
      <c r="C34" s="231"/>
      <c r="D34" s="231"/>
      <c r="E34" s="231"/>
      <c r="F34" s="29"/>
      <c r="G34" s="231"/>
      <c r="H34" s="231"/>
      <c r="I34" s="71">
        <f>SUM(B34:H34)</f>
        <v>0</v>
      </c>
      <c r="J34" s="76"/>
      <c r="K34" s="76"/>
      <c r="L34" s="76"/>
    </row>
    <row r="35" spans="1:13" ht="15" customHeight="1" thickBot="1" x14ac:dyDescent="0.3">
      <c r="A35" s="169" t="s">
        <v>18</v>
      </c>
      <c r="B35" s="231"/>
      <c r="C35" s="231"/>
      <c r="D35" s="231"/>
      <c r="E35" s="231"/>
      <c r="F35" s="29"/>
      <c r="G35" s="231"/>
      <c r="H35" s="231"/>
      <c r="I35" s="71">
        <f>SUM(B35:H35)</f>
        <v>0</v>
      </c>
      <c r="J35" s="76"/>
      <c r="K35" s="76"/>
      <c r="L35" s="76"/>
    </row>
    <row r="36" spans="1:13" ht="15" customHeight="1" thickBot="1" x14ac:dyDescent="0.3">
      <c r="A36" s="169" t="s">
        <v>434</v>
      </c>
      <c r="B36" s="231"/>
      <c r="C36" s="231"/>
      <c r="D36" s="231"/>
      <c r="E36" s="231"/>
      <c r="F36" s="29"/>
      <c r="G36" s="231"/>
      <c r="H36" s="231"/>
      <c r="I36" s="71">
        <f>SUM(B36:H36)</f>
        <v>0</v>
      </c>
      <c r="J36" s="76"/>
      <c r="K36" s="76"/>
      <c r="L36" s="76"/>
    </row>
    <row r="37" spans="1:13" ht="15.75" thickBot="1" x14ac:dyDescent="0.3">
      <c r="A37" s="125" t="s">
        <v>84</v>
      </c>
      <c r="B37" s="135">
        <f>SUMIF(HKM!A:A,"012*",HKM!K:K)-SUMIF(HKM!A:A,"012*",HKM!L:L)</f>
        <v>0</v>
      </c>
      <c r="C37" s="135">
        <f>SUMIF(HKM!A:A,"013*",HKM!K:K)-SUMIF(HKM!A:A,"013*",HKM!L:L)</f>
        <v>0</v>
      </c>
      <c r="D37" s="135">
        <f>SUMIF(HKM!A:A,"014*",HKM!K:K)-SUMIF(HKM!A:A,"014*",HKM!L:L)</f>
        <v>0</v>
      </c>
      <c r="E37" s="135">
        <f>SUMIF(HKM!A:A,"015*",HKM!K:K)-SUMIF(HKM!A:A,"015*",HKM!L:L)</f>
        <v>0</v>
      </c>
      <c r="F37" s="135">
        <f>SUMIF(HKM!A:A,"019*",HKM!K:K)-SUMIF(HKM!A:A,"019*",HKM!L:L)</f>
        <v>0</v>
      </c>
      <c r="G37" s="135">
        <f>SUMIF(HKM!A:A,"041*",HKM!K:K)-SUMIF(HKM!A:A,"041*",HKM!L:L)</f>
        <v>0</v>
      </c>
      <c r="H37" s="135">
        <f>SUMIF(HKM!A:A,"051*",HKM!K:K)-SUMIF(HKM!A:A,"051*",HKM!L:L)</f>
        <v>0</v>
      </c>
      <c r="I37" s="147">
        <f>I33+I34-I35+I36</f>
        <v>0</v>
      </c>
      <c r="J37" s="76"/>
      <c r="K37" s="38"/>
      <c r="L37" s="76"/>
    </row>
    <row r="38" spans="1:13" ht="15" customHeight="1" thickTop="1" thickBot="1" x14ac:dyDescent="0.3">
      <c r="A38" s="15" t="s">
        <v>267</v>
      </c>
      <c r="B38" s="141"/>
      <c r="C38" s="141"/>
      <c r="D38" s="141"/>
      <c r="E38" s="141"/>
      <c r="F38" s="141"/>
      <c r="G38" s="141"/>
      <c r="H38" s="141"/>
      <c r="I38" s="114"/>
      <c r="J38" s="76"/>
      <c r="K38" s="76"/>
      <c r="L38" s="76"/>
    </row>
    <row r="39" spans="1:13" ht="16.5" thickTop="1" thickBot="1" x14ac:dyDescent="0.3">
      <c r="A39" s="18" t="s">
        <v>57</v>
      </c>
      <c r="B39" s="135">
        <f>SUMIF(HKM!A:A,"071*",HKM!D:D)-SUMIF(HKM!A:A,"071*",HKM!C:C)</f>
        <v>0</v>
      </c>
      <c r="C39" s="135">
        <f>SUMIF(HKM!A:A,"073*",HKM!D:D)-SUMIF(HKM!A:A,"073*",HKM!C:C)</f>
        <v>0</v>
      </c>
      <c r="D39" s="135">
        <f>SUMIF(HKM!A:A,"074*",HKM!D:D)-SUMIF(HKM!A:A,"074*",HKM!C:C)</f>
        <v>0</v>
      </c>
      <c r="E39" s="135">
        <f>SUMIF(HKM!A:A,"075*",HKM!D:D)-SUMIF(HKM!A:A,"075*",HKM!C:C)</f>
        <v>0</v>
      </c>
      <c r="F39" s="135">
        <f>SUMIF(HKM!A:A,"079*",HKM!D:D)-SUMIF(HKM!A:A,"079*",HKM!C:C)</f>
        <v>0</v>
      </c>
      <c r="G39" s="135"/>
      <c r="H39" s="135"/>
      <c r="I39" s="71">
        <f>SUM(B39:H39)</f>
        <v>0</v>
      </c>
      <c r="J39" s="76"/>
      <c r="K39" s="38"/>
      <c r="L39" s="76"/>
    </row>
    <row r="40" spans="1:13" ht="15" customHeight="1" thickBot="1" x14ac:dyDescent="0.3">
      <c r="A40" s="169" t="s">
        <v>1064</v>
      </c>
      <c r="B40" s="231"/>
      <c r="C40" s="231"/>
      <c r="D40" s="231"/>
      <c r="E40" s="231"/>
      <c r="F40" s="231"/>
      <c r="G40" s="231"/>
      <c r="H40" s="231"/>
      <c r="I40" s="71">
        <f>SUM(B40:H40)</f>
        <v>0</v>
      </c>
      <c r="J40" s="76"/>
      <c r="K40" s="76"/>
      <c r="L40" s="76"/>
    </row>
    <row r="41" spans="1:13" ht="15" customHeight="1" thickBot="1" x14ac:dyDescent="0.3">
      <c r="A41" s="58" t="s">
        <v>18</v>
      </c>
      <c r="B41" s="60"/>
      <c r="C41" s="60"/>
      <c r="D41" s="60"/>
      <c r="E41" s="60"/>
      <c r="F41" s="60"/>
      <c r="G41" s="60"/>
      <c r="H41" s="60"/>
      <c r="I41" s="166">
        <f>SUM(B41:H41)</f>
        <v>0</v>
      </c>
      <c r="J41" s="76"/>
      <c r="K41" s="76"/>
      <c r="L41" s="76"/>
    </row>
    <row r="42" spans="1:13" ht="15" customHeight="1" thickBot="1" x14ac:dyDescent="0.3">
      <c r="A42" s="4" t="s">
        <v>434</v>
      </c>
      <c r="B42" s="167"/>
      <c r="C42" s="167"/>
      <c r="D42" s="167"/>
      <c r="E42" s="167"/>
      <c r="F42" s="167"/>
      <c r="G42" s="167"/>
      <c r="H42" s="167"/>
      <c r="I42" s="167"/>
      <c r="J42" s="76"/>
      <c r="K42" s="76"/>
      <c r="L42" s="76"/>
    </row>
    <row r="43" spans="1:13" ht="15.75" thickBot="1" x14ac:dyDescent="0.3">
      <c r="A43" s="125" t="s">
        <v>84</v>
      </c>
      <c r="B43" s="135">
        <f>SUMIF(HKM!A:A,"071*",HKM!L:L)-SUMIF(HKM!A:A,"071*",HKM!K:K)</f>
        <v>0</v>
      </c>
      <c r="C43" s="135">
        <f>SUMIF(HKM!A:A,"073*",HKM!L:L)-SUMIF(HKM!A:A,"073*",HKM!K:K)</f>
        <v>0</v>
      </c>
      <c r="D43" s="135">
        <f>SUMIF(HKM!A:A,"074*",HKM!L:L)-SUMIF(HKM!A:A,"074*",HKM!K:K)</f>
        <v>0</v>
      </c>
      <c r="E43" s="135">
        <f>SUMIF(HKM!A:A,"075*",HKM!L:L)-SUMIF(HKM!A:A,"075*",HKM!K:K)</f>
        <v>0</v>
      </c>
      <c r="F43" s="135">
        <f>SUMIF(HKM!A:A,"079*",HKM!L:L)-SUMIF(HKM!A:A,"079*",HKM!K:K)</f>
        <v>0</v>
      </c>
      <c r="G43" s="49"/>
      <c r="H43" s="49"/>
      <c r="I43" s="147">
        <f>I39+I40-I41</f>
        <v>0</v>
      </c>
      <c r="J43" s="76"/>
      <c r="K43" s="38"/>
      <c r="L43" s="76"/>
    </row>
    <row r="44" spans="1:13" ht="15" customHeight="1" thickTop="1" thickBot="1" x14ac:dyDescent="0.3">
      <c r="A44" s="15" t="s">
        <v>1077</v>
      </c>
      <c r="B44" s="141"/>
      <c r="C44" s="141"/>
      <c r="D44" s="141"/>
      <c r="E44" s="141"/>
      <c r="F44" s="141"/>
      <c r="G44" s="141"/>
      <c r="H44" s="141"/>
      <c r="I44" s="114"/>
      <c r="J44" s="76"/>
      <c r="K44" s="76"/>
      <c r="L44" s="76"/>
    </row>
    <row r="45" spans="1:13" ht="16.5" thickTop="1" thickBot="1" x14ac:dyDescent="0.3">
      <c r="A45" s="18" t="s">
        <v>57</v>
      </c>
      <c r="B45" s="135"/>
      <c r="C45" s="135"/>
      <c r="D45" s="135"/>
      <c r="E45" s="135"/>
      <c r="F45" s="135"/>
      <c r="G45" s="135">
        <f>SUMIF(HKM!A:A,"093*",HKM!D:D)-SUMIF(HKM!A:A,"093*",HKM!C:C)</f>
        <v>0</v>
      </c>
      <c r="H45" s="135"/>
      <c r="I45" s="71">
        <f>SUM(B45:H45)</f>
        <v>0</v>
      </c>
      <c r="J45" s="76"/>
      <c r="K45" s="38"/>
      <c r="L45" s="206"/>
      <c r="M45" s="223"/>
    </row>
    <row r="46" spans="1:13" ht="15" customHeight="1" thickBot="1" x14ac:dyDescent="0.3">
      <c r="A46" s="169" t="s">
        <v>1064</v>
      </c>
      <c r="B46" s="231"/>
      <c r="C46" s="231"/>
      <c r="D46" s="231"/>
      <c r="E46" s="231"/>
      <c r="F46" s="231"/>
      <c r="G46" s="231"/>
      <c r="H46" s="231"/>
      <c r="I46" s="71">
        <f>SUM(B46:H46)</f>
        <v>0</v>
      </c>
      <c r="J46" s="76"/>
      <c r="K46" s="120"/>
      <c r="L46" s="76"/>
    </row>
    <row r="47" spans="1:13" ht="15" customHeight="1" thickBot="1" x14ac:dyDescent="0.3">
      <c r="A47" s="169" t="s">
        <v>18</v>
      </c>
      <c r="B47" s="231"/>
      <c r="C47" s="231"/>
      <c r="D47" s="231"/>
      <c r="E47" s="231"/>
      <c r="F47" s="231"/>
      <c r="G47" s="231"/>
      <c r="H47" s="231"/>
      <c r="I47" s="71">
        <f>SUM(B47:H47)</f>
        <v>0</v>
      </c>
      <c r="J47" s="76"/>
      <c r="K47" s="120"/>
      <c r="L47" s="76"/>
    </row>
    <row r="48" spans="1:13" ht="15" customHeight="1" thickBot="1" x14ac:dyDescent="0.3">
      <c r="A48" s="4" t="s">
        <v>434</v>
      </c>
      <c r="B48" s="231"/>
      <c r="C48" s="231"/>
      <c r="D48" s="231"/>
      <c r="E48" s="231"/>
      <c r="F48" s="231"/>
      <c r="G48" s="231"/>
      <c r="H48" s="231"/>
      <c r="I48" s="167"/>
      <c r="J48" s="76"/>
      <c r="K48" s="120"/>
      <c r="L48" s="76"/>
    </row>
    <row r="49" spans="1:13" ht="15.75" thickBot="1" x14ac:dyDescent="0.3">
      <c r="A49" s="125" t="s">
        <v>84</v>
      </c>
      <c r="B49" s="135"/>
      <c r="C49" s="135"/>
      <c r="D49" s="135"/>
      <c r="E49" s="135"/>
      <c r="F49" s="135"/>
      <c r="G49" s="135">
        <f>SUMIF(HKM!A:A,"093*",HKM!L:L)-SUMIF(HKM!A:A,"093*",HKM!K:K)</f>
        <v>0</v>
      </c>
      <c r="H49" s="135">
        <f>SUMIF(SUAM!C:C,"010",SUAM!E:E)</f>
        <v>0</v>
      </c>
      <c r="I49" s="147">
        <f>I45+I46-I47</f>
        <v>0</v>
      </c>
      <c r="J49" s="76"/>
      <c r="K49" s="38"/>
      <c r="L49" s="200"/>
      <c r="M49" s="223"/>
    </row>
    <row r="50" spans="1:13" ht="15" customHeight="1" thickTop="1" thickBot="1" x14ac:dyDescent="0.3">
      <c r="A50" s="15" t="s">
        <v>591</v>
      </c>
      <c r="B50" s="141"/>
      <c r="C50" s="141"/>
      <c r="D50" s="141"/>
      <c r="E50" s="141"/>
      <c r="F50" s="141"/>
      <c r="G50" s="141"/>
      <c r="H50" s="141"/>
      <c r="I50" s="114"/>
      <c r="J50" s="76"/>
      <c r="K50" s="76"/>
      <c r="L50" s="76"/>
    </row>
    <row r="51" spans="1:13" ht="15" customHeight="1" thickTop="1" thickBot="1" x14ac:dyDescent="0.3">
      <c r="A51" s="18" t="s">
        <v>57</v>
      </c>
      <c r="B51" s="231"/>
      <c r="C51" s="231"/>
      <c r="D51" s="231"/>
      <c r="E51" s="231"/>
      <c r="F51" s="231"/>
      <c r="G51" s="231"/>
      <c r="H51" s="231"/>
      <c r="I51" s="71">
        <f>I33-I39-I45</f>
        <v>0</v>
      </c>
      <c r="J51" s="76"/>
      <c r="K51" s="76"/>
      <c r="L51" s="76"/>
    </row>
    <row r="52" spans="1:13" ht="15" customHeight="1" thickBot="1" x14ac:dyDescent="0.3">
      <c r="A52" s="125" t="s">
        <v>84</v>
      </c>
      <c r="B52" s="49"/>
      <c r="C52" s="49"/>
      <c r="D52" s="49"/>
      <c r="E52" s="49"/>
      <c r="F52" s="49"/>
      <c r="G52" s="49"/>
      <c r="H52" s="49"/>
      <c r="I52" s="147">
        <f>I37-I43-I49</f>
        <v>0</v>
      </c>
      <c r="J52" s="76"/>
      <c r="K52" s="76"/>
      <c r="L52" s="76"/>
    </row>
    <row r="53" spans="1:13" ht="15.75" thickTop="1" x14ac:dyDescent="0.2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687</v>
      </c>
    </row>
    <row r="2" spans="1:6" ht="21.75" customHeight="1" thickTop="1" thickBot="1" x14ac:dyDescent="0.3">
      <c r="A2" s="204" t="s">
        <v>490</v>
      </c>
      <c r="B2" s="47" t="s">
        <v>121</v>
      </c>
      <c r="C2" s="47" t="s">
        <v>734</v>
      </c>
    </row>
    <row r="3" spans="1:6" ht="21.75" customHeight="1" thickTop="1" thickBot="1" x14ac:dyDescent="0.3">
      <c r="A3" s="170" t="s">
        <v>1046</v>
      </c>
      <c r="B3" s="232">
        <f>SUMIF(HK!A:A,"472*",HK!D:D)-SUMIF(HK!A:A,"472*",HK!C:C)</f>
        <v>290.55</v>
      </c>
      <c r="C3" s="73">
        <f>SUMIF(HKM!A:A,"472*",HKM!D:D)-SUMIF(HKM!A:A,"472*",HKM!C:C)</f>
        <v>290.55</v>
      </c>
      <c r="D3" s="56"/>
      <c r="E3" s="184"/>
      <c r="F3" s="56"/>
    </row>
    <row r="4" spans="1:6" ht="21.75" customHeight="1" thickBot="1" x14ac:dyDescent="0.3">
      <c r="A4" s="17" t="s">
        <v>1021</v>
      </c>
      <c r="B4" s="136"/>
      <c r="C4" s="227"/>
      <c r="D4" s="56"/>
      <c r="E4" s="56"/>
      <c r="F4" s="56"/>
    </row>
    <row r="5" spans="1:6" ht="21.75" customHeight="1" thickBot="1" x14ac:dyDescent="0.3">
      <c r="A5" s="17" t="s">
        <v>1038</v>
      </c>
      <c r="B5" s="136"/>
      <c r="C5" s="227"/>
      <c r="D5" s="56"/>
      <c r="E5" s="56"/>
      <c r="F5" s="56"/>
    </row>
    <row r="6" spans="1:6" ht="21.75" customHeight="1" thickBot="1" x14ac:dyDescent="0.3">
      <c r="A6" s="17" t="s">
        <v>385</v>
      </c>
      <c r="B6" s="136"/>
      <c r="C6" s="227"/>
      <c r="D6" s="56"/>
      <c r="E6" s="56"/>
      <c r="F6" s="56"/>
    </row>
    <row r="7" spans="1:6" ht="21.75" customHeight="1" thickBot="1" x14ac:dyDescent="0.3">
      <c r="A7" s="170" t="s">
        <v>1047</v>
      </c>
      <c r="B7" s="136">
        <f>SUM(B4:B6)</f>
        <v>0</v>
      </c>
      <c r="C7" s="227">
        <f>SUM(C4:C6)</f>
        <v>0</v>
      </c>
      <c r="D7" s="56"/>
      <c r="E7" s="56"/>
      <c r="F7" s="56"/>
    </row>
    <row r="8" spans="1:6" ht="21.75" customHeight="1" thickBot="1" x14ac:dyDescent="0.3">
      <c r="A8" s="170" t="s">
        <v>491</v>
      </c>
      <c r="B8" s="136"/>
      <c r="C8" s="227"/>
      <c r="D8" s="56"/>
      <c r="E8" s="56"/>
      <c r="F8" s="56"/>
    </row>
    <row r="9" spans="1:6" ht="21.75" customHeight="1" thickBot="1" x14ac:dyDescent="0.3">
      <c r="A9" s="36" t="s">
        <v>755</v>
      </c>
      <c r="B9" s="50">
        <f>SUMIF(HK!A:A,"472*",HK!L:L)-SUMIF(HK!A:A,"472*",HK!K:K)</f>
        <v>4808.08</v>
      </c>
      <c r="C9" s="148">
        <f>SUMIF(HKM!A:A,"472*",HKM!L:L)-SUMIF(HKM!A:A,"472*",HKM!K:K)</f>
        <v>290.55</v>
      </c>
      <c r="D9" s="56"/>
      <c r="E9" s="184"/>
      <c r="F9" s="56"/>
    </row>
    <row r="10" spans="1:6" ht="17.25" thickTop="1" x14ac:dyDescent="0.3">
      <c r="A10" s="23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804</v>
      </c>
    </row>
    <row r="2" spans="1:6" s="168" customFormat="1" ht="21.75" customHeight="1" thickTop="1" thickBot="1" x14ac:dyDescent="0.3">
      <c r="A2" s="204" t="s">
        <v>869</v>
      </c>
      <c r="B2" s="47" t="s">
        <v>153</v>
      </c>
      <c r="C2" s="47" t="s">
        <v>273</v>
      </c>
      <c r="D2" s="47" t="s">
        <v>861</v>
      </c>
      <c r="E2" s="47" t="s">
        <v>841</v>
      </c>
      <c r="F2" s="47" t="s">
        <v>510</v>
      </c>
    </row>
    <row r="3" spans="1:6" ht="21.75" customHeight="1" thickTop="1" thickBot="1" x14ac:dyDescent="0.3">
      <c r="A3" s="180"/>
      <c r="B3" s="75"/>
      <c r="C3" s="201"/>
      <c r="D3" s="201"/>
      <c r="E3" s="201"/>
      <c r="F3" s="35"/>
    </row>
    <row r="4" spans="1:6" ht="21.75" customHeight="1" thickBot="1" x14ac:dyDescent="0.3">
      <c r="A4" s="180"/>
      <c r="B4" s="75"/>
      <c r="C4" s="201"/>
      <c r="D4" s="201"/>
      <c r="E4" s="201"/>
      <c r="F4" s="35"/>
    </row>
    <row r="5" spans="1:6" ht="21.75" customHeight="1" thickBot="1" x14ac:dyDescent="0.3">
      <c r="A5" s="180"/>
      <c r="B5" s="75"/>
      <c r="C5" s="201"/>
      <c r="D5" s="201"/>
      <c r="E5" s="201"/>
      <c r="F5" s="35"/>
    </row>
    <row r="6" spans="1:6" ht="21.75" customHeight="1" thickBot="1" x14ac:dyDescent="0.3">
      <c r="A6" s="66"/>
      <c r="B6" s="134"/>
      <c r="C6" s="13"/>
      <c r="D6" s="13"/>
      <c r="E6" s="13"/>
      <c r="F6" s="11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2" customWidth="1"/>
    <col min="2" max="2" width="8.28515625" style="142" customWidth="1"/>
    <col min="3" max="6" width="13.85546875" style="142" customWidth="1"/>
    <col min="7" max="7" width="23.28515625" style="142" customWidth="1"/>
    <col min="8" max="16384" width="9.140625" style="142"/>
  </cols>
  <sheetData>
    <row r="1" spans="1:9" ht="18.75" customHeight="1" x14ac:dyDescent="0.25">
      <c r="A1" s="268" t="s">
        <v>792</v>
      </c>
      <c r="B1" s="268"/>
      <c r="C1" s="268"/>
      <c r="D1" s="268"/>
      <c r="E1" s="268"/>
      <c r="F1" s="268"/>
      <c r="G1" s="268"/>
    </row>
    <row r="2" spans="1:9" ht="12" thickBot="1" x14ac:dyDescent="0.3">
      <c r="A2" s="142" t="s">
        <v>225</v>
      </c>
    </row>
    <row r="3" spans="1:9" ht="66.75" customHeight="1" thickTop="1" thickBot="1" x14ac:dyDescent="0.3">
      <c r="A3" s="191" t="s">
        <v>490</v>
      </c>
      <c r="B3" s="191" t="s">
        <v>736</v>
      </c>
      <c r="C3" s="32" t="s">
        <v>811</v>
      </c>
      <c r="D3" s="191" t="s">
        <v>237</v>
      </c>
      <c r="E3" s="191" t="s">
        <v>419</v>
      </c>
      <c r="F3" s="191" t="s">
        <v>1070</v>
      </c>
    </row>
    <row r="4" spans="1:9" ht="21.75" customHeight="1" thickTop="1" thickBot="1" x14ac:dyDescent="0.3">
      <c r="A4" s="16" t="s">
        <v>241</v>
      </c>
      <c r="B4" s="159"/>
      <c r="C4" s="159"/>
      <c r="D4" s="159"/>
      <c r="E4" s="159"/>
      <c r="F4" s="175"/>
    </row>
    <row r="5" spans="1:9" ht="21.75" customHeight="1" thickTop="1" thickBot="1" x14ac:dyDescent="0.3">
      <c r="A5" s="27"/>
      <c r="B5" s="119"/>
      <c r="C5" s="173"/>
      <c r="D5" s="12"/>
      <c r="E5" s="177"/>
      <c r="F5" s="129"/>
    </row>
    <row r="6" spans="1:9" ht="21.75" customHeight="1" thickBot="1" x14ac:dyDescent="0.3">
      <c r="A6" s="17"/>
      <c r="B6" s="101"/>
      <c r="C6" s="149"/>
      <c r="D6" s="225"/>
      <c r="E6" s="201"/>
      <c r="F6" s="35"/>
    </row>
    <row r="7" spans="1:9" ht="21.75" customHeight="1" thickBot="1" x14ac:dyDescent="0.3">
      <c r="A7" s="17"/>
      <c r="B7" s="101"/>
      <c r="C7" s="149"/>
      <c r="D7" s="225"/>
      <c r="E7" s="232">
        <f>SUMIF(SUP!C:C,"121",SUP!D:D)</f>
        <v>0</v>
      </c>
      <c r="F7" s="73">
        <f>SUMIF(SUP!C:C,"121",SUP!E:E)</f>
        <v>0</v>
      </c>
      <c r="G7" s="183"/>
      <c r="H7" s="92"/>
      <c r="I7" s="183"/>
    </row>
    <row r="8" spans="1:9" ht="21.75" customHeight="1" thickBot="1" x14ac:dyDescent="0.3">
      <c r="A8" s="97" t="s">
        <v>154</v>
      </c>
      <c r="B8" s="28"/>
      <c r="C8" s="145"/>
      <c r="D8" s="145"/>
      <c r="E8" s="213"/>
      <c r="F8" s="217"/>
      <c r="G8" s="183"/>
      <c r="H8" s="183"/>
      <c r="I8" s="183"/>
    </row>
    <row r="9" spans="1:9" ht="21.75" customHeight="1" thickTop="1" thickBot="1" x14ac:dyDescent="0.3">
      <c r="A9" s="17"/>
      <c r="B9" s="101"/>
      <c r="C9" s="149"/>
      <c r="D9" s="225"/>
      <c r="E9" s="136"/>
      <c r="F9" s="227"/>
      <c r="G9" s="183"/>
      <c r="H9" s="183"/>
      <c r="I9" s="183"/>
    </row>
    <row r="10" spans="1:9" ht="21.75" customHeight="1" thickBot="1" x14ac:dyDescent="0.3">
      <c r="A10" s="17"/>
      <c r="B10" s="101"/>
      <c r="C10" s="149"/>
      <c r="D10" s="225"/>
      <c r="E10" s="136"/>
      <c r="F10" s="227"/>
      <c r="G10" s="183"/>
      <c r="H10" s="183"/>
      <c r="I10" s="183"/>
    </row>
    <row r="11" spans="1:9" ht="21.75" customHeight="1" thickBot="1" x14ac:dyDescent="0.3">
      <c r="A11" s="36"/>
      <c r="B11" s="34"/>
      <c r="C11" s="77"/>
      <c r="D11" s="154"/>
      <c r="E11" s="50">
        <f>SUMIF(SUP!C:C,"139",SUP!D:D)</f>
        <v>0</v>
      </c>
      <c r="F11" s="148">
        <f>SUMIF(SUP!C:C,"139",SUP!E:E)</f>
        <v>0</v>
      </c>
      <c r="G11" s="183"/>
      <c r="H11" s="92"/>
      <c r="I11" s="183"/>
    </row>
    <row r="12" spans="1:9" ht="12" thickTop="1" x14ac:dyDescent="0.25">
      <c r="A12" s="55"/>
    </row>
    <row r="13" spans="1:9" ht="12" thickBot="1" x14ac:dyDescent="0.3">
      <c r="A13" s="142" t="s">
        <v>6</v>
      </c>
    </row>
    <row r="14" spans="1:9" ht="66.75" customHeight="1" thickTop="1" thickBot="1" x14ac:dyDescent="0.3">
      <c r="A14" s="191" t="s">
        <v>490</v>
      </c>
      <c r="B14" s="191" t="s">
        <v>736</v>
      </c>
      <c r="C14" s="32" t="s">
        <v>811</v>
      </c>
      <c r="D14" s="191" t="s">
        <v>237</v>
      </c>
      <c r="E14" s="191" t="s">
        <v>419</v>
      </c>
      <c r="F14" s="191" t="s">
        <v>1070</v>
      </c>
    </row>
    <row r="15" spans="1:9" ht="21.75" customHeight="1" thickTop="1" thickBot="1" x14ac:dyDescent="0.3">
      <c r="A15" s="16" t="s">
        <v>581</v>
      </c>
      <c r="B15" s="159"/>
      <c r="C15" s="159"/>
      <c r="D15" s="159"/>
      <c r="E15" s="159"/>
      <c r="F15" s="175"/>
    </row>
    <row r="16" spans="1:9" ht="21.75" customHeight="1" thickTop="1" thickBot="1" x14ac:dyDescent="0.3">
      <c r="A16" s="17"/>
      <c r="B16" s="101"/>
      <c r="C16" s="149"/>
      <c r="D16" s="225"/>
      <c r="E16" s="201"/>
      <c r="F16" s="35"/>
    </row>
    <row r="17" spans="1:8" ht="21.75" customHeight="1" thickBot="1" x14ac:dyDescent="0.3">
      <c r="A17" s="17"/>
      <c r="B17" s="101"/>
      <c r="C17" s="149"/>
      <c r="D17" s="225"/>
      <c r="E17" s="201"/>
      <c r="F17" s="35"/>
    </row>
    <row r="18" spans="1:8" ht="21.75" customHeight="1" thickBot="1" x14ac:dyDescent="0.3">
      <c r="A18" s="17"/>
      <c r="B18" s="101"/>
      <c r="C18" s="149"/>
      <c r="D18" s="225"/>
      <c r="E18" s="201"/>
      <c r="F18" s="35"/>
    </row>
    <row r="19" spans="1:8" ht="21.75" customHeight="1" thickBot="1" x14ac:dyDescent="0.3">
      <c r="A19" s="97" t="s">
        <v>1041</v>
      </c>
      <c r="B19" s="28"/>
      <c r="C19" s="145"/>
      <c r="D19" s="145"/>
      <c r="E19" s="145"/>
      <c r="F19" s="161"/>
    </row>
    <row r="20" spans="1:8" ht="21.75" customHeight="1" thickTop="1" thickBot="1" x14ac:dyDescent="0.3">
      <c r="A20" s="17"/>
      <c r="B20" s="101"/>
      <c r="C20" s="149"/>
      <c r="D20" s="225"/>
      <c r="E20" s="201"/>
      <c r="F20" s="35"/>
    </row>
    <row r="21" spans="1:8" ht="21.75" customHeight="1" thickBot="1" x14ac:dyDescent="0.3">
      <c r="A21" s="17"/>
      <c r="B21" s="101"/>
      <c r="C21" s="149"/>
      <c r="D21" s="225"/>
      <c r="E21" s="201"/>
      <c r="F21" s="35"/>
    </row>
    <row r="22" spans="1:8" ht="21.75" customHeight="1" thickBot="1" x14ac:dyDescent="0.3">
      <c r="A22" s="17"/>
      <c r="B22" s="101"/>
      <c r="C22" s="149"/>
      <c r="D22" s="225"/>
      <c r="E22" s="201"/>
      <c r="F22" s="35"/>
    </row>
    <row r="23" spans="1:8" ht="21.75" customHeight="1" thickBot="1" x14ac:dyDescent="0.3">
      <c r="A23" s="97" t="s">
        <v>533</v>
      </c>
      <c r="B23" s="28"/>
      <c r="C23" s="145"/>
      <c r="D23" s="145"/>
      <c r="E23" s="145"/>
      <c r="F23" s="161"/>
    </row>
    <row r="24" spans="1:8" ht="21.75" customHeight="1" thickTop="1" thickBot="1" x14ac:dyDescent="0.3">
      <c r="A24" s="17"/>
      <c r="B24" s="101"/>
      <c r="C24" s="149"/>
      <c r="D24" s="225"/>
      <c r="E24" s="201"/>
      <c r="F24" s="35"/>
    </row>
    <row r="25" spans="1:8" ht="21.75" customHeight="1" thickBot="1" x14ac:dyDescent="0.3">
      <c r="A25" s="36"/>
      <c r="B25" s="34"/>
      <c r="C25" s="77"/>
      <c r="D25" s="154"/>
      <c r="E25" s="50">
        <f>SUMIF(SUP!C:C,"140",SUP!D:D)</f>
        <v>0</v>
      </c>
      <c r="F25" s="148">
        <f>SUMIF(SUP!C:C,"140",SUP!E:E)</f>
        <v>0</v>
      </c>
      <c r="G25" s="183"/>
      <c r="H25" s="92"/>
    </row>
    <row r="26" spans="1:8" ht="12" thickTop="1" x14ac:dyDescent="0.25">
      <c r="E26" s="183"/>
      <c r="F26" s="183"/>
      <c r="G26" s="183"/>
      <c r="H26" s="18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269" t="s">
        <v>707</v>
      </c>
      <c r="B1" s="269"/>
      <c r="C1" s="269"/>
      <c r="D1" s="269"/>
    </row>
    <row r="2" spans="1:4" ht="24" customHeight="1" thickBot="1" x14ac:dyDescent="0.3">
      <c r="A2" s="142" t="s">
        <v>225</v>
      </c>
      <c r="B2" s="142"/>
      <c r="C2" s="142"/>
      <c r="D2" s="142"/>
    </row>
    <row r="3" spans="1:4" ht="16.5" thickTop="1" thickBot="1" x14ac:dyDescent="0.3">
      <c r="A3" s="261" t="s">
        <v>490</v>
      </c>
      <c r="B3" s="245" t="s">
        <v>298</v>
      </c>
      <c r="C3" s="246"/>
      <c r="D3" s="240" t="s">
        <v>893</v>
      </c>
    </row>
    <row r="4" spans="1:4" ht="16.5" thickTop="1" thickBot="1" x14ac:dyDescent="0.3">
      <c r="A4" s="263"/>
      <c r="B4" s="179" t="s">
        <v>508</v>
      </c>
      <c r="C4" s="210" t="s">
        <v>1099</v>
      </c>
      <c r="D4" s="254"/>
    </row>
    <row r="5" spans="1:4" ht="24" thickTop="1" thickBot="1" x14ac:dyDescent="0.3">
      <c r="A5" s="125" t="s">
        <v>945</v>
      </c>
      <c r="B5" s="14"/>
      <c r="C5" s="14"/>
      <c r="D5" s="118"/>
    </row>
    <row r="6" spans="1:4" ht="16.5" thickTop="1" thickBot="1" x14ac:dyDescent="0.3">
      <c r="A6" s="169"/>
      <c r="B6" s="201"/>
      <c r="C6" s="201"/>
      <c r="D6" s="35"/>
    </row>
    <row r="7" spans="1:4" ht="15.75" thickBot="1" x14ac:dyDescent="0.3">
      <c r="A7" s="169"/>
      <c r="B7" s="201"/>
      <c r="C7" s="201"/>
      <c r="D7" s="35"/>
    </row>
    <row r="8" spans="1:4" ht="15.75" thickBot="1" x14ac:dyDescent="0.3">
      <c r="A8" s="169"/>
      <c r="B8" s="201"/>
      <c r="C8" s="201"/>
      <c r="D8" s="35"/>
    </row>
    <row r="9" spans="1:4" ht="15.75" thickBot="1" x14ac:dyDescent="0.3">
      <c r="A9" s="37"/>
      <c r="B9" s="13"/>
      <c r="C9" s="45"/>
      <c r="D9" s="117"/>
    </row>
    <row r="10" spans="1:4" ht="16.5" thickTop="1" thickBot="1" x14ac:dyDescent="0.3">
      <c r="A10" s="125" t="s">
        <v>47</v>
      </c>
      <c r="B10" s="13"/>
      <c r="C10" s="162"/>
      <c r="D10" s="117"/>
    </row>
    <row r="11" spans="1:4" ht="16.5" thickTop="1" thickBot="1" x14ac:dyDescent="0.3">
      <c r="A11" s="169"/>
      <c r="B11" s="201"/>
      <c r="C11" s="201"/>
      <c r="D11" s="35"/>
    </row>
    <row r="12" spans="1:4" ht="15.75" thickBot="1" x14ac:dyDescent="0.3">
      <c r="A12" s="169"/>
      <c r="B12" s="201"/>
      <c r="C12" s="201"/>
      <c r="D12" s="35"/>
    </row>
    <row r="13" spans="1:4" ht="15.75" thickBot="1" x14ac:dyDescent="0.3">
      <c r="A13" s="169"/>
      <c r="B13" s="201"/>
      <c r="C13" s="201"/>
      <c r="D13" s="35"/>
    </row>
    <row r="14" spans="1:4" ht="15.75" thickBot="1" x14ac:dyDescent="0.3">
      <c r="A14" s="125"/>
      <c r="B14" s="13"/>
      <c r="C14" s="13"/>
      <c r="D14" s="117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267" t="s">
        <v>707</v>
      </c>
      <c r="B1" s="267"/>
      <c r="C1" s="267"/>
      <c r="D1" s="267"/>
      <c r="E1" s="267"/>
    </row>
    <row r="2" spans="1:5" x14ac:dyDescent="0.25">
      <c r="A2" s="142"/>
      <c r="B2" s="142"/>
      <c r="C2" s="142"/>
      <c r="D2" s="142"/>
      <c r="E2" s="142"/>
    </row>
    <row r="3" spans="1:5" ht="15.75" thickBot="1" x14ac:dyDescent="0.3">
      <c r="A3" s="142" t="s">
        <v>6</v>
      </c>
      <c r="B3" s="142"/>
      <c r="C3" s="142"/>
      <c r="D3" s="142"/>
      <c r="E3" s="142"/>
    </row>
    <row r="4" spans="1:5" ht="24" customHeight="1" thickTop="1" thickBot="1" x14ac:dyDescent="0.3">
      <c r="A4" s="261" t="s">
        <v>490</v>
      </c>
      <c r="B4" s="245" t="s">
        <v>121</v>
      </c>
      <c r="C4" s="247"/>
      <c r="D4" s="245" t="s">
        <v>734</v>
      </c>
      <c r="E4" s="247"/>
    </row>
    <row r="5" spans="1:5" ht="16.5" thickTop="1" thickBot="1" x14ac:dyDescent="0.3">
      <c r="A5" s="262"/>
      <c r="B5" s="245" t="s">
        <v>398</v>
      </c>
      <c r="C5" s="247"/>
      <c r="D5" s="245" t="s">
        <v>398</v>
      </c>
      <c r="E5" s="247"/>
    </row>
    <row r="6" spans="1:5" ht="24" thickTop="1" thickBot="1" x14ac:dyDescent="0.3">
      <c r="A6" s="263"/>
      <c r="B6" s="179" t="s">
        <v>421</v>
      </c>
      <c r="C6" s="179" t="s">
        <v>170</v>
      </c>
      <c r="D6" s="179" t="s">
        <v>421</v>
      </c>
      <c r="E6" s="179" t="s">
        <v>170</v>
      </c>
    </row>
    <row r="7" spans="1:5" ht="24" thickTop="1" thickBot="1" x14ac:dyDescent="0.3">
      <c r="A7" s="125" t="s">
        <v>945</v>
      </c>
      <c r="B7" s="14"/>
      <c r="C7" s="14"/>
      <c r="D7" s="118"/>
      <c r="E7" s="118"/>
    </row>
    <row r="8" spans="1:5" ht="16.5" thickTop="1" thickBot="1" x14ac:dyDescent="0.3">
      <c r="A8" s="169"/>
      <c r="B8" s="201"/>
      <c r="C8" s="201"/>
      <c r="D8" s="35"/>
      <c r="E8" s="35"/>
    </row>
    <row r="9" spans="1:5" ht="15.75" thickBot="1" x14ac:dyDescent="0.3">
      <c r="A9" s="169"/>
      <c r="B9" s="201"/>
      <c r="C9" s="201"/>
      <c r="D9" s="35"/>
      <c r="E9" s="35"/>
    </row>
    <row r="10" spans="1:5" ht="15.75" thickBot="1" x14ac:dyDescent="0.3">
      <c r="A10" s="169"/>
      <c r="B10" s="201"/>
      <c r="C10" s="201"/>
      <c r="D10" s="35"/>
      <c r="E10" s="35"/>
    </row>
    <row r="11" spans="1:5" ht="15.75" thickBot="1" x14ac:dyDescent="0.3">
      <c r="A11" s="37"/>
      <c r="B11" s="13"/>
      <c r="C11" s="45"/>
      <c r="D11" s="117"/>
      <c r="E11" s="117"/>
    </row>
    <row r="12" spans="1:5" ht="24" thickTop="1" thickBot="1" x14ac:dyDescent="0.3">
      <c r="A12" s="125" t="s">
        <v>47</v>
      </c>
      <c r="B12" s="13"/>
      <c r="C12" s="162"/>
      <c r="D12" s="117"/>
      <c r="E12" s="117"/>
    </row>
    <row r="13" spans="1:5" ht="16.5" thickTop="1" thickBot="1" x14ac:dyDescent="0.3">
      <c r="A13" s="169"/>
      <c r="B13" s="201"/>
      <c r="C13" s="201"/>
      <c r="D13" s="35"/>
      <c r="E13" s="35"/>
    </row>
    <row r="14" spans="1:5" ht="15.75" thickBot="1" x14ac:dyDescent="0.3">
      <c r="A14" s="169"/>
      <c r="B14" s="201"/>
      <c r="C14" s="201"/>
      <c r="D14" s="35"/>
      <c r="E14" s="35"/>
    </row>
    <row r="15" spans="1:5" ht="15.75" thickBot="1" x14ac:dyDescent="0.3">
      <c r="A15" s="169"/>
      <c r="B15" s="201"/>
      <c r="C15" s="201"/>
      <c r="D15" s="35"/>
      <c r="E15" s="35"/>
    </row>
    <row r="16" spans="1:5" ht="15.75" thickBot="1" x14ac:dyDescent="0.3">
      <c r="A16" s="125"/>
      <c r="B16" s="13"/>
      <c r="C16" s="13"/>
      <c r="D16" s="117"/>
      <c r="E16" s="117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670</v>
      </c>
    </row>
    <row r="2" spans="1:3" ht="16.5" thickTop="1" thickBot="1" x14ac:dyDescent="0.3">
      <c r="A2" s="261" t="s">
        <v>857</v>
      </c>
      <c r="B2" s="245" t="s">
        <v>1034</v>
      </c>
      <c r="C2" s="247"/>
    </row>
    <row r="3" spans="1:3" ht="24" thickTop="1" thickBot="1" x14ac:dyDescent="0.3">
      <c r="A3" s="263"/>
      <c r="B3" s="47" t="s">
        <v>121</v>
      </c>
      <c r="C3" s="47" t="s">
        <v>734</v>
      </c>
    </row>
    <row r="4" spans="1:3" ht="20.25" customHeight="1" thickTop="1" thickBot="1" x14ac:dyDescent="0.3">
      <c r="A4" s="169" t="s">
        <v>319</v>
      </c>
      <c r="B4" s="201"/>
      <c r="C4" s="35"/>
    </row>
    <row r="5" spans="1:3" ht="20.25" customHeight="1" thickBot="1" x14ac:dyDescent="0.3">
      <c r="A5" s="169" t="s">
        <v>1095</v>
      </c>
      <c r="B5" s="201"/>
      <c r="C5" s="35"/>
    </row>
    <row r="6" spans="1:3" ht="26.25" customHeight="1" thickBot="1" x14ac:dyDescent="0.3">
      <c r="A6" s="169" t="s">
        <v>370</v>
      </c>
      <c r="B6" s="201"/>
      <c r="C6" s="35"/>
    </row>
    <row r="7" spans="1:3" ht="24.75" customHeight="1" thickBot="1" x14ac:dyDescent="0.3">
      <c r="A7" s="169" t="s">
        <v>703</v>
      </c>
      <c r="B7" s="201"/>
      <c r="C7" s="35"/>
    </row>
    <row r="8" spans="1:3" ht="20.25" customHeight="1" thickBot="1" x14ac:dyDescent="0.3">
      <c r="A8" s="125" t="s">
        <v>872</v>
      </c>
      <c r="B8" s="13">
        <f>SUM(B4:B7)</f>
        <v>0</v>
      </c>
      <c r="C8" s="117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499</v>
      </c>
    </row>
    <row r="2" spans="1:7" ht="30.75" customHeight="1" thickTop="1" thickBot="1" x14ac:dyDescent="0.3">
      <c r="A2" s="261" t="s">
        <v>128</v>
      </c>
      <c r="B2" s="264" t="s">
        <v>121</v>
      </c>
      <c r="C2" s="265"/>
      <c r="D2" s="266"/>
      <c r="E2" s="245" t="s">
        <v>734</v>
      </c>
      <c r="F2" s="246"/>
      <c r="G2" s="247"/>
    </row>
    <row r="3" spans="1:7" ht="16.5" thickTop="1" thickBot="1" x14ac:dyDescent="0.3">
      <c r="A3" s="262"/>
      <c r="B3" s="264" t="s">
        <v>510</v>
      </c>
      <c r="C3" s="265"/>
      <c r="D3" s="266"/>
      <c r="E3" s="264" t="s">
        <v>510</v>
      </c>
      <c r="F3" s="265"/>
      <c r="G3" s="266"/>
    </row>
    <row r="4" spans="1:7" ht="46.5" thickTop="1" thickBot="1" x14ac:dyDescent="0.3">
      <c r="A4" s="263"/>
      <c r="B4" s="179" t="s">
        <v>564</v>
      </c>
      <c r="C4" s="179" t="s">
        <v>1131</v>
      </c>
      <c r="D4" s="179" t="s">
        <v>248</v>
      </c>
      <c r="E4" s="179" t="s">
        <v>564</v>
      </c>
      <c r="F4" s="179" t="s">
        <v>1131</v>
      </c>
      <c r="G4" s="179" t="s">
        <v>248</v>
      </c>
    </row>
    <row r="5" spans="1:7" ht="16.5" thickTop="1" thickBot="1" x14ac:dyDescent="0.3">
      <c r="A5" s="27" t="s">
        <v>1036</v>
      </c>
      <c r="B5" s="177"/>
      <c r="C5" s="177"/>
      <c r="D5" s="177"/>
      <c r="E5" s="177"/>
      <c r="F5" s="177"/>
      <c r="G5" s="129"/>
    </row>
    <row r="6" spans="1:7" ht="15.75" thickBot="1" x14ac:dyDescent="0.3">
      <c r="A6" s="17" t="s">
        <v>470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872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254</v>
      </c>
    </row>
    <row r="2" spans="1:10" ht="33" customHeight="1" thickTop="1" thickBot="1" x14ac:dyDescent="0.3">
      <c r="A2" s="261" t="s">
        <v>490</v>
      </c>
      <c r="B2" s="47" t="s">
        <v>121</v>
      </c>
      <c r="C2" s="245" t="s">
        <v>734</v>
      </c>
      <c r="D2" s="247"/>
      <c r="E2" s="245" t="s">
        <v>635</v>
      </c>
      <c r="F2" s="247"/>
    </row>
    <row r="3" spans="1:10" ht="45" customHeight="1" thickTop="1" thickBot="1" x14ac:dyDescent="0.3">
      <c r="A3" s="263"/>
      <c r="B3" s="179" t="s">
        <v>956</v>
      </c>
      <c r="C3" s="179" t="s">
        <v>956</v>
      </c>
      <c r="D3" s="179" t="s">
        <v>708</v>
      </c>
      <c r="E3" s="179" t="s">
        <v>121</v>
      </c>
      <c r="F3" s="179" t="s">
        <v>178</v>
      </c>
    </row>
    <row r="4" spans="1:10" ht="35.25" thickTop="1" thickBot="1" x14ac:dyDescent="0.3">
      <c r="A4" s="58" t="s">
        <v>1092</v>
      </c>
      <c r="B4" s="228">
        <f>SUMIF(HK!A:A,"121*",HK!K:K)-SUMIF(HK!A:A,"121*",HK!L:L)+SUMIF(HK!A:A,"122*",HK!K:K)-SUMIF(HK!A:A,"122*",HK!L:L)</f>
        <v>0</v>
      </c>
      <c r="C4" s="228">
        <f>SUMIF(HKM!A:A,"121*",HKM!K:K)-SUMIF(HKM!A:A,"121*",HKM!L:L)+SUMIF(HKM!A:A,"122*",HKM!K:K)-SUMIF(HKM!A:A,"122*",HKM!L:L)</f>
        <v>0</v>
      </c>
      <c r="D4" s="228">
        <f>SUMIF(HKM!A:A,"121*",HKM!C:C)-SUMIF(HKM!A:A,"121*",HKM!D:D)+SUMIF(HKM!A:A,"122*",HKM!C:C)-SUMIF(HKM!A:A,"122*",HKM!D:D)</f>
        <v>0</v>
      </c>
      <c r="E4" s="228">
        <f>SUMIF(HK!A:A,"611*",HK!L:L)-SUMIF(HK!A:A,"611*",HK!K:K)+SUMIF(HK!A:A,"612*",HK!L:L)-SUMIF(HK!A:A,"611*",HK!K:K)</f>
        <v>0</v>
      </c>
      <c r="F4" s="228">
        <f>SUMIF(HKM!A:A,"611*",HKM!L:L)-SUMIF(HKM!A:A,"611*",HKM!K:K)+SUMIF(HKM!A:A,"612*",HKM!L:L)-SUMIF(HKM!A:A,"612*",HKM!K:K)</f>
        <v>0</v>
      </c>
      <c r="G4" s="56"/>
      <c r="H4" s="24"/>
      <c r="I4" s="56"/>
      <c r="J4" s="56"/>
    </row>
    <row r="5" spans="1:10" ht="15.75" thickBot="1" x14ac:dyDescent="0.3">
      <c r="A5" s="233" t="s">
        <v>44</v>
      </c>
      <c r="B5" s="228">
        <f>SUMIF(HK!A:A,"123*",HK!K:K)-SUMIF(HK!A:A,"123*",HK!L:L)</f>
        <v>0</v>
      </c>
      <c r="C5" s="228">
        <f>SUMIF(HKM!A:A,"123*",HKM!K:K)-SUMIF(HKM!A:A,"123*",HKM!L:L)</f>
        <v>0</v>
      </c>
      <c r="D5" s="228">
        <f>SUMIF(HKM!A:A,"123*",HKM!C:C)</f>
        <v>0</v>
      </c>
      <c r="E5" s="228">
        <f>SUMIF(HK!A:A,"613*",HK!L:L)-SUMIF(HK!A:A,"613*",HK!K:K)</f>
        <v>0</v>
      </c>
      <c r="F5" s="228">
        <f>SUMIF(HKM!A:A,"613*",HKM!L:L)-SUMIF(HKM!A:A,"613*",HKM!K:K)</f>
        <v>0</v>
      </c>
      <c r="G5" s="56"/>
      <c r="H5" s="24"/>
      <c r="I5" s="56"/>
      <c r="J5" s="56"/>
    </row>
    <row r="6" spans="1:10" ht="15.75" thickBot="1" x14ac:dyDescent="0.3">
      <c r="A6" s="169" t="s">
        <v>932</v>
      </c>
      <c r="B6" s="228">
        <f>SUMIF(HK!A:A,"124*",HK!K:K)-SUMIF(HK!A:A,"124*",HK!L:L)</f>
        <v>0</v>
      </c>
      <c r="C6" s="228">
        <f>SUMIF(HKM!A:A,"124*",HKM!K:K)-SUMIF(HKM!A:A,"124*",HKM!L:L)</f>
        <v>0</v>
      </c>
      <c r="D6" s="228">
        <f>SUMIF(HKM!A:A,"124*",HKM!C:C)-SUMIF(HKM!A:A,"124*",HKM!D:D)</f>
        <v>0</v>
      </c>
      <c r="E6" s="228">
        <f>SUMIF(HK!A:A,"614*",HK!L:L)-SUMIF(HK!A:A,"614*",HK!K:K)</f>
        <v>0</v>
      </c>
      <c r="F6" s="228">
        <f>SUMIF(HKM!A:A,"614*",HKM!L:L)-SUMIF(HKM!A:A,"614*",HKM!K:K)</f>
        <v>0</v>
      </c>
      <c r="G6" s="56"/>
      <c r="H6" s="24"/>
      <c r="I6" s="56"/>
      <c r="J6" s="56"/>
    </row>
    <row r="7" spans="1:10" ht="19.5" customHeight="1" thickBot="1" x14ac:dyDescent="0.3">
      <c r="A7" s="169" t="s">
        <v>872</v>
      </c>
      <c r="B7" s="33"/>
      <c r="C7" s="33"/>
      <c r="D7" s="198"/>
      <c r="E7" s="227"/>
      <c r="F7" s="227"/>
      <c r="G7" s="56"/>
      <c r="H7" s="143"/>
      <c r="I7" s="56"/>
      <c r="J7" s="56"/>
    </row>
    <row r="8" spans="1:10" ht="15.75" thickBot="1" x14ac:dyDescent="0.3">
      <c r="A8" s="169" t="s">
        <v>233</v>
      </c>
      <c r="B8" s="146" t="s">
        <v>66</v>
      </c>
      <c r="C8" s="146" t="s">
        <v>66</v>
      </c>
      <c r="D8" s="65" t="s">
        <v>66</v>
      </c>
      <c r="E8" s="228">
        <f>SUMIF(HK!A:A,"549*",HK!K:K)-SUMIF(HK!A:A,"549*",HK!L:L)</f>
        <v>0</v>
      </c>
      <c r="F8" s="228">
        <f>SUMIF(HKM!A:A,"549*",HKM!K:K)-SUMIF(HKM!A:A,"549*",HKM!L:L)</f>
        <v>0</v>
      </c>
      <c r="G8" s="56"/>
      <c r="H8" s="24"/>
      <c r="I8" s="56"/>
      <c r="J8" s="56"/>
    </row>
    <row r="9" spans="1:10" ht="15.75" thickBot="1" x14ac:dyDescent="0.3">
      <c r="A9" s="169" t="s">
        <v>817</v>
      </c>
      <c r="B9" s="146" t="s">
        <v>66</v>
      </c>
      <c r="C9" s="146" t="s">
        <v>66</v>
      </c>
      <c r="D9" s="65" t="s">
        <v>66</v>
      </c>
      <c r="E9" s="228">
        <f>SUMIF(HK!A:A,"513*",HK!K:K)-SUMIF(HK!A:A,"513*",HK!L:L)</f>
        <v>0</v>
      </c>
      <c r="F9" s="228">
        <f>SUMIF(HKM!A:A,"513*",HKM!K:K)-SUMIF(HKM!A:A,"513*",HKM!L:L)</f>
        <v>0</v>
      </c>
      <c r="G9" s="56"/>
      <c r="H9" s="24"/>
      <c r="I9" s="56"/>
      <c r="J9" s="56"/>
    </row>
    <row r="10" spans="1:10" ht="15.75" thickBot="1" x14ac:dyDescent="0.3">
      <c r="A10" s="169" t="s">
        <v>738</v>
      </c>
      <c r="B10" s="146" t="s">
        <v>66</v>
      </c>
      <c r="C10" s="146" t="s">
        <v>66</v>
      </c>
      <c r="D10" s="65" t="s">
        <v>66</v>
      </c>
      <c r="E10" s="228">
        <f>SUMIF(HK!A:A,"543*",HK!K:K)-SUMIF(HK!A:A,"543*",HK!L:L)</f>
        <v>0</v>
      </c>
      <c r="F10" s="228">
        <f>SUMIF(HKM!A:A,"543*",HKM!K:K)-SUMIF(HKM!A:A,"543*",HKM!L:L)</f>
        <v>0</v>
      </c>
      <c r="G10" s="56"/>
      <c r="H10" s="24"/>
      <c r="I10" s="56"/>
      <c r="J10" s="56"/>
    </row>
    <row r="11" spans="1:10" ht="19.5" customHeight="1" thickBot="1" x14ac:dyDescent="0.3">
      <c r="A11" s="37" t="s">
        <v>683</v>
      </c>
      <c r="B11" s="93" t="s">
        <v>66</v>
      </c>
      <c r="C11" s="93" t="s">
        <v>66</v>
      </c>
      <c r="D11" s="230" t="s">
        <v>66</v>
      </c>
      <c r="E11" s="64"/>
      <c r="F11" s="64"/>
      <c r="G11" s="56"/>
      <c r="H11" s="143"/>
      <c r="I11" s="56"/>
      <c r="J11" s="56"/>
    </row>
    <row r="12" spans="1:10" ht="35.25" thickTop="1" thickBot="1" x14ac:dyDescent="0.3">
      <c r="A12" s="125" t="s">
        <v>632</v>
      </c>
      <c r="B12" s="93" t="s">
        <v>66</v>
      </c>
      <c r="C12" s="93" t="s">
        <v>66</v>
      </c>
      <c r="D12" s="230" t="s">
        <v>66</v>
      </c>
      <c r="E12" s="73">
        <f>SUMIF(VZaS!C:C,"006",VZaS!D:D)</f>
        <v>0</v>
      </c>
      <c r="F12" s="73">
        <f>SUMIF(VZaS!C:C,"006",VZaS!E:E)</f>
        <v>0</v>
      </c>
      <c r="G12" s="56"/>
      <c r="H12" s="189"/>
      <c r="I12" s="56"/>
      <c r="J12" s="5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545</v>
      </c>
    </row>
    <row r="2" spans="1:7" ht="26.25" customHeight="1" thickTop="1" thickBot="1" x14ac:dyDescent="0.3">
      <c r="A2" s="204" t="s">
        <v>490</v>
      </c>
      <c r="B2" s="47" t="s">
        <v>121</v>
      </c>
      <c r="C2" s="47" t="s">
        <v>734</v>
      </c>
    </row>
    <row r="3" spans="1:7" ht="18.75" customHeight="1" thickTop="1" thickBot="1" x14ac:dyDescent="0.3">
      <c r="A3" s="17" t="s">
        <v>957</v>
      </c>
      <c r="B3" s="73">
        <f>SUMIF(HK!A:A,"601*",HK!L:L)-SUMIF(HK!A:A,"601*",HK!K:K)</f>
        <v>0</v>
      </c>
      <c r="C3" s="73">
        <f>SUMIF(HKM!A:A,"601*",HKM!L:L)-SUMIF(HKM!A:A,"601*",HKM!K:K)</f>
        <v>0</v>
      </c>
      <c r="D3" s="56"/>
      <c r="E3" s="184"/>
      <c r="G3" s="42"/>
    </row>
    <row r="4" spans="1:7" ht="18.75" customHeight="1" thickBot="1" x14ac:dyDescent="0.3">
      <c r="A4" s="17" t="s">
        <v>103</v>
      </c>
      <c r="B4" s="73">
        <f>SUMIF(HK!A:A,"602*",HK!L:L)-SUMIF(HK!A:A,"602*",HK!K:K)</f>
        <v>158000</v>
      </c>
      <c r="C4" s="73">
        <f>SUMIF(HKM!A:A,"602*",HKM!L:L)-SUMIF(HKM!A:A,"602*",HKM!K:K)</f>
        <v>0</v>
      </c>
      <c r="D4" s="56"/>
      <c r="E4" s="184"/>
      <c r="G4" s="42"/>
    </row>
    <row r="5" spans="1:7" ht="18.75" customHeight="1" thickBot="1" x14ac:dyDescent="0.3">
      <c r="A5" s="17" t="s">
        <v>930</v>
      </c>
      <c r="B5" s="73">
        <f>SUMIF(HK!A:A,"604*",HK!L:L)-SUMIF(HK!A:A,"604*",HK!K:K)</f>
        <v>0</v>
      </c>
      <c r="C5" s="73">
        <f>SUMIF(HKM!A:A,"604*",HKM!L:L)-SUMIF(HKM!A:A,"604*",HKM!K:K)</f>
        <v>0</v>
      </c>
      <c r="D5" s="56"/>
      <c r="E5" s="184"/>
      <c r="G5" s="42"/>
    </row>
    <row r="6" spans="1:7" ht="18.75" customHeight="1" thickBot="1" x14ac:dyDescent="0.3">
      <c r="A6" s="17" t="s">
        <v>677</v>
      </c>
      <c r="B6" s="73">
        <f>SUMIF(HK!A:A,"606*",HK!L:L)-SUMIF(HK!A:A,"606*",HK!K:K)</f>
        <v>0</v>
      </c>
      <c r="C6" s="73">
        <f>SUMIF(HKM!A:A,"606*",HKM!L:L)-SUMIF(HKM!A:A,"606*",HKM!K:K)</f>
        <v>0</v>
      </c>
      <c r="D6" s="56"/>
      <c r="E6" s="184"/>
      <c r="G6" s="42"/>
    </row>
    <row r="7" spans="1:7" ht="18.75" customHeight="1" thickBot="1" x14ac:dyDescent="0.3">
      <c r="A7" s="17" t="s">
        <v>313</v>
      </c>
      <c r="B7" s="73"/>
      <c r="C7" s="73"/>
      <c r="D7" s="56"/>
      <c r="E7" s="184"/>
      <c r="G7" s="115"/>
    </row>
    <row r="8" spans="1:7" ht="23.25" thickBot="1" x14ac:dyDescent="0.3">
      <c r="A8" s="169" t="s">
        <v>1054</v>
      </c>
      <c r="B8" s="227"/>
      <c r="C8" s="227"/>
      <c r="D8" s="56"/>
      <c r="E8" s="56"/>
      <c r="G8" s="42"/>
    </row>
    <row r="9" spans="1:7" ht="18.75" customHeight="1" thickBot="1" x14ac:dyDescent="0.3">
      <c r="A9" s="36" t="s">
        <v>546</v>
      </c>
      <c r="B9" s="117">
        <f>SUM(B3:B8)</f>
        <v>158000</v>
      </c>
      <c r="C9" s="117">
        <f>SUM(C3:C8)</f>
        <v>0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608</v>
      </c>
      <c r="D1" s="56"/>
      <c r="E1" s="56"/>
    </row>
    <row r="2" spans="1:5" ht="24" thickTop="1" thickBot="1" x14ac:dyDescent="0.3">
      <c r="A2" s="204" t="s">
        <v>490</v>
      </c>
      <c r="B2" s="47" t="s">
        <v>121</v>
      </c>
      <c r="C2" s="47" t="s">
        <v>734</v>
      </c>
      <c r="D2" s="56"/>
      <c r="E2" s="56"/>
    </row>
    <row r="3" spans="1:5" ht="30.75" customHeight="1" thickTop="1" thickBot="1" x14ac:dyDescent="0.3">
      <c r="A3" s="18" t="s">
        <v>895</v>
      </c>
      <c r="B3" s="73"/>
      <c r="C3" s="73"/>
    </row>
    <row r="4" spans="1:5" ht="23.25" thickBot="1" x14ac:dyDescent="0.3">
      <c r="A4" s="169" t="s">
        <v>723</v>
      </c>
      <c r="B4" s="227"/>
      <c r="C4" s="227"/>
    </row>
    <row r="5" spans="1:5" ht="15.75" thickBot="1" x14ac:dyDescent="0.3">
      <c r="A5" s="169" t="s">
        <v>676</v>
      </c>
      <c r="B5" s="227"/>
      <c r="C5" s="227"/>
    </row>
    <row r="6" spans="1:5" ht="15.75" thickBot="1" x14ac:dyDescent="0.3">
      <c r="A6" s="169" t="s">
        <v>1017</v>
      </c>
      <c r="B6" s="227"/>
      <c r="C6" s="227"/>
    </row>
    <row r="7" spans="1:5" ht="15.75" thickBot="1" x14ac:dyDescent="0.3">
      <c r="A7" s="169" t="s">
        <v>416</v>
      </c>
      <c r="B7" s="227"/>
      <c r="C7" s="227"/>
    </row>
    <row r="8" spans="1:5" ht="15.75" thickBot="1" x14ac:dyDescent="0.3">
      <c r="A8" s="37" t="s">
        <v>532</v>
      </c>
      <c r="B8" s="64"/>
      <c r="C8" s="64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1057</v>
      </c>
    </row>
    <row r="2" spans="1:2" ht="21" customHeight="1" thickTop="1" thickBot="1" x14ac:dyDescent="0.3">
      <c r="A2" s="191" t="s">
        <v>95</v>
      </c>
      <c r="B2" s="32" t="s">
        <v>856</v>
      </c>
    </row>
    <row r="3" spans="1:2" ht="32.25" customHeight="1" thickTop="1" thickBot="1" x14ac:dyDescent="0.3">
      <c r="A3" s="190" t="s">
        <v>961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58</v>
      </c>
    </row>
    <row r="2" spans="1:3" ht="35.25" thickTop="1" thickBot="1" x14ac:dyDescent="0.3">
      <c r="A2" s="204" t="s">
        <v>490</v>
      </c>
      <c r="B2" s="47" t="s">
        <v>121</v>
      </c>
      <c r="C2" s="47" t="s">
        <v>734</v>
      </c>
    </row>
    <row r="3" spans="1:3" ht="35.25" thickTop="1" thickBot="1" x14ac:dyDescent="0.3">
      <c r="A3" s="58" t="s">
        <v>208</v>
      </c>
      <c r="B3" s="124"/>
      <c r="C3" s="124"/>
    </row>
    <row r="4" spans="1:3" ht="34.5" thickBot="1" x14ac:dyDescent="0.3">
      <c r="A4" s="111" t="s">
        <v>987</v>
      </c>
      <c r="B4" s="124"/>
      <c r="C4" s="124"/>
    </row>
    <row r="5" spans="1:3" ht="79.5" thickBot="1" x14ac:dyDescent="0.3">
      <c r="A5" s="233" t="s">
        <v>68</v>
      </c>
      <c r="B5" s="124"/>
      <c r="C5" s="124"/>
    </row>
    <row r="6" spans="1:3" ht="57" thickBot="1" x14ac:dyDescent="0.3">
      <c r="A6" s="169" t="s">
        <v>462</v>
      </c>
      <c r="B6" s="124"/>
      <c r="C6" s="124"/>
    </row>
    <row r="7" spans="1:3" ht="57" thickBot="1" x14ac:dyDescent="0.3">
      <c r="A7" s="58" t="s">
        <v>810</v>
      </c>
      <c r="B7" s="124"/>
      <c r="C7" s="124"/>
    </row>
    <row r="8" spans="1:3" ht="34.5" thickBot="1" x14ac:dyDescent="0.3">
      <c r="A8" s="84" t="s">
        <v>409</v>
      </c>
      <c r="B8" s="211"/>
      <c r="C8" s="211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935</v>
      </c>
    </row>
    <row r="2" spans="1:10" ht="35.25" customHeight="1" thickTop="1" thickBot="1" x14ac:dyDescent="0.3">
      <c r="A2" s="240" t="s">
        <v>490</v>
      </c>
      <c r="B2" s="245" t="s">
        <v>121</v>
      </c>
      <c r="C2" s="246"/>
      <c r="D2" s="247"/>
      <c r="E2" s="245" t="s">
        <v>734</v>
      </c>
      <c r="F2" s="246"/>
      <c r="G2" s="247"/>
    </row>
    <row r="3" spans="1:10" s="78" customFormat="1" ht="16.5" thickTop="1" thickBot="1" x14ac:dyDescent="0.3">
      <c r="A3" s="254"/>
      <c r="B3" s="179" t="s">
        <v>344</v>
      </c>
      <c r="C3" s="179" t="s">
        <v>320</v>
      </c>
      <c r="D3" s="179" t="s">
        <v>116</v>
      </c>
      <c r="E3" s="179" t="s">
        <v>344</v>
      </c>
      <c r="F3" s="179" t="s">
        <v>320</v>
      </c>
      <c r="G3" s="179" t="s">
        <v>116</v>
      </c>
    </row>
    <row r="4" spans="1:10" ht="24" thickTop="1" thickBot="1" x14ac:dyDescent="0.3">
      <c r="A4" s="169" t="s">
        <v>781</v>
      </c>
      <c r="B4" s="232">
        <f>SUMIF(VZaS!C:C,"056",VZaS!D:D)</f>
        <v>-53509.27</v>
      </c>
      <c r="C4" s="21" t="s">
        <v>66</v>
      </c>
      <c r="D4" s="107" t="s">
        <v>66</v>
      </c>
      <c r="E4" s="232">
        <f>SUMIF(VZaS!C:C,"056",VZaS!E:E)</f>
        <v>-58637.84</v>
      </c>
      <c r="F4" s="21" t="s">
        <v>66</v>
      </c>
      <c r="G4" s="107" t="s">
        <v>66</v>
      </c>
      <c r="H4" s="76"/>
      <c r="I4" s="76"/>
      <c r="J4" s="61"/>
    </row>
    <row r="5" spans="1:10" ht="20.25" customHeight="1" thickBot="1" x14ac:dyDescent="0.3">
      <c r="A5" s="169" t="s">
        <v>45</v>
      </c>
      <c r="B5" s="21" t="s">
        <v>66</v>
      </c>
      <c r="C5" s="136"/>
      <c r="D5" s="113"/>
      <c r="E5" s="21" t="s">
        <v>66</v>
      </c>
      <c r="F5" s="136"/>
      <c r="G5" s="113"/>
      <c r="H5" s="76"/>
      <c r="I5" s="76"/>
      <c r="J5" s="76"/>
    </row>
    <row r="6" spans="1:10" ht="20.25" customHeight="1" thickBot="1" x14ac:dyDescent="0.3">
      <c r="A6" s="169" t="s">
        <v>1060</v>
      </c>
      <c r="B6" s="136"/>
      <c r="C6" s="136"/>
      <c r="D6" s="113"/>
      <c r="E6" s="136"/>
      <c r="F6" s="136"/>
      <c r="G6" s="113"/>
      <c r="H6" s="76"/>
      <c r="I6" s="76"/>
      <c r="J6" s="76"/>
    </row>
    <row r="7" spans="1:10" ht="20.25" customHeight="1" thickBot="1" x14ac:dyDescent="0.3">
      <c r="A7" s="169" t="s">
        <v>155</v>
      </c>
      <c r="B7" s="136"/>
      <c r="C7" s="136"/>
      <c r="D7" s="113"/>
      <c r="E7" s="136"/>
      <c r="F7" s="136"/>
      <c r="G7" s="113"/>
      <c r="H7" s="76"/>
      <c r="I7" s="76"/>
      <c r="J7" s="76"/>
    </row>
    <row r="8" spans="1:10" ht="20.25" customHeight="1" thickBot="1" x14ac:dyDescent="0.3">
      <c r="A8" s="169" t="s">
        <v>939</v>
      </c>
      <c r="B8" s="136"/>
      <c r="C8" s="136"/>
      <c r="D8" s="113"/>
      <c r="E8" s="136"/>
      <c r="F8" s="136"/>
      <c r="G8" s="113"/>
      <c r="H8" s="76"/>
      <c r="I8" s="76"/>
      <c r="J8" s="76"/>
    </row>
    <row r="9" spans="1:10" ht="20.25" customHeight="1" thickBot="1" x14ac:dyDescent="0.3">
      <c r="A9" s="169" t="s">
        <v>683</v>
      </c>
      <c r="B9" s="136"/>
      <c r="C9" s="136"/>
      <c r="D9" s="113"/>
      <c r="E9" s="136"/>
      <c r="F9" s="136"/>
      <c r="G9" s="113"/>
      <c r="H9" s="76"/>
      <c r="I9" s="76"/>
      <c r="J9" s="76"/>
    </row>
    <row r="10" spans="1:10" ht="20.25" customHeight="1" thickBot="1" x14ac:dyDescent="0.3">
      <c r="A10" s="169" t="s">
        <v>872</v>
      </c>
      <c r="B10" s="136"/>
      <c r="C10" s="136"/>
      <c r="D10" s="113"/>
      <c r="E10" s="136"/>
      <c r="F10" s="136"/>
      <c r="G10" s="113"/>
      <c r="H10" s="76"/>
      <c r="I10" s="76"/>
      <c r="J10" s="76"/>
    </row>
    <row r="11" spans="1:10" ht="20.25" customHeight="1" thickBot="1" x14ac:dyDescent="0.3">
      <c r="A11" s="169" t="s">
        <v>836</v>
      </c>
      <c r="B11" s="21" t="s">
        <v>66</v>
      </c>
      <c r="C11" s="232">
        <f>SUMIF(VZaS!C:C,"058",VZaS!D:D)</f>
        <v>960</v>
      </c>
      <c r="D11" s="113"/>
      <c r="E11" s="21" t="s">
        <v>66</v>
      </c>
      <c r="F11" s="232">
        <f>SUMIF(VZaS!C:C,"058",VZaS!E:E)</f>
        <v>0</v>
      </c>
      <c r="G11" s="113"/>
      <c r="H11" s="76"/>
      <c r="I11" s="76"/>
      <c r="J11" s="76"/>
    </row>
    <row r="12" spans="1:10" ht="20.25" customHeight="1" thickBot="1" x14ac:dyDescent="0.3">
      <c r="A12" s="169" t="s">
        <v>46</v>
      </c>
      <c r="B12" s="21" t="s">
        <v>66</v>
      </c>
      <c r="C12" s="232">
        <f>SUMIF(VZaS!C:C,"059",VZaS!D:D)</f>
        <v>0</v>
      </c>
      <c r="D12" s="113"/>
      <c r="E12" s="21" t="s">
        <v>66</v>
      </c>
      <c r="F12" s="232">
        <f>SUMIF(VZaS!C:C,"059",VZaS!E:E)</f>
        <v>0</v>
      </c>
      <c r="G12" s="113"/>
      <c r="H12" s="76"/>
      <c r="I12" s="76"/>
      <c r="J12" s="76"/>
    </row>
    <row r="13" spans="1:10" ht="20.25" customHeight="1" thickBot="1" x14ac:dyDescent="0.3">
      <c r="A13" s="37" t="s">
        <v>871</v>
      </c>
      <c r="B13" s="134" t="s">
        <v>66</v>
      </c>
      <c r="C13" s="13"/>
      <c r="D13" s="188"/>
      <c r="E13" s="134" t="s">
        <v>66</v>
      </c>
      <c r="F13" s="13"/>
      <c r="G13" s="188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RowHeight="15" x14ac:dyDescent="0.25"/>
  <cols>
    <col min="1" max="1" width="32" customWidth="1"/>
  </cols>
  <sheetData>
    <row r="1" spans="1:2" x14ac:dyDescent="0.25">
      <c r="A1" t="s">
        <v>722</v>
      </c>
      <c r="B1" t="s">
        <v>277</v>
      </c>
    </row>
    <row r="2" spans="1:2" x14ac:dyDescent="0.25">
      <c r="A2" t="s">
        <v>607</v>
      </c>
      <c r="B2" t="s">
        <v>109</v>
      </c>
    </row>
    <row r="3" spans="1:2" x14ac:dyDescent="0.25">
      <c r="A3" t="s">
        <v>647</v>
      </c>
      <c r="B3" t="s">
        <v>549</v>
      </c>
    </row>
    <row r="4" spans="1:2" x14ac:dyDescent="0.25">
      <c r="A4" t="s">
        <v>199</v>
      </c>
      <c r="B4" t="s">
        <v>549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abSelected="1"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378</v>
      </c>
      <c r="B1" s="11" t="s">
        <v>477</v>
      </c>
      <c r="C1" s="152" t="s">
        <v>686</v>
      </c>
      <c r="D1" s="152" t="s">
        <v>853</v>
      </c>
      <c r="E1" s="152" t="s">
        <v>369</v>
      </c>
      <c r="F1" s="152" t="s">
        <v>651</v>
      </c>
      <c r="G1" s="152" t="s">
        <v>327</v>
      </c>
      <c r="H1" s="152" t="s">
        <v>586</v>
      </c>
      <c r="I1" s="152" t="s">
        <v>609</v>
      </c>
      <c r="J1" s="152" t="s">
        <v>587</v>
      </c>
      <c r="K1" s="152" t="s">
        <v>888</v>
      </c>
      <c r="L1" s="152" t="s">
        <v>174</v>
      </c>
    </row>
    <row r="2" spans="1:12" x14ac:dyDescent="0.25">
      <c r="A2" s="214" t="s">
        <v>114</v>
      </c>
      <c r="B2" s="100" t="s">
        <v>234</v>
      </c>
      <c r="C2" s="140">
        <v>2607292.58</v>
      </c>
      <c r="D2" s="140">
        <v>0</v>
      </c>
      <c r="E2" s="131">
        <v>0</v>
      </c>
      <c r="F2" s="131">
        <v>0</v>
      </c>
      <c r="G2" s="140">
        <v>-33638.839999999997</v>
      </c>
      <c r="H2" s="131">
        <v>0</v>
      </c>
      <c r="I2" s="140">
        <v>-33638.839999999997</v>
      </c>
      <c r="J2" s="131">
        <v>0</v>
      </c>
      <c r="K2" s="140">
        <v>2573653.7400000002</v>
      </c>
      <c r="L2" s="140">
        <v>0</v>
      </c>
    </row>
    <row r="3" spans="1:12" x14ac:dyDescent="0.25">
      <c r="A3" s="214" t="s">
        <v>754</v>
      </c>
      <c r="B3" s="100" t="s">
        <v>863</v>
      </c>
      <c r="C3" s="131">
        <v>0</v>
      </c>
      <c r="D3" s="131">
        <v>0</v>
      </c>
      <c r="E3" s="131">
        <v>0</v>
      </c>
      <c r="F3" s="131">
        <v>0</v>
      </c>
      <c r="G3" s="140">
        <v>4567.6099999999997</v>
      </c>
      <c r="H3" s="131">
        <v>0</v>
      </c>
      <c r="I3" s="140">
        <v>4567.6099999999997</v>
      </c>
      <c r="J3" s="131">
        <v>0</v>
      </c>
      <c r="K3" s="140">
        <v>4567.6099999999997</v>
      </c>
      <c r="L3" s="140">
        <v>0</v>
      </c>
    </row>
    <row r="4" spans="1:12" x14ac:dyDescent="0.25">
      <c r="A4" s="214" t="s">
        <v>854</v>
      </c>
      <c r="B4" s="100" t="s">
        <v>979</v>
      </c>
      <c r="C4" s="140">
        <v>1659.7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1659.7</v>
      </c>
      <c r="L4" s="140">
        <v>0</v>
      </c>
    </row>
    <row r="5" spans="1:12" x14ac:dyDescent="0.25">
      <c r="A5" s="214" t="s">
        <v>669</v>
      </c>
      <c r="B5" s="100" t="s">
        <v>844</v>
      </c>
      <c r="C5" s="140">
        <v>2257.19</v>
      </c>
      <c r="D5" s="140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  <c r="J5" s="131">
        <v>0</v>
      </c>
      <c r="K5" s="140">
        <v>2257.19</v>
      </c>
      <c r="L5" s="140">
        <v>0</v>
      </c>
    </row>
    <row r="6" spans="1:12" x14ac:dyDescent="0.25">
      <c r="A6" s="214" t="s">
        <v>662</v>
      </c>
      <c r="B6" s="100" t="s">
        <v>843</v>
      </c>
      <c r="C6" s="131">
        <v>0</v>
      </c>
      <c r="D6" s="131">
        <v>0</v>
      </c>
      <c r="E6" s="131">
        <v>0</v>
      </c>
      <c r="F6" s="131">
        <v>0</v>
      </c>
      <c r="G6" s="140">
        <v>29071.23</v>
      </c>
      <c r="H6" s="131">
        <v>0</v>
      </c>
      <c r="I6" s="140">
        <v>29071.23</v>
      </c>
      <c r="J6" s="131">
        <v>0</v>
      </c>
      <c r="K6" s="140">
        <v>29071.23</v>
      </c>
      <c r="L6" s="140">
        <v>0</v>
      </c>
    </row>
    <row r="7" spans="1:12" x14ac:dyDescent="0.25">
      <c r="A7" s="214" t="s">
        <v>825</v>
      </c>
      <c r="B7" s="100" t="s">
        <v>812</v>
      </c>
      <c r="C7" s="140">
        <v>447798.19</v>
      </c>
      <c r="D7" s="140">
        <v>0</v>
      </c>
      <c r="E7" s="131">
        <v>0</v>
      </c>
      <c r="F7" s="131">
        <v>0</v>
      </c>
      <c r="G7" s="140">
        <v>0</v>
      </c>
      <c r="H7" s="140">
        <v>10521.29</v>
      </c>
      <c r="I7" s="140">
        <v>0</v>
      </c>
      <c r="J7" s="140">
        <v>10521.29</v>
      </c>
      <c r="K7" s="140">
        <v>437276.9</v>
      </c>
      <c r="L7" s="140">
        <v>0</v>
      </c>
    </row>
    <row r="8" spans="1:12" x14ac:dyDescent="0.25">
      <c r="A8" s="214" t="s">
        <v>459</v>
      </c>
      <c r="B8" s="100" t="s">
        <v>563</v>
      </c>
      <c r="C8" s="140">
        <v>34389.51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34389.51</v>
      </c>
      <c r="L8" s="140">
        <v>0</v>
      </c>
    </row>
    <row r="9" spans="1:12" x14ac:dyDescent="0.25">
      <c r="A9" s="214" t="s">
        <v>845</v>
      </c>
      <c r="B9" s="100" t="s">
        <v>365</v>
      </c>
      <c r="C9" s="140">
        <v>169129.66</v>
      </c>
      <c r="D9" s="14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169129.66</v>
      </c>
      <c r="L9" s="140">
        <v>0</v>
      </c>
    </row>
    <row r="10" spans="1:12" x14ac:dyDescent="0.25">
      <c r="A10" s="214" t="s">
        <v>144</v>
      </c>
      <c r="B10" s="100" t="s">
        <v>175</v>
      </c>
      <c r="C10" s="140">
        <v>7520.08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7520.08</v>
      </c>
      <c r="L10" s="140">
        <v>0</v>
      </c>
    </row>
    <row r="11" spans="1:12" x14ac:dyDescent="0.25">
      <c r="A11" s="214" t="s">
        <v>617</v>
      </c>
      <c r="B11" s="100" t="s">
        <v>503</v>
      </c>
      <c r="C11" s="140">
        <v>139896.04</v>
      </c>
      <c r="D11" s="140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40">
        <v>139896.04</v>
      </c>
      <c r="L11" s="140">
        <v>0</v>
      </c>
    </row>
    <row r="12" spans="1:12" x14ac:dyDescent="0.25">
      <c r="A12" s="214" t="s">
        <v>572</v>
      </c>
      <c r="B12" s="100" t="s">
        <v>710</v>
      </c>
      <c r="C12" s="140">
        <v>234635</v>
      </c>
      <c r="D12" s="14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234635</v>
      </c>
      <c r="L12" s="140">
        <v>0</v>
      </c>
    </row>
    <row r="13" spans="1:12" x14ac:dyDescent="0.25">
      <c r="A13" s="214" t="s">
        <v>274</v>
      </c>
      <c r="B13" s="100" t="s">
        <v>169</v>
      </c>
      <c r="C13" s="140">
        <v>0</v>
      </c>
      <c r="D13" s="140">
        <v>1370000.75</v>
      </c>
      <c r="E13" s="131">
        <v>0</v>
      </c>
      <c r="F13" s="140">
        <v>39325</v>
      </c>
      <c r="G13" s="131">
        <v>0</v>
      </c>
      <c r="H13" s="140">
        <v>-30063.84</v>
      </c>
      <c r="I13" s="131">
        <v>0</v>
      </c>
      <c r="J13" s="140">
        <v>9261.16</v>
      </c>
      <c r="K13" s="140">
        <v>0</v>
      </c>
      <c r="L13" s="140">
        <v>1379261.91</v>
      </c>
    </row>
    <row r="14" spans="1:12" x14ac:dyDescent="0.25">
      <c r="A14" s="214" t="s">
        <v>303</v>
      </c>
      <c r="B14" s="100" t="s">
        <v>538</v>
      </c>
      <c r="C14" s="131">
        <v>0</v>
      </c>
      <c r="D14" s="131">
        <v>0</v>
      </c>
      <c r="E14" s="131">
        <v>0</v>
      </c>
      <c r="F14" s="131">
        <v>0</v>
      </c>
      <c r="G14" s="131">
        <v>0</v>
      </c>
      <c r="H14" s="140">
        <v>4567.6099999999997</v>
      </c>
      <c r="I14" s="131">
        <v>0</v>
      </c>
      <c r="J14" s="140">
        <v>4567.6099999999997</v>
      </c>
      <c r="K14" s="140">
        <v>0</v>
      </c>
      <c r="L14" s="140">
        <v>4567.6099999999997</v>
      </c>
    </row>
    <row r="15" spans="1:12" x14ac:dyDescent="0.25">
      <c r="A15" s="214" t="s">
        <v>998</v>
      </c>
      <c r="B15" s="100" t="s">
        <v>605</v>
      </c>
      <c r="C15" s="140">
        <v>0</v>
      </c>
      <c r="D15" s="140">
        <v>1623.7</v>
      </c>
      <c r="E15" s="131">
        <v>0</v>
      </c>
      <c r="F15" s="131">
        <v>0</v>
      </c>
      <c r="G15" s="131">
        <v>0</v>
      </c>
      <c r="H15" s="140">
        <v>36</v>
      </c>
      <c r="I15" s="131">
        <v>0</v>
      </c>
      <c r="J15" s="140">
        <v>36</v>
      </c>
      <c r="K15" s="140">
        <v>0</v>
      </c>
      <c r="L15" s="140">
        <v>1659.7</v>
      </c>
    </row>
    <row r="16" spans="1:12" x14ac:dyDescent="0.25">
      <c r="A16" s="214" t="s">
        <v>8</v>
      </c>
      <c r="B16" s="100" t="s">
        <v>99</v>
      </c>
      <c r="C16" s="140">
        <v>0</v>
      </c>
      <c r="D16" s="140">
        <v>1971.86</v>
      </c>
      <c r="E16" s="131">
        <v>0</v>
      </c>
      <c r="F16" s="131">
        <v>0</v>
      </c>
      <c r="G16" s="131">
        <v>0</v>
      </c>
      <c r="H16" s="140">
        <v>285.33</v>
      </c>
      <c r="I16" s="131">
        <v>0</v>
      </c>
      <c r="J16" s="140">
        <v>285.33</v>
      </c>
      <c r="K16" s="140">
        <v>0</v>
      </c>
      <c r="L16" s="140">
        <v>2257.19</v>
      </c>
    </row>
    <row r="17" spans="1:12" x14ac:dyDescent="0.25">
      <c r="A17" s="214" t="s">
        <v>214</v>
      </c>
      <c r="B17" s="100" t="s">
        <v>1126</v>
      </c>
      <c r="C17" s="131">
        <v>0</v>
      </c>
      <c r="D17" s="131">
        <v>0</v>
      </c>
      <c r="E17" s="131">
        <v>0</v>
      </c>
      <c r="F17" s="131">
        <v>0</v>
      </c>
      <c r="G17" s="131">
        <v>0</v>
      </c>
      <c r="H17" s="140">
        <v>29071.23</v>
      </c>
      <c r="I17" s="131">
        <v>0</v>
      </c>
      <c r="J17" s="140">
        <v>29071.23</v>
      </c>
      <c r="K17" s="140">
        <v>0</v>
      </c>
      <c r="L17" s="140">
        <v>29071.23</v>
      </c>
    </row>
    <row r="18" spans="1:12" x14ac:dyDescent="0.25">
      <c r="A18" s="214" t="s">
        <v>985</v>
      </c>
      <c r="B18" s="100" t="s">
        <v>729</v>
      </c>
      <c r="C18" s="140">
        <v>0</v>
      </c>
      <c r="D18" s="140">
        <v>447798.18</v>
      </c>
      <c r="E18" s="131">
        <v>0</v>
      </c>
      <c r="F18" s="131">
        <v>0</v>
      </c>
      <c r="G18" s="140">
        <v>10521.29</v>
      </c>
      <c r="H18" s="140">
        <v>0</v>
      </c>
      <c r="I18" s="140">
        <v>10521.29</v>
      </c>
      <c r="J18" s="140">
        <v>0</v>
      </c>
      <c r="K18" s="140">
        <v>0</v>
      </c>
      <c r="L18" s="140">
        <v>437276.89</v>
      </c>
    </row>
    <row r="19" spans="1:12" x14ac:dyDescent="0.25">
      <c r="A19" s="214" t="s">
        <v>436</v>
      </c>
      <c r="B19" s="100" t="s">
        <v>1062</v>
      </c>
      <c r="C19" s="131">
        <v>0</v>
      </c>
      <c r="D19" s="131">
        <v>0</v>
      </c>
      <c r="E19" s="131">
        <v>0</v>
      </c>
      <c r="F19" s="131">
        <v>0</v>
      </c>
      <c r="G19" s="131">
        <v>0</v>
      </c>
      <c r="H19" s="140">
        <v>0</v>
      </c>
      <c r="I19" s="131">
        <v>0</v>
      </c>
      <c r="J19" s="140">
        <v>0</v>
      </c>
      <c r="K19" s="140">
        <v>0</v>
      </c>
      <c r="L19" s="140">
        <v>0</v>
      </c>
    </row>
    <row r="20" spans="1:12" x14ac:dyDescent="0.25">
      <c r="A20" s="214" t="s">
        <v>401</v>
      </c>
      <c r="B20" s="100" t="s">
        <v>752</v>
      </c>
      <c r="C20" s="140">
        <v>27598.799999999999</v>
      </c>
      <c r="D20" s="140">
        <v>0</v>
      </c>
      <c r="E20" s="131">
        <v>0</v>
      </c>
      <c r="F20" s="131">
        <v>0</v>
      </c>
      <c r="G20" s="131">
        <v>0</v>
      </c>
      <c r="H20" s="140">
        <v>27500</v>
      </c>
      <c r="I20" s="131">
        <v>0</v>
      </c>
      <c r="J20" s="140">
        <v>27500</v>
      </c>
      <c r="K20" s="140">
        <v>98.8</v>
      </c>
      <c r="L20" s="140">
        <v>0</v>
      </c>
    </row>
    <row r="21" spans="1:12" x14ac:dyDescent="0.25">
      <c r="A21" s="214" t="s">
        <v>830</v>
      </c>
      <c r="B21" s="100" t="s">
        <v>715</v>
      </c>
      <c r="C21" s="140">
        <v>134824.34</v>
      </c>
      <c r="D21" s="140">
        <v>0</v>
      </c>
      <c r="E21" s="140">
        <v>416000</v>
      </c>
      <c r="F21" s="140">
        <v>498681.73</v>
      </c>
      <c r="G21" s="140">
        <v>156195.73000000001</v>
      </c>
      <c r="H21" s="140">
        <v>42075.08</v>
      </c>
      <c r="I21" s="140">
        <v>572195.73</v>
      </c>
      <c r="J21" s="140">
        <v>540756.81000000006</v>
      </c>
      <c r="K21" s="140">
        <v>166263.26</v>
      </c>
      <c r="L21" s="140">
        <v>0</v>
      </c>
    </row>
    <row r="22" spans="1:12" x14ac:dyDescent="0.25">
      <c r="A22" s="214" t="s">
        <v>730</v>
      </c>
      <c r="B22" s="100" t="s">
        <v>454</v>
      </c>
      <c r="C22" s="140">
        <v>174.61</v>
      </c>
      <c r="D22" s="140">
        <v>0</v>
      </c>
      <c r="E22" s="140">
        <v>-174.61</v>
      </c>
      <c r="F22" s="131">
        <v>0</v>
      </c>
      <c r="G22" s="131">
        <v>0</v>
      </c>
      <c r="H22" s="131">
        <v>0</v>
      </c>
      <c r="I22" s="140">
        <v>-174.61</v>
      </c>
      <c r="J22" s="131">
        <v>0</v>
      </c>
      <c r="K22" s="140">
        <v>0</v>
      </c>
      <c r="L22" s="140">
        <v>0</v>
      </c>
    </row>
    <row r="23" spans="1:12" x14ac:dyDescent="0.25">
      <c r="A23" s="214" t="s">
        <v>620</v>
      </c>
      <c r="B23" s="100" t="s">
        <v>30</v>
      </c>
      <c r="C23" s="140">
        <v>0</v>
      </c>
      <c r="D23" s="140">
        <v>174.61</v>
      </c>
      <c r="E23" s="140">
        <v>174.61</v>
      </c>
      <c r="F23" s="131">
        <v>0</v>
      </c>
      <c r="G23" s="131">
        <v>0</v>
      </c>
      <c r="H23" s="131">
        <v>0</v>
      </c>
      <c r="I23" s="140">
        <v>174.61</v>
      </c>
      <c r="J23" s="131">
        <v>0</v>
      </c>
      <c r="K23" s="140">
        <v>0</v>
      </c>
      <c r="L23" s="140">
        <v>0</v>
      </c>
    </row>
    <row r="24" spans="1:12" x14ac:dyDescent="0.25">
      <c r="A24" s="214" t="s">
        <v>577</v>
      </c>
      <c r="B24" s="100" t="s">
        <v>126</v>
      </c>
      <c r="C24" s="140">
        <v>0</v>
      </c>
      <c r="D24" s="140">
        <v>0</v>
      </c>
      <c r="E24" s="140">
        <v>621195.73</v>
      </c>
      <c r="F24" s="140">
        <v>296000</v>
      </c>
      <c r="G24" s="140">
        <v>30114.75</v>
      </c>
      <c r="H24" s="140">
        <v>156195.73000000001</v>
      </c>
      <c r="I24" s="140">
        <v>651310.48</v>
      </c>
      <c r="J24" s="140">
        <v>452195.73</v>
      </c>
      <c r="K24" s="140">
        <v>199114.75</v>
      </c>
      <c r="L24" s="140">
        <v>0</v>
      </c>
    </row>
    <row r="25" spans="1:12" x14ac:dyDescent="0.25">
      <c r="A25" s="214" t="s">
        <v>63</v>
      </c>
      <c r="B25" s="100" t="s">
        <v>566</v>
      </c>
      <c r="C25" s="140">
        <v>0</v>
      </c>
      <c r="D25" s="140">
        <v>0</v>
      </c>
      <c r="E25" s="140">
        <v>23919.35</v>
      </c>
      <c r="F25" s="131">
        <v>0</v>
      </c>
      <c r="G25" s="140">
        <v>-23919.35</v>
      </c>
      <c r="H25" s="131">
        <v>0</v>
      </c>
      <c r="I25" s="140">
        <v>0</v>
      </c>
      <c r="J25" s="131">
        <v>0</v>
      </c>
      <c r="K25" s="140">
        <v>0</v>
      </c>
      <c r="L25" s="140">
        <v>0</v>
      </c>
    </row>
    <row r="26" spans="1:12" x14ac:dyDescent="0.25">
      <c r="A26" s="214" t="s">
        <v>232</v>
      </c>
      <c r="B26" s="100" t="s">
        <v>213</v>
      </c>
      <c r="C26" s="140">
        <v>105051.79</v>
      </c>
      <c r="D26" s="140">
        <v>0</v>
      </c>
      <c r="E26" s="131">
        <v>0</v>
      </c>
      <c r="F26" s="131">
        <v>0</v>
      </c>
      <c r="G26" s="131">
        <v>0</v>
      </c>
      <c r="H26" s="131">
        <v>0</v>
      </c>
      <c r="I26" s="131">
        <v>0</v>
      </c>
      <c r="J26" s="131">
        <v>0</v>
      </c>
      <c r="K26" s="140">
        <v>105051.79</v>
      </c>
      <c r="L26" s="140">
        <v>0</v>
      </c>
    </row>
    <row r="27" spans="1:12" x14ac:dyDescent="0.25">
      <c r="A27" s="214" t="s">
        <v>671</v>
      </c>
      <c r="B27" s="100" t="s">
        <v>627</v>
      </c>
      <c r="C27" s="140">
        <v>82709</v>
      </c>
      <c r="D27" s="140">
        <v>0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0</v>
      </c>
      <c r="K27" s="140">
        <v>82709</v>
      </c>
      <c r="L27" s="140">
        <v>0</v>
      </c>
    </row>
    <row r="28" spans="1:12" x14ac:dyDescent="0.25">
      <c r="A28" s="214" t="s">
        <v>1018</v>
      </c>
      <c r="B28" s="100" t="s">
        <v>714</v>
      </c>
      <c r="C28" s="140">
        <v>213850.16</v>
      </c>
      <c r="D28" s="140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40">
        <v>213850.16</v>
      </c>
      <c r="L28" s="140">
        <v>0</v>
      </c>
    </row>
    <row r="29" spans="1:12" x14ac:dyDescent="0.25">
      <c r="A29" s="214" t="s">
        <v>357</v>
      </c>
      <c r="B29" s="100" t="s">
        <v>156</v>
      </c>
      <c r="C29" s="140">
        <v>99677.24</v>
      </c>
      <c r="D29" s="140">
        <v>0</v>
      </c>
      <c r="E29" s="131">
        <v>0</v>
      </c>
      <c r="F29" s="131">
        <v>0</v>
      </c>
      <c r="G29" s="131">
        <v>0</v>
      </c>
      <c r="H29" s="140">
        <v>99677.24</v>
      </c>
      <c r="I29" s="131">
        <v>0</v>
      </c>
      <c r="J29" s="140">
        <v>99677.24</v>
      </c>
      <c r="K29" s="140">
        <v>0</v>
      </c>
      <c r="L29" s="140">
        <v>0</v>
      </c>
    </row>
    <row r="30" spans="1:12" x14ac:dyDescent="0.25">
      <c r="A30" s="214" t="s">
        <v>612</v>
      </c>
      <c r="B30" s="100" t="s">
        <v>110</v>
      </c>
      <c r="C30" s="140">
        <v>20299.84</v>
      </c>
      <c r="D30" s="140">
        <v>0</v>
      </c>
      <c r="E30" s="131">
        <v>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40">
        <v>20299.84</v>
      </c>
      <c r="L30" s="140">
        <v>0</v>
      </c>
    </row>
    <row r="31" spans="1:12" x14ac:dyDescent="0.25">
      <c r="A31" s="214" t="s">
        <v>952</v>
      </c>
      <c r="B31" s="100" t="s">
        <v>21</v>
      </c>
      <c r="C31" s="140">
        <v>0</v>
      </c>
      <c r="D31" s="140">
        <v>0</v>
      </c>
      <c r="E31" s="140">
        <v>14986.46</v>
      </c>
      <c r="F31" s="140">
        <v>53517.15</v>
      </c>
      <c r="G31" s="140">
        <v>12058.08</v>
      </c>
      <c r="H31" s="140">
        <v>49584.84</v>
      </c>
      <c r="I31" s="140">
        <v>27044.54</v>
      </c>
      <c r="J31" s="140">
        <v>103101.99</v>
      </c>
      <c r="K31" s="140">
        <v>0</v>
      </c>
      <c r="L31" s="140">
        <v>76057.45</v>
      </c>
    </row>
    <row r="32" spans="1:12" x14ac:dyDescent="0.25">
      <c r="A32" s="214" t="s">
        <v>2</v>
      </c>
      <c r="B32" s="100" t="s">
        <v>75</v>
      </c>
      <c r="C32" s="140">
        <v>0</v>
      </c>
      <c r="D32" s="140">
        <v>6622.24</v>
      </c>
      <c r="E32" s="131">
        <v>0</v>
      </c>
      <c r="F32" s="131">
        <v>0</v>
      </c>
      <c r="G32" s="140">
        <v>6622.24</v>
      </c>
      <c r="H32" s="140">
        <v>960</v>
      </c>
      <c r="I32" s="140">
        <v>6622.24</v>
      </c>
      <c r="J32" s="140">
        <v>960</v>
      </c>
      <c r="K32" s="140">
        <v>0</v>
      </c>
      <c r="L32" s="140">
        <v>960</v>
      </c>
    </row>
    <row r="33" spans="1:12" x14ac:dyDescent="0.25">
      <c r="A33" s="214" t="s">
        <v>665</v>
      </c>
      <c r="B33" s="100" t="s">
        <v>238</v>
      </c>
      <c r="C33" s="140">
        <v>728.97</v>
      </c>
      <c r="D33" s="140">
        <v>0</v>
      </c>
      <c r="E33" s="131">
        <v>0</v>
      </c>
      <c r="F33" s="131">
        <v>0</v>
      </c>
      <c r="G33" s="131">
        <v>0</v>
      </c>
      <c r="H33" s="140">
        <v>728.97</v>
      </c>
      <c r="I33" s="131">
        <v>0</v>
      </c>
      <c r="J33" s="140">
        <v>728.97</v>
      </c>
      <c r="K33" s="140">
        <v>0</v>
      </c>
      <c r="L33" s="140">
        <v>0</v>
      </c>
    </row>
    <row r="34" spans="1:12" x14ac:dyDescent="0.25">
      <c r="A34" s="214" t="s">
        <v>756</v>
      </c>
      <c r="B34" s="100" t="s">
        <v>246</v>
      </c>
      <c r="C34" s="140">
        <v>8.4600000000000009</v>
      </c>
      <c r="D34" s="140">
        <v>0</v>
      </c>
      <c r="E34" s="131">
        <v>0</v>
      </c>
      <c r="F34" s="131">
        <v>0</v>
      </c>
      <c r="G34" s="131">
        <v>0</v>
      </c>
      <c r="H34" s="140">
        <v>8.4600000000000009</v>
      </c>
      <c r="I34" s="131">
        <v>0</v>
      </c>
      <c r="J34" s="140">
        <v>8.4600000000000009</v>
      </c>
      <c r="K34" s="140">
        <v>0</v>
      </c>
      <c r="L34" s="140">
        <v>0</v>
      </c>
    </row>
    <row r="35" spans="1:12" x14ac:dyDescent="0.25">
      <c r="A35" s="214" t="s">
        <v>924</v>
      </c>
      <c r="B35" s="100" t="s">
        <v>763</v>
      </c>
      <c r="C35" s="140">
        <v>0</v>
      </c>
      <c r="D35" s="140">
        <v>0</v>
      </c>
      <c r="E35" s="140">
        <v>7231.76</v>
      </c>
      <c r="F35" s="140">
        <v>7231.76</v>
      </c>
      <c r="G35" s="131">
        <v>0</v>
      </c>
      <c r="H35" s="131">
        <v>0</v>
      </c>
      <c r="I35" s="140">
        <v>7231.76</v>
      </c>
      <c r="J35" s="140">
        <v>7231.76</v>
      </c>
      <c r="K35" s="140">
        <v>0</v>
      </c>
      <c r="L35" s="140">
        <v>0</v>
      </c>
    </row>
    <row r="36" spans="1:12" x14ac:dyDescent="0.25">
      <c r="A36" s="214" t="s">
        <v>835</v>
      </c>
      <c r="B36" s="100" t="s">
        <v>1082</v>
      </c>
      <c r="C36" s="140">
        <v>0</v>
      </c>
      <c r="D36" s="140">
        <v>0</v>
      </c>
      <c r="E36" s="140">
        <v>1079</v>
      </c>
      <c r="F36" s="131">
        <v>0</v>
      </c>
      <c r="G36" s="131">
        <v>0</v>
      </c>
      <c r="H36" s="140">
        <v>1079</v>
      </c>
      <c r="I36" s="140">
        <v>1079</v>
      </c>
      <c r="J36" s="140">
        <v>1079</v>
      </c>
      <c r="K36" s="140">
        <v>0</v>
      </c>
      <c r="L36" s="140">
        <v>0</v>
      </c>
    </row>
    <row r="37" spans="1:12" x14ac:dyDescent="0.25">
      <c r="A37" s="214" t="s">
        <v>9</v>
      </c>
      <c r="B37" s="100" t="s">
        <v>1014</v>
      </c>
      <c r="C37" s="140">
        <v>44792.480000000003</v>
      </c>
      <c r="D37" s="140">
        <v>0</v>
      </c>
      <c r="E37" s="131">
        <v>0</v>
      </c>
      <c r="F37" s="131">
        <v>0</v>
      </c>
      <c r="G37" s="131">
        <v>0</v>
      </c>
      <c r="H37" s="140">
        <v>44792.480000000003</v>
      </c>
      <c r="I37" s="131">
        <v>0</v>
      </c>
      <c r="J37" s="140">
        <v>44792.480000000003</v>
      </c>
      <c r="K37" s="140">
        <v>0</v>
      </c>
      <c r="L37" s="140">
        <v>0</v>
      </c>
    </row>
    <row r="38" spans="1:12" x14ac:dyDescent="0.25">
      <c r="A38" s="214" t="s">
        <v>946</v>
      </c>
      <c r="B38" s="100" t="s">
        <v>380</v>
      </c>
      <c r="C38" s="140">
        <v>150000</v>
      </c>
      <c r="D38" s="140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40">
        <v>150000</v>
      </c>
      <c r="L38" s="140">
        <v>0</v>
      </c>
    </row>
    <row r="39" spans="1:12" x14ac:dyDescent="0.25">
      <c r="A39" s="214" t="s">
        <v>235</v>
      </c>
      <c r="B39" s="100" t="s">
        <v>831</v>
      </c>
      <c r="C39" s="140">
        <v>17042.38</v>
      </c>
      <c r="D39" s="140">
        <v>0</v>
      </c>
      <c r="E39" s="131">
        <v>0</v>
      </c>
      <c r="F39" s="131">
        <v>0</v>
      </c>
      <c r="G39" s="131">
        <v>0</v>
      </c>
      <c r="H39" s="131">
        <v>0</v>
      </c>
      <c r="I39" s="131">
        <v>0</v>
      </c>
      <c r="J39" s="131">
        <v>0</v>
      </c>
      <c r="K39" s="140">
        <v>17042.38</v>
      </c>
      <c r="L39" s="140">
        <v>0</v>
      </c>
    </row>
    <row r="40" spans="1:12" x14ac:dyDescent="0.25">
      <c r="A40" s="214" t="s">
        <v>798</v>
      </c>
      <c r="B40" s="100" t="s">
        <v>229</v>
      </c>
      <c r="C40" s="140">
        <v>173000</v>
      </c>
      <c r="D40" s="140">
        <v>0</v>
      </c>
      <c r="E40" s="140">
        <v>151240</v>
      </c>
      <c r="F40" s="140">
        <v>110000</v>
      </c>
      <c r="G40" s="140">
        <v>21000</v>
      </c>
      <c r="H40" s="131">
        <v>0</v>
      </c>
      <c r="I40" s="140">
        <v>172240</v>
      </c>
      <c r="J40" s="140">
        <v>110000</v>
      </c>
      <c r="K40" s="140">
        <v>235240</v>
      </c>
      <c r="L40" s="140">
        <v>0</v>
      </c>
    </row>
    <row r="41" spans="1:12" x14ac:dyDescent="0.25">
      <c r="A41" s="214" t="s">
        <v>1081</v>
      </c>
      <c r="B41" s="100" t="s">
        <v>426</v>
      </c>
      <c r="C41" s="140">
        <v>0</v>
      </c>
      <c r="D41" s="140">
        <v>0</v>
      </c>
      <c r="E41" s="140">
        <v>10000</v>
      </c>
      <c r="F41" s="140">
        <v>10000</v>
      </c>
      <c r="G41" s="131">
        <v>0</v>
      </c>
      <c r="H41" s="131">
        <v>0</v>
      </c>
      <c r="I41" s="140">
        <v>10000</v>
      </c>
      <c r="J41" s="140">
        <v>10000</v>
      </c>
      <c r="K41" s="140">
        <v>0</v>
      </c>
      <c r="L41" s="140">
        <v>0</v>
      </c>
    </row>
    <row r="42" spans="1:12" x14ac:dyDescent="0.25">
      <c r="A42" s="214" t="s">
        <v>610</v>
      </c>
      <c r="B42" s="100" t="s">
        <v>726</v>
      </c>
      <c r="C42" s="140">
        <v>0</v>
      </c>
      <c r="D42" s="140">
        <v>11300</v>
      </c>
      <c r="E42" s="140">
        <v>10000</v>
      </c>
      <c r="F42" s="131">
        <v>0</v>
      </c>
      <c r="G42" s="140">
        <v>1300</v>
      </c>
      <c r="H42" s="131">
        <v>0</v>
      </c>
      <c r="I42" s="140">
        <v>11300</v>
      </c>
      <c r="J42" s="131">
        <v>0</v>
      </c>
      <c r="K42" s="140">
        <v>0</v>
      </c>
      <c r="L42" s="140">
        <v>0</v>
      </c>
    </row>
    <row r="43" spans="1:12" x14ac:dyDescent="0.25">
      <c r="A43" s="214" t="s">
        <v>413</v>
      </c>
      <c r="B43" s="100" t="s">
        <v>1097</v>
      </c>
      <c r="C43" s="140">
        <v>60000</v>
      </c>
      <c r="D43" s="140">
        <v>0</v>
      </c>
      <c r="E43" s="140">
        <v>-60000</v>
      </c>
      <c r="F43" s="131">
        <v>0</v>
      </c>
      <c r="G43" s="131">
        <v>0</v>
      </c>
      <c r="H43" s="131">
        <v>0</v>
      </c>
      <c r="I43" s="140">
        <v>-60000</v>
      </c>
      <c r="J43" s="131">
        <v>0</v>
      </c>
      <c r="K43" s="140">
        <v>0</v>
      </c>
      <c r="L43" s="140">
        <v>0</v>
      </c>
    </row>
    <row r="44" spans="1:12" x14ac:dyDescent="0.25">
      <c r="A44" s="214" t="s">
        <v>224</v>
      </c>
      <c r="B44" s="100" t="s">
        <v>989</v>
      </c>
      <c r="C44" s="140">
        <v>4653.24</v>
      </c>
      <c r="D44" s="140">
        <v>0</v>
      </c>
      <c r="E44" s="140">
        <v>3102.16</v>
      </c>
      <c r="F44" s="140">
        <v>3102.16</v>
      </c>
      <c r="G44" s="131">
        <v>0</v>
      </c>
      <c r="H44" s="140">
        <v>1551.08</v>
      </c>
      <c r="I44" s="140">
        <v>3102.16</v>
      </c>
      <c r="J44" s="140">
        <v>4653.24</v>
      </c>
      <c r="K44" s="140">
        <v>3102.16</v>
      </c>
      <c r="L44" s="140">
        <v>0</v>
      </c>
    </row>
    <row r="45" spans="1:12" x14ac:dyDescent="0.25">
      <c r="A45" s="214" t="s">
        <v>10</v>
      </c>
      <c r="B45" s="100" t="s">
        <v>697</v>
      </c>
      <c r="C45" s="140">
        <v>1523.68</v>
      </c>
      <c r="D45" s="140">
        <v>0</v>
      </c>
      <c r="E45" s="131">
        <v>0</v>
      </c>
      <c r="F45" s="140">
        <v>1523.68</v>
      </c>
      <c r="G45" s="140">
        <v>1523.68</v>
      </c>
      <c r="H45" s="131">
        <v>0</v>
      </c>
      <c r="I45" s="140">
        <v>1523.68</v>
      </c>
      <c r="J45" s="140">
        <v>1523.68</v>
      </c>
      <c r="K45" s="140">
        <v>1523.68</v>
      </c>
      <c r="L45" s="140">
        <v>0</v>
      </c>
    </row>
    <row r="46" spans="1:12" x14ac:dyDescent="0.25">
      <c r="A46" s="214" t="s">
        <v>345</v>
      </c>
      <c r="B46" s="100" t="s">
        <v>179</v>
      </c>
      <c r="C46" s="140">
        <v>0</v>
      </c>
      <c r="D46" s="140">
        <v>0</v>
      </c>
      <c r="E46" s="131">
        <v>0</v>
      </c>
      <c r="F46" s="140">
        <v>108000</v>
      </c>
      <c r="G46" s="131">
        <v>0</v>
      </c>
      <c r="H46" s="131">
        <v>0</v>
      </c>
      <c r="I46" s="131">
        <v>0</v>
      </c>
      <c r="J46" s="140">
        <v>108000</v>
      </c>
      <c r="K46" s="140">
        <v>0</v>
      </c>
      <c r="L46" s="140">
        <v>108000</v>
      </c>
    </row>
    <row r="47" spans="1:12" x14ac:dyDescent="0.25">
      <c r="A47" s="214" t="s">
        <v>134</v>
      </c>
      <c r="B47" s="100" t="s">
        <v>1028</v>
      </c>
      <c r="C47" s="140">
        <v>0</v>
      </c>
      <c r="D47" s="140">
        <v>0</v>
      </c>
      <c r="E47" s="131">
        <v>0</v>
      </c>
      <c r="F47" s="140">
        <v>176000</v>
      </c>
      <c r="G47" s="131">
        <v>0</v>
      </c>
      <c r="H47" s="131">
        <v>0</v>
      </c>
      <c r="I47" s="131">
        <v>0</v>
      </c>
      <c r="J47" s="140">
        <v>176000</v>
      </c>
      <c r="K47" s="140">
        <v>0</v>
      </c>
      <c r="L47" s="140">
        <v>176000</v>
      </c>
    </row>
    <row r="48" spans="1:12" x14ac:dyDescent="0.25">
      <c r="A48" s="214" t="s">
        <v>336</v>
      </c>
      <c r="B48" s="100" t="s">
        <v>602</v>
      </c>
      <c r="C48" s="140">
        <v>0</v>
      </c>
      <c r="D48" s="140">
        <v>112311.83</v>
      </c>
      <c r="E48" s="131">
        <v>0</v>
      </c>
      <c r="F48" s="131">
        <v>0</v>
      </c>
      <c r="G48" s="140">
        <v>144469.72</v>
      </c>
      <c r="H48" s="140">
        <v>32157.89</v>
      </c>
      <c r="I48" s="140">
        <v>144469.72</v>
      </c>
      <c r="J48" s="140">
        <v>32157.89</v>
      </c>
      <c r="K48" s="140">
        <v>0</v>
      </c>
      <c r="L48" s="140">
        <v>0</v>
      </c>
    </row>
    <row r="49" spans="1:12" x14ac:dyDescent="0.25">
      <c r="A49" s="214" t="s">
        <v>427</v>
      </c>
      <c r="B49" s="100" t="s">
        <v>322</v>
      </c>
      <c r="C49" s="140">
        <v>0</v>
      </c>
      <c r="D49" s="140">
        <v>6639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40">
        <v>0</v>
      </c>
      <c r="L49" s="140">
        <v>6639</v>
      </c>
    </row>
    <row r="50" spans="1:12" x14ac:dyDescent="0.25">
      <c r="A50" s="214" t="s">
        <v>1122</v>
      </c>
      <c r="B50" s="100" t="s">
        <v>1078</v>
      </c>
      <c r="C50" s="140">
        <v>0</v>
      </c>
      <c r="D50" s="140">
        <v>1991636</v>
      </c>
      <c r="E50" s="131">
        <v>0</v>
      </c>
      <c r="F50" s="131">
        <v>0</v>
      </c>
      <c r="G50" s="131">
        <v>0</v>
      </c>
      <c r="H50" s="131">
        <v>0</v>
      </c>
      <c r="I50" s="131">
        <v>0</v>
      </c>
      <c r="J50" s="131">
        <v>0</v>
      </c>
      <c r="K50" s="140">
        <v>0</v>
      </c>
      <c r="L50" s="140">
        <v>1991636</v>
      </c>
    </row>
    <row r="51" spans="1:12" x14ac:dyDescent="0.25">
      <c r="A51" s="214" t="s">
        <v>521</v>
      </c>
      <c r="B51" s="100" t="s">
        <v>341</v>
      </c>
      <c r="C51" s="140">
        <v>0</v>
      </c>
      <c r="D51" s="140">
        <v>18643.16</v>
      </c>
      <c r="E51" s="131">
        <v>0</v>
      </c>
      <c r="F51" s="131">
        <v>0</v>
      </c>
      <c r="G51" s="131">
        <v>0</v>
      </c>
      <c r="H51" s="140">
        <v>1327.76</v>
      </c>
      <c r="I51" s="131">
        <v>0</v>
      </c>
      <c r="J51" s="140">
        <v>1327.76</v>
      </c>
      <c r="K51" s="140">
        <v>0</v>
      </c>
      <c r="L51" s="140">
        <v>19970.919999999998</v>
      </c>
    </row>
    <row r="52" spans="1:12" x14ac:dyDescent="0.25">
      <c r="A52" s="214" t="s">
        <v>642</v>
      </c>
      <c r="B52" s="100" t="s">
        <v>980</v>
      </c>
      <c r="C52" s="140">
        <v>0</v>
      </c>
      <c r="D52" s="140">
        <v>1327.76</v>
      </c>
      <c r="E52" s="131">
        <v>0</v>
      </c>
      <c r="F52" s="131">
        <v>0</v>
      </c>
      <c r="G52" s="131">
        <v>0</v>
      </c>
      <c r="H52" s="140">
        <v>-1327.76</v>
      </c>
      <c r="I52" s="131">
        <v>0</v>
      </c>
      <c r="J52" s="140">
        <v>-1327.76</v>
      </c>
      <c r="K52" s="140">
        <v>0</v>
      </c>
      <c r="L52" s="140">
        <v>0</v>
      </c>
    </row>
    <row r="53" spans="1:12" x14ac:dyDescent="0.25">
      <c r="A53" s="214" t="s">
        <v>561</v>
      </c>
      <c r="B53" s="100" t="s">
        <v>618</v>
      </c>
      <c r="C53" s="140">
        <v>0</v>
      </c>
      <c r="D53" s="140">
        <v>187930.7</v>
      </c>
      <c r="E53" s="140">
        <v>187930.7</v>
      </c>
      <c r="F53" s="131">
        <v>0</v>
      </c>
      <c r="G53" s="131">
        <v>0</v>
      </c>
      <c r="H53" s="131">
        <v>0</v>
      </c>
      <c r="I53" s="140">
        <v>187930.7</v>
      </c>
      <c r="J53" s="131">
        <v>0</v>
      </c>
      <c r="K53" s="140">
        <v>0</v>
      </c>
      <c r="L53" s="140">
        <v>0</v>
      </c>
    </row>
    <row r="54" spans="1:12" x14ac:dyDescent="0.25">
      <c r="A54" s="214" t="s">
        <v>1022</v>
      </c>
      <c r="B54" s="100" t="s">
        <v>780</v>
      </c>
      <c r="C54" s="140">
        <v>0</v>
      </c>
      <c r="D54" s="140">
        <v>38274.01</v>
      </c>
      <c r="E54" s="140">
        <v>38274.01</v>
      </c>
      <c r="F54" s="131">
        <v>0</v>
      </c>
      <c r="G54" s="131">
        <v>0</v>
      </c>
      <c r="H54" s="131">
        <v>0</v>
      </c>
      <c r="I54" s="140">
        <v>38274.01</v>
      </c>
      <c r="J54" s="131">
        <v>0</v>
      </c>
      <c r="K54" s="140">
        <v>0</v>
      </c>
      <c r="L54" s="140">
        <v>0</v>
      </c>
    </row>
    <row r="55" spans="1:12" x14ac:dyDescent="0.25">
      <c r="A55" s="214" t="s">
        <v>1119</v>
      </c>
      <c r="B55" s="100" t="s">
        <v>654</v>
      </c>
      <c r="C55" s="140">
        <v>0</v>
      </c>
      <c r="D55" s="140">
        <v>4517.53</v>
      </c>
      <c r="E55" s="140">
        <v>4517.53</v>
      </c>
      <c r="F55" s="131">
        <v>0</v>
      </c>
      <c r="G55" s="131">
        <v>0</v>
      </c>
      <c r="H55" s="131">
        <v>0</v>
      </c>
      <c r="I55" s="140">
        <v>4517.53</v>
      </c>
      <c r="J55" s="131">
        <v>0</v>
      </c>
      <c r="K55" s="140">
        <v>0</v>
      </c>
      <c r="L55" s="140">
        <v>0</v>
      </c>
    </row>
    <row r="56" spans="1:12" x14ac:dyDescent="0.25">
      <c r="A56" s="214" t="s">
        <v>219</v>
      </c>
      <c r="B56" s="100" t="s">
        <v>42</v>
      </c>
      <c r="C56" s="140">
        <v>0</v>
      </c>
      <c r="D56" s="140">
        <v>80230.48</v>
      </c>
      <c r="E56" s="140">
        <v>80230.48</v>
      </c>
      <c r="F56" s="131">
        <v>0</v>
      </c>
      <c r="G56" s="131">
        <v>0</v>
      </c>
      <c r="H56" s="131">
        <v>0</v>
      </c>
      <c r="I56" s="140">
        <v>80230.48</v>
      </c>
      <c r="J56" s="131">
        <v>0</v>
      </c>
      <c r="K56" s="140">
        <v>0</v>
      </c>
      <c r="L56" s="140">
        <v>0</v>
      </c>
    </row>
    <row r="57" spans="1:12" x14ac:dyDescent="0.25">
      <c r="A57" s="214" t="s">
        <v>406</v>
      </c>
      <c r="B57" s="100" t="s">
        <v>1112</v>
      </c>
      <c r="C57" s="140">
        <v>0</v>
      </c>
      <c r="D57" s="140">
        <v>1385175.77</v>
      </c>
      <c r="E57" s="140">
        <v>916520</v>
      </c>
      <c r="F57" s="131">
        <v>0</v>
      </c>
      <c r="G57" s="131">
        <v>0</v>
      </c>
      <c r="H57" s="131">
        <v>0</v>
      </c>
      <c r="I57" s="140">
        <v>916520</v>
      </c>
      <c r="J57" s="131">
        <v>0</v>
      </c>
      <c r="K57" s="140">
        <v>0</v>
      </c>
      <c r="L57" s="140">
        <v>468655.77</v>
      </c>
    </row>
    <row r="58" spans="1:12" x14ac:dyDescent="0.25">
      <c r="A58" s="214" t="s">
        <v>14</v>
      </c>
      <c r="B58" s="100" t="s">
        <v>80</v>
      </c>
      <c r="C58" s="140">
        <v>527968.84</v>
      </c>
      <c r="D58" s="140">
        <v>0</v>
      </c>
      <c r="E58" s="131">
        <v>0</v>
      </c>
      <c r="F58" s="140">
        <v>527968.84</v>
      </c>
      <c r="G58" s="131">
        <v>0</v>
      </c>
      <c r="H58" s="131">
        <v>0</v>
      </c>
      <c r="I58" s="131">
        <v>0</v>
      </c>
      <c r="J58" s="140">
        <v>527968.84</v>
      </c>
      <c r="K58" s="140">
        <v>0</v>
      </c>
      <c r="L58" s="140">
        <v>0</v>
      </c>
    </row>
    <row r="59" spans="1:12" x14ac:dyDescent="0.25">
      <c r="A59" s="214" t="s">
        <v>132</v>
      </c>
      <c r="B59" s="100" t="s">
        <v>80</v>
      </c>
      <c r="C59" s="140">
        <v>117132.94</v>
      </c>
      <c r="D59" s="140">
        <v>0</v>
      </c>
      <c r="E59" s="131">
        <v>0</v>
      </c>
      <c r="F59" s="140">
        <v>117132.94</v>
      </c>
      <c r="G59" s="131">
        <v>0</v>
      </c>
      <c r="H59" s="131">
        <v>0</v>
      </c>
      <c r="I59" s="131">
        <v>0</v>
      </c>
      <c r="J59" s="140">
        <v>117132.94</v>
      </c>
      <c r="K59" s="140">
        <v>0</v>
      </c>
      <c r="L59" s="140">
        <v>0</v>
      </c>
    </row>
    <row r="60" spans="1:12" x14ac:dyDescent="0.25">
      <c r="A60" s="214" t="s">
        <v>704</v>
      </c>
      <c r="B60" s="100" t="s">
        <v>80</v>
      </c>
      <c r="C60" s="140">
        <v>182215.57</v>
      </c>
      <c r="D60" s="140">
        <v>0</v>
      </c>
      <c r="E60" s="131">
        <v>0</v>
      </c>
      <c r="F60" s="140">
        <v>182215.57</v>
      </c>
      <c r="G60" s="131">
        <v>0</v>
      </c>
      <c r="H60" s="131">
        <v>0</v>
      </c>
      <c r="I60" s="131">
        <v>0</v>
      </c>
      <c r="J60" s="140">
        <v>182215.57</v>
      </c>
      <c r="K60" s="140">
        <v>0</v>
      </c>
      <c r="L60" s="140">
        <v>0</v>
      </c>
    </row>
    <row r="61" spans="1:12" x14ac:dyDescent="0.25">
      <c r="A61" s="214" t="s">
        <v>590</v>
      </c>
      <c r="B61" s="100" t="s">
        <v>135</v>
      </c>
      <c r="C61" s="140">
        <v>0</v>
      </c>
      <c r="D61" s="140">
        <v>0</v>
      </c>
      <c r="E61" s="140">
        <v>58637.84</v>
      </c>
      <c r="F61" s="140">
        <v>58637.84</v>
      </c>
      <c r="G61" s="131">
        <v>0</v>
      </c>
      <c r="H61" s="131">
        <v>0</v>
      </c>
      <c r="I61" s="140">
        <v>58637.84</v>
      </c>
      <c r="J61" s="140">
        <v>58637.84</v>
      </c>
      <c r="K61" s="140">
        <v>0</v>
      </c>
      <c r="L61" s="140">
        <v>0</v>
      </c>
    </row>
    <row r="62" spans="1:12" x14ac:dyDescent="0.25">
      <c r="A62" s="214" t="s">
        <v>582</v>
      </c>
      <c r="B62" s="100" t="s">
        <v>478</v>
      </c>
      <c r="C62" s="140">
        <v>58637.84</v>
      </c>
      <c r="D62" s="140">
        <v>0</v>
      </c>
      <c r="E62" s="131">
        <v>0</v>
      </c>
      <c r="F62" s="140">
        <v>58637.84</v>
      </c>
      <c r="G62" s="131">
        <v>0</v>
      </c>
      <c r="H62" s="131">
        <v>0</v>
      </c>
      <c r="I62" s="131">
        <v>0</v>
      </c>
      <c r="J62" s="140">
        <v>58637.84</v>
      </c>
      <c r="K62" s="140">
        <v>0</v>
      </c>
      <c r="L62" s="140">
        <v>0</v>
      </c>
    </row>
    <row r="63" spans="1:12" x14ac:dyDescent="0.25">
      <c r="A63" s="214" t="s">
        <v>209</v>
      </c>
      <c r="B63" s="100" t="s">
        <v>922</v>
      </c>
      <c r="C63" s="140">
        <v>0</v>
      </c>
      <c r="D63" s="140">
        <v>290.55</v>
      </c>
      <c r="E63" s="131">
        <v>0</v>
      </c>
      <c r="F63" s="140">
        <v>4517.53</v>
      </c>
      <c r="G63" s="131">
        <v>0</v>
      </c>
      <c r="H63" s="131">
        <v>0</v>
      </c>
      <c r="I63" s="131">
        <v>0</v>
      </c>
      <c r="J63" s="140">
        <v>4517.53</v>
      </c>
      <c r="K63" s="140">
        <v>0</v>
      </c>
      <c r="L63" s="140">
        <v>4808.08</v>
      </c>
    </row>
    <row r="64" spans="1:12" x14ac:dyDescent="0.25">
      <c r="A64" s="214" t="s">
        <v>1058</v>
      </c>
      <c r="B64" s="100" t="s">
        <v>778</v>
      </c>
      <c r="C64" s="140">
        <v>0</v>
      </c>
      <c r="D64" s="140">
        <v>0</v>
      </c>
      <c r="E64" s="131">
        <v>0</v>
      </c>
      <c r="F64" s="140">
        <v>176000</v>
      </c>
      <c r="G64" s="131">
        <v>0</v>
      </c>
      <c r="H64" s="131">
        <v>0</v>
      </c>
      <c r="I64" s="131">
        <v>0</v>
      </c>
      <c r="J64" s="140">
        <v>176000</v>
      </c>
      <c r="K64" s="140">
        <v>0</v>
      </c>
      <c r="L64" s="140">
        <v>176000</v>
      </c>
    </row>
    <row r="65" spans="1:12" x14ac:dyDescent="0.25">
      <c r="A65" s="214" t="s">
        <v>176</v>
      </c>
      <c r="B65" s="100" t="s">
        <v>517</v>
      </c>
      <c r="C65" s="140">
        <v>0</v>
      </c>
      <c r="D65" s="140">
        <v>0</v>
      </c>
      <c r="E65" s="140">
        <v>20080.96</v>
      </c>
      <c r="F65" s="140">
        <v>9642.9</v>
      </c>
      <c r="G65" s="140">
        <v>27780.6</v>
      </c>
      <c r="H65" s="140">
        <v>15114.75</v>
      </c>
      <c r="I65" s="140">
        <v>47861.56</v>
      </c>
      <c r="J65" s="140">
        <v>24757.65</v>
      </c>
      <c r="K65" s="140">
        <v>23103.91</v>
      </c>
      <c r="L65" s="140">
        <v>0</v>
      </c>
    </row>
    <row r="66" spans="1:12" x14ac:dyDescent="0.25">
      <c r="A66" s="214" t="s">
        <v>735</v>
      </c>
      <c r="B66" s="100" t="s">
        <v>1110</v>
      </c>
      <c r="C66" s="140">
        <v>0</v>
      </c>
      <c r="D66" s="140">
        <v>0</v>
      </c>
      <c r="E66" s="140">
        <v>18449.73</v>
      </c>
      <c r="F66" s="140">
        <v>8552.83</v>
      </c>
      <c r="G66" s="131">
        <v>0</v>
      </c>
      <c r="H66" s="131">
        <v>0</v>
      </c>
      <c r="I66" s="140">
        <v>18449.73</v>
      </c>
      <c r="J66" s="140">
        <v>8552.83</v>
      </c>
      <c r="K66" s="140">
        <v>9896.9</v>
      </c>
      <c r="L66" s="140">
        <v>0</v>
      </c>
    </row>
    <row r="67" spans="1:12" x14ac:dyDescent="0.25">
      <c r="A67" s="214" t="s">
        <v>314</v>
      </c>
      <c r="B67" s="100" t="s">
        <v>747</v>
      </c>
      <c r="C67" s="140">
        <v>0</v>
      </c>
      <c r="D67" s="140">
        <v>0</v>
      </c>
      <c r="E67" s="131">
        <v>0</v>
      </c>
      <c r="F67" s="131">
        <v>0</v>
      </c>
      <c r="G67" s="140">
        <v>54723.59</v>
      </c>
      <c r="H67" s="131">
        <v>0</v>
      </c>
      <c r="I67" s="140">
        <v>54723.59</v>
      </c>
      <c r="J67" s="131">
        <v>0</v>
      </c>
      <c r="K67" s="140">
        <v>54723.59</v>
      </c>
      <c r="L67" s="140">
        <v>0</v>
      </c>
    </row>
    <row r="68" spans="1:12" x14ac:dyDescent="0.25">
      <c r="A68" s="214" t="s">
        <v>631</v>
      </c>
      <c r="B68" s="100" t="s">
        <v>633</v>
      </c>
      <c r="C68" s="140">
        <v>0</v>
      </c>
      <c r="D68" s="140">
        <v>0</v>
      </c>
      <c r="E68" s="140">
        <v>14986.46</v>
      </c>
      <c r="F68" s="131">
        <v>0</v>
      </c>
      <c r="G68" s="131">
        <v>0</v>
      </c>
      <c r="H68" s="131">
        <v>0</v>
      </c>
      <c r="I68" s="140">
        <v>14986.46</v>
      </c>
      <c r="J68" s="131">
        <v>0</v>
      </c>
      <c r="K68" s="140">
        <v>14986.46</v>
      </c>
      <c r="L68" s="140">
        <v>0</v>
      </c>
    </row>
    <row r="69" spans="1:12" x14ac:dyDescent="0.25">
      <c r="A69" s="214" t="s">
        <v>115</v>
      </c>
      <c r="B69" s="100" t="s">
        <v>26</v>
      </c>
      <c r="C69" s="140">
        <v>0</v>
      </c>
      <c r="D69" s="140">
        <v>0</v>
      </c>
      <c r="E69" s="140">
        <v>7231.76</v>
      </c>
      <c r="F69" s="131">
        <v>0</v>
      </c>
      <c r="G69" s="131">
        <v>0</v>
      </c>
      <c r="H69" s="131">
        <v>0</v>
      </c>
      <c r="I69" s="140">
        <v>7231.76</v>
      </c>
      <c r="J69" s="131">
        <v>0</v>
      </c>
      <c r="K69" s="140">
        <v>7231.76</v>
      </c>
      <c r="L69" s="140">
        <v>0</v>
      </c>
    </row>
    <row r="70" spans="1:12" x14ac:dyDescent="0.25">
      <c r="A70" s="214" t="s">
        <v>858</v>
      </c>
      <c r="B70" s="100" t="s">
        <v>784</v>
      </c>
      <c r="C70" s="140">
        <v>0</v>
      </c>
      <c r="D70" s="140">
        <v>0</v>
      </c>
      <c r="E70" s="140">
        <v>4625.84</v>
      </c>
      <c r="F70" s="131">
        <v>0</v>
      </c>
      <c r="G70" s="140">
        <v>27.4</v>
      </c>
      <c r="H70" s="131">
        <v>0</v>
      </c>
      <c r="I70" s="140">
        <v>4653.24</v>
      </c>
      <c r="J70" s="131">
        <v>0</v>
      </c>
      <c r="K70" s="140">
        <v>4653.24</v>
      </c>
      <c r="L70" s="140">
        <v>0</v>
      </c>
    </row>
    <row r="71" spans="1:12" x14ac:dyDescent="0.25">
      <c r="A71" s="214" t="s">
        <v>693</v>
      </c>
      <c r="B71" s="100" t="s">
        <v>659</v>
      </c>
      <c r="C71" s="131">
        <v>0</v>
      </c>
      <c r="D71" s="131">
        <v>0</v>
      </c>
      <c r="E71" s="131">
        <v>0</v>
      </c>
      <c r="F71" s="131">
        <v>0</v>
      </c>
      <c r="G71" s="140">
        <v>28900.33</v>
      </c>
      <c r="H71" s="131">
        <v>0</v>
      </c>
      <c r="I71" s="140">
        <v>28900.33</v>
      </c>
      <c r="J71" s="131">
        <v>0</v>
      </c>
      <c r="K71" s="140">
        <v>28900.33</v>
      </c>
      <c r="L71" s="140">
        <v>0</v>
      </c>
    </row>
    <row r="72" spans="1:12" x14ac:dyDescent="0.25">
      <c r="A72" s="214" t="s">
        <v>636</v>
      </c>
      <c r="B72" s="100" t="s">
        <v>556</v>
      </c>
      <c r="C72" s="140">
        <v>0</v>
      </c>
      <c r="D72" s="140">
        <v>0</v>
      </c>
      <c r="E72" s="140">
        <v>39325</v>
      </c>
      <c r="F72" s="131">
        <v>0</v>
      </c>
      <c r="G72" s="140">
        <v>3575</v>
      </c>
      <c r="H72" s="131">
        <v>0</v>
      </c>
      <c r="I72" s="140">
        <v>42900</v>
      </c>
      <c r="J72" s="131">
        <v>0</v>
      </c>
      <c r="K72" s="140">
        <v>42900</v>
      </c>
      <c r="L72" s="140">
        <v>0</v>
      </c>
    </row>
    <row r="73" spans="1:12" x14ac:dyDescent="0.25">
      <c r="A73" s="214" t="s">
        <v>326</v>
      </c>
      <c r="B73" s="100" t="s">
        <v>685</v>
      </c>
      <c r="C73" s="131">
        <v>0</v>
      </c>
      <c r="D73" s="131">
        <v>0</v>
      </c>
      <c r="E73" s="131">
        <v>0</v>
      </c>
      <c r="F73" s="131">
        <v>0</v>
      </c>
      <c r="G73" s="140">
        <v>32157.89</v>
      </c>
      <c r="H73" s="131">
        <v>0</v>
      </c>
      <c r="I73" s="140">
        <v>32157.89</v>
      </c>
      <c r="J73" s="131">
        <v>0</v>
      </c>
      <c r="K73" s="140">
        <v>32157.89</v>
      </c>
      <c r="L73" s="140">
        <v>0</v>
      </c>
    </row>
    <row r="74" spans="1:12" x14ac:dyDescent="0.25">
      <c r="A74" s="214" t="s">
        <v>220</v>
      </c>
      <c r="B74" s="100" t="s">
        <v>7</v>
      </c>
      <c r="C74" s="140">
        <v>0</v>
      </c>
      <c r="D74" s="140">
        <v>0</v>
      </c>
      <c r="E74" s="140">
        <v>123</v>
      </c>
      <c r="F74" s="131">
        <v>0</v>
      </c>
      <c r="G74" s="140">
        <v>17</v>
      </c>
      <c r="H74" s="131">
        <v>0</v>
      </c>
      <c r="I74" s="140">
        <v>140</v>
      </c>
      <c r="J74" s="131">
        <v>0</v>
      </c>
      <c r="K74" s="140">
        <v>140</v>
      </c>
      <c r="L74" s="140">
        <v>0</v>
      </c>
    </row>
    <row r="75" spans="1:12" x14ac:dyDescent="0.25">
      <c r="A75" s="214" t="s">
        <v>694</v>
      </c>
      <c r="B75" s="100" t="s">
        <v>898</v>
      </c>
      <c r="C75" s="131">
        <v>0</v>
      </c>
      <c r="D75" s="131">
        <v>0</v>
      </c>
      <c r="E75" s="131">
        <v>0</v>
      </c>
      <c r="F75" s="131">
        <v>0</v>
      </c>
      <c r="G75" s="140">
        <v>960</v>
      </c>
      <c r="H75" s="131">
        <v>0</v>
      </c>
      <c r="I75" s="140">
        <v>960</v>
      </c>
      <c r="J75" s="131">
        <v>0</v>
      </c>
      <c r="K75" s="140">
        <v>960</v>
      </c>
      <c r="L75" s="140">
        <v>0</v>
      </c>
    </row>
    <row r="76" spans="1:12" x14ac:dyDescent="0.25">
      <c r="A76" s="214" t="s">
        <v>570</v>
      </c>
      <c r="B76" s="100" t="s">
        <v>588</v>
      </c>
      <c r="C76" s="140">
        <v>0</v>
      </c>
      <c r="D76" s="140">
        <v>0</v>
      </c>
      <c r="E76" s="131">
        <v>0</v>
      </c>
      <c r="F76" s="140">
        <v>20000</v>
      </c>
      <c r="G76" s="131">
        <v>0</v>
      </c>
      <c r="H76" s="131">
        <v>0</v>
      </c>
      <c r="I76" s="131">
        <v>0</v>
      </c>
      <c r="J76" s="140">
        <v>20000</v>
      </c>
      <c r="K76" s="140">
        <v>0</v>
      </c>
      <c r="L76" s="140">
        <v>20000</v>
      </c>
    </row>
    <row r="77" spans="1:12" x14ac:dyDescent="0.25">
      <c r="A77" s="214" t="s">
        <v>878</v>
      </c>
      <c r="B77" s="100" t="s">
        <v>905</v>
      </c>
      <c r="C77" s="140">
        <v>0</v>
      </c>
      <c r="D77" s="140">
        <v>0</v>
      </c>
      <c r="E77" s="131">
        <v>0</v>
      </c>
      <c r="F77" s="140">
        <v>108000</v>
      </c>
      <c r="G77" s="131">
        <v>0</v>
      </c>
      <c r="H77" s="131">
        <v>0</v>
      </c>
      <c r="I77" s="131">
        <v>0</v>
      </c>
      <c r="J77" s="140">
        <v>108000</v>
      </c>
      <c r="K77" s="140">
        <v>0</v>
      </c>
      <c r="L77" s="140">
        <v>108000</v>
      </c>
    </row>
    <row r="78" spans="1:12" x14ac:dyDescent="0.25">
      <c r="A78" s="214" t="s">
        <v>449</v>
      </c>
      <c r="B78" s="100" t="s">
        <v>655</v>
      </c>
      <c r="C78" s="140">
        <v>0</v>
      </c>
      <c r="D78" s="140">
        <v>0</v>
      </c>
      <c r="E78" s="131">
        <v>0</v>
      </c>
      <c r="F78" s="140">
        <v>15000</v>
      </c>
      <c r="G78" s="131">
        <v>0</v>
      </c>
      <c r="H78" s="140">
        <v>15000</v>
      </c>
      <c r="I78" s="131">
        <v>0</v>
      </c>
      <c r="J78" s="140">
        <v>30000</v>
      </c>
      <c r="K78" s="140">
        <v>0</v>
      </c>
      <c r="L78" s="140">
        <v>30000</v>
      </c>
    </row>
    <row r="79" spans="1:12" x14ac:dyDescent="0.25">
      <c r="A79" s="214" t="s">
        <v>688</v>
      </c>
      <c r="B79" s="100" t="s">
        <v>557</v>
      </c>
      <c r="C79" s="140">
        <v>0</v>
      </c>
      <c r="D79" s="140">
        <v>0</v>
      </c>
      <c r="E79" s="131">
        <v>0</v>
      </c>
      <c r="F79" s="131">
        <v>0</v>
      </c>
      <c r="G79" s="131">
        <v>0</v>
      </c>
      <c r="H79" s="140">
        <v>7184.81</v>
      </c>
      <c r="I79" s="131">
        <v>0</v>
      </c>
      <c r="J79" s="140">
        <v>7184.81</v>
      </c>
      <c r="K79" s="140">
        <v>0</v>
      </c>
      <c r="L79" s="140">
        <v>7184.81</v>
      </c>
    </row>
    <row r="80" spans="1:12" x14ac:dyDescent="0.25">
      <c r="A80" s="214" t="s">
        <v>285</v>
      </c>
      <c r="B80" s="100" t="s">
        <v>667</v>
      </c>
      <c r="C80" s="140">
        <v>0</v>
      </c>
      <c r="D80" s="140">
        <v>0</v>
      </c>
      <c r="E80" s="131">
        <v>0</v>
      </c>
      <c r="F80" s="131">
        <v>0</v>
      </c>
      <c r="G80" s="131">
        <v>0</v>
      </c>
      <c r="H80" s="131">
        <v>0</v>
      </c>
      <c r="I80" s="140">
        <v>5669578.1200000001</v>
      </c>
      <c r="J80" s="140">
        <v>5669578.1200000001</v>
      </c>
      <c r="K80" s="140">
        <v>0</v>
      </c>
      <c r="L80" s="140">
        <v>0</v>
      </c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339</v>
      </c>
      <c r="B1" s="11" t="s">
        <v>1073</v>
      </c>
      <c r="C1" s="152" t="s">
        <v>686</v>
      </c>
      <c r="D1" s="152" t="s">
        <v>853</v>
      </c>
      <c r="E1" s="152" t="s">
        <v>369</v>
      </c>
      <c r="F1" s="152" t="s">
        <v>651</v>
      </c>
      <c r="G1" s="152" t="s">
        <v>327</v>
      </c>
      <c r="H1" s="152" t="s">
        <v>586</v>
      </c>
      <c r="I1" s="152" t="s">
        <v>609</v>
      </c>
      <c r="J1" s="152" t="s">
        <v>587</v>
      </c>
      <c r="K1" s="152" t="s">
        <v>888</v>
      </c>
      <c r="L1" s="152" t="s">
        <v>174</v>
      </c>
    </row>
    <row r="2" spans="1:12" x14ac:dyDescent="0.25">
      <c r="A2" s="214" t="s">
        <v>12</v>
      </c>
      <c r="B2" s="100" t="s">
        <v>430</v>
      </c>
      <c r="C2" s="140">
        <v>2611209.4700000002</v>
      </c>
      <c r="D2" s="140">
        <v>0</v>
      </c>
      <c r="E2" s="140">
        <v>0</v>
      </c>
      <c r="F2" s="140">
        <v>0</v>
      </c>
      <c r="G2" s="140">
        <v>0</v>
      </c>
      <c r="H2" s="140">
        <v>0</v>
      </c>
      <c r="I2" s="140">
        <v>0</v>
      </c>
      <c r="J2" s="140">
        <v>0</v>
      </c>
      <c r="K2" s="140">
        <v>2611209.4700000002</v>
      </c>
      <c r="L2" s="140">
        <v>0</v>
      </c>
    </row>
    <row r="3" spans="1:12" x14ac:dyDescent="0.25">
      <c r="A3" s="214" t="s">
        <v>834</v>
      </c>
      <c r="B3" s="100" t="s">
        <v>815</v>
      </c>
      <c r="C3" s="140">
        <v>447798.19</v>
      </c>
      <c r="D3" s="140">
        <v>0</v>
      </c>
      <c r="E3" s="140">
        <v>0</v>
      </c>
      <c r="F3" s="140">
        <v>0</v>
      </c>
      <c r="G3" s="140">
        <v>0</v>
      </c>
      <c r="H3" s="140">
        <v>10521.29</v>
      </c>
      <c r="I3" s="140">
        <v>0</v>
      </c>
      <c r="J3" s="140">
        <v>10521.29</v>
      </c>
      <c r="K3" s="140">
        <v>437276.9</v>
      </c>
      <c r="L3" s="140">
        <v>0</v>
      </c>
    </row>
    <row r="4" spans="1:12" x14ac:dyDescent="0.25">
      <c r="A4" s="214" t="s">
        <v>996</v>
      </c>
      <c r="B4" s="100" t="s">
        <v>907</v>
      </c>
      <c r="C4" s="140">
        <v>203519.17</v>
      </c>
      <c r="D4" s="140">
        <v>0</v>
      </c>
      <c r="E4" s="140">
        <v>0</v>
      </c>
      <c r="F4" s="140">
        <v>0</v>
      </c>
      <c r="G4" s="140">
        <v>0</v>
      </c>
      <c r="H4" s="140">
        <v>0</v>
      </c>
      <c r="I4" s="140">
        <v>0</v>
      </c>
      <c r="J4" s="140">
        <v>0</v>
      </c>
      <c r="K4" s="140">
        <v>203519.17</v>
      </c>
      <c r="L4" s="140">
        <v>0</v>
      </c>
    </row>
    <row r="5" spans="1:12" x14ac:dyDescent="0.25">
      <c r="A5" s="214" t="s">
        <v>330</v>
      </c>
      <c r="B5" s="100" t="s">
        <v>175</v>
      </c>
      <c r="C5" s="140">
        <v>7520.08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7520.08</v>
      </c>
      <c r="L5" s="140">
        <v>0</v>
      </c>
    </row>
    <row r="6" spans="1:12" x14ac:dyDescent="0.25">
      <c r="A6" s="214" t="s">
        <v>547</v>
      </c>
      <c r="B6" s="100" t="s">
        <v>876</v>
      </c>
      <c r="C6" s="140">
        <v>139896.04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139896.04</v>
      </c>
      <c r="L6" s="140">
        <v>0</v>
      </c>
    </row>
    <row r="7" spans="1:12" x14ac:dyDescent="0.25">
      <c r="A7" s="214" t="s">
        <v>906</v>
      </c>
      <c r="B7" s="100" t="s">
        <v>710</v>
      </c>
      <c r="C7" s="140">
        <v>234635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234635</v>
      </c>
      <c r="L7" s="140">
        <v>0</v>
      </c>
    </row>
    <row r="8" spans="1:12" x14ac:dyDescent="0.25">
      <c r="A8" s="214" t="s">
        <v>689</v>
      </c>
      <c r="B8" s="100" t="s">
        <v>90</v>
      </c>
      <c r="C8" s="140">
        <v>0</v>
      </c>
      <c r="D8" s="140">
        <v>1373596.31</v>
      </c>
      <c r="E8" s="140">
        <v>0</v>
      </c>
      <c r="F8" s="140">
        <v>39325</v>
      </c>
      <c r="G8" s="140">
        <v>0</v>
      </c>
      <c r="H8" s="140">
        <v>3896.33</v>
      </c>
      <c r="I8" s="140">
        <v>0</v>
      </c>
      <c r="J8" s="140">
        <v>43221.33</v>
      </c>
      <c r="K8" s="140">
        <v>0</v>
      </c>
      <c r="L8" s="140">
        <v>1416817.64</v>
      </c>
    </row>
    <row r="9" spans="1:12" x14ac:dyDescent="0.25">
      <c r="A9" s="214" t="s">
        <v>1039</v>
      </c>
      <c r="B9" s="100" t="s">
        <v>729</v>
      </c>
      <c r="C9" s="140">
        <v>0</v>
      </c>
      <c r="D9" s="140">
        <v>447798.18</v>
      </c>
      <c r="E9" s="140">
        <v>0</v>
      </c>
      <c r="F9" s="140">
        <v>0</v>
      </c>
      <c r="G9" s="140">
        <v>10521.29</v>
      </c>
      <c r="H9" s="140">
        <v>0</v>
      </c>
      <c r="I9" s="140">
        <v>10521.29</v>
      </c>
      <c r="J9" s="140">
        <v>0</v>
      </c>
      <c r="K9" s="140">
        <v>0</v>
      </c>
      <c r="L9" s="140">
        <v>437276.89</v>
      </c>
    </row>
    <row r="10" spans="1:12" x14ac:dyDescent="0.25">
      <c r="A10" s="214" t="s">
        <v>603</v>
      </c>
      <c r="B10" s="100" t="s">
        <v>1062</v>
      </c>
      <c r="C10" s="131">
        <v>0</v>
      </c>
      <c r="D10" s="131">
        <v>0</v>
      </c>
      <c r="E10" s="131">
        <v>0</v>
      </c>
      <c r="F10" s="131">
        <v>0</v>
      </c>
      <c r="G10" s="131">
        <v>0</v>
      </c>
      <c r="H10" s="140">
        <v>0</v>
      </c>
      <c r="I10" s="131">
        <v>0</v>
      </c>
      <c r="J10" s="140">
        <v>0</v>
      </c>
      <c r="K10" s="140">
        <v>0</v>
      </c>
      <c r="L10" s="140">
        <v>0</v>
      </c>
    </row>
    <row r="11" spans="1:12" x14ac:dyDescent="0.25">
      <c r="A11" s="214" t="s">
        <v>136</v>
      </c>
      <c r="B11" s="100" t="s">
        <v>202</v>
      </c>
      <c r="C11" s="140">
        <v>27598.799999999999</v>
      </c>
      <c r="D11" s="140">
        <v>0</v>
      </c>
      <c r="E11" s="140">
        <v>0</v>
      </c>
      <c r="F11" s="140">
        <v>0</v>
      </c>
      <c r="G11" s="140">
        <v>0</v>
      </c>
      <c r="H11" s="140">
        <v>27500</v>
      </c>
      <c r="I11" s="140">
        <v>0</v>
      </c>
      <c r="J11" s="140">
        <v>27500</v>
      </c>
      <c r="K11" s="140">
        <v>98.8</v>
      </c>
      <c r="L11" s="140">
        <v>0</v>
      </c>
    </row>
    <row r="12" spans="1:12" x14ac:dyDescent="0.25">
      <c r="A12" s="214" t="s">
        <v>569</v>
      </c>
      <c r="B12" s="100" t="s">
        <v>550</v>
      </c>
      <c r="C12" s="140">
        <v>134824.34</v>
      </c>
      <c r="D12" s="140">
        <v>0</v>
      </c>
      <c r="E12" s="140">
        <v>416000</v>
      </c>
      <c r="F12" s="140">
        <v>498681.73</v>
      </c>
      <c r="G12" s="140">
        <v>156195.73000000001</v>
      </c>
      <c r="H12" s="140">
        <v>42075.08</v>
      </c>
      <c r="I12" s="140">
        <v>572195.73</v>
      </c>
      <c r="J12" s="140">
        <v>540756.81000000006</v>
      </c>
      <c r="K12" s="140">
        <v>166263.26</v>
      </c>
      <c r="L12" s="140">
        <v>0</v>
      </c>
    </row>
    <row r="13" spans="1:12" x14ac:dyDescent="0.25">
      <c r="A13" s="214" t="s">
        <v>493</v>
      </c>
      <c r="B13" s="100" t="s">
        <v>454</v>
      </c>
      <c r="C13" s="140">
        <v>174.61</v>
      </c>
      <c r="D13" s="140">
        <v>0</v>
      </c>
      <c r="E13" s="140">
        <v>-174.61</v>
      </c>
      <c r="F13" s="140">
        <v>0</v>
      </c>
      <c r="G13" s="140">
        <v>0</v>
      </c>
      <c r="H13" s="140">
        <v>0</v>
      </c>
      <c r="I13" s="140">
        <v>-174.61</v>
      </c>
      <c r="J13" s="140">
        <v>0</v>
      </c>
      <c r="K13" s="140">
        <v>0</v>
      </c>
      <c r="L13" s="140">
        <v>0</v>
      </c>
    </row>
    <row r="14" spans="1:12" x14ac:dyDescent="0.25">
      <c r="A14" s="214" t="s">
        <v>753</v>
      </c>
      <c r="B14" s="100" t="s">
        <v>92</v>
      </c>
      <c r="C14" s="140">
        <v>0</v>
      </c>
      <c r="D14" s="140">
        <v>174.61</v>
      </c>
      <c r="E14" s="140">
        <v>174.61</v>
      </c>
      <c r="F14" s="140">
        <v>0</v>
      </c>
      <c r="G14" s="140">
        <v>0</v>
      </c>
      <c r="H14" s="140">
        <v>0</v>
      </c>
      <c r="I14" s="140">
        <v>174.61</v>
      </c>
      <c r="J14" s="140">
        <v>0</v>
      </c>
      <c r="K14" s="140">
        <v>0</v>
      </c>
      <c r="L14" s="140">
        <v>0</v>
      </c>
    </row>
    <row r="15" spans="1:12" x14ac:dyDescent="0.25">
      <c r="A15" s="214" t="s">
        <v>927</v>
      </c>
      <c r="B15" s="100" t="s">
        <v>381</v>
      </c>
      <c r="C15" s="140">
        <v>0</v>
      </c>
      <c r="D15" s="140">
        <v>0</v>
      </c>
      <c r="E15" s="140">
        <v>621195.73</v>
      </c>
      <c r="F15" s="140">
        <v>296000</v>
      </c>
      <c r="G15" s="140">
        <v>30114.75</v>
      </c>
      <c r="H15" s="140">
        <v>156195.73000000001</v>
      </c>
      <c r="I15" s="140">
        <v>651310.48</v>
      </c>
      <c r="J15" s="140">
        <v>452195.73</v>
      </c>
      <c r="K15" s="140">
        <v>199114.75</v>
      </c>
      <c r="L15" s="140">
        <v>0</v>
      </c>
    </row>
    <row r="16" spans="1:12" x14ac:dyDescent="0.25">
      <c r="A16" s="214" t="s">
        <v>1130</v>
      </c>
      <c r="B16" s="100" t="s">
        <v>87</v>
      </c>
      <c r="C16" s="140">
        <v>0</v>
      </c>
      <c r="D16" s="140">
        <v>0</v>
      </c>
      <c r="E16" s="140">
        <v>23919.35</v>
      </c>
      <c r="F16" s="140">
        <v>0</v>
      </c>
      <c r="G16" s="140">
        <v>-23919.35</v>
      </c>
      <c r="H16" s="140">
        <v>0</v>
      </c>
      <c r="I16" s="140">
        <v>0</v>
      </c>
      <c r="J16" s="140">
        <v>0</v>
      </c>
      <c r="K16" s="140">
        <v>0</v>
      </c>
      <c r="L16" s="140">
        <v>0</v>
      </c>
    </row>
    <row r="17" spans="1:12" x14ac:dyDescent="0.25">
      <c r="A17" s="214" t="s">
        <v>250</v>
      </c>
      <c r="B17" s="100" t="s">
        <v>317</v>
      </c>
      <c r="C17" s="140">
        <v>521588.03</v>
      </c>
      <c r="D17" s="140">
        <v>0</v>
      </c>
      <c r="E17" s="140">
        <v>0</v>
      </c>
      <c r="F17" s="140">
        <v>0</v>
      </c>
      <c r="G17" s="140">
        <v>0</v>
      </c>
      <c r="H17" s="140">
        <v>99677.24</v>
      </c>
      <c r="I17" s="140">
        <v>0</v>
      </c>
      <c r="J17" s="140">
        <v>99677.24</v>
      </c>
      <c r="K17" s="140">
        <v>421910.79</v>
      </c>
      <c r="L17" s="140">
        <v>0</v>
      </c>
    </row>
    <row r="18" spans="1:12" x14ac:dyDescent="0.25">
      <c r="A18" s="214" t="s">
        <v>972</v>
      </c>
      <c r="B18" s="100" t="s">
        <v>690</v>
      </c>
      <c r="C18" s="140">
        <v>0</v>
      </c>
      <c r="D18" s="140">
        <v>0</v>
      </c>
      <c r="E18" s="140">
        <v>14986.46</v>
      </c>
      <c r="F18" s="140">
        <v>53517.15</v>
      </c>
      <c r="G18" s="140">
        <v>12058.08</v>
      </c>
      <c r="H18" s="140">
        <v>49584.84</v>
      </c>
      <c r="I18" s="140">
        <v>27044.54</v>
      </c>
      <c r="J18" s="140">
        <v>103101.99</v>
      </c>
      <c r="K18" s="140">
        <v>0</v>
      </c>
      <c r="L18" s="140">
        <v>76057.45</v>
      </c>
    </row>
    <row r="19" spans="1:12" x14ac:dyDescent="0.25">
      <c r="A19" s="214" t="s">
        <v>936</v>
      </c>
      <c r="B19" s="100" t="s">
        <v>291</v>
      </c>
      <c r="C19" s="140">
        <v>0</v>
      </c>
      <c r="D19" s="140">
        <v>6622.24</v>
      </c>
      <c r="E19" s="140">
        <v>0</v>
      </c>
      <c r="F19" s="140">
        <v>0</v>
      </c>
      <c r="G19" s="140">
        <v>6622.24</v>
      </c>
      <c r="H19" s="140">
        <v>960</v>
      </c>
      <c r="I19" s="140">
        <v>6622.24</v>
      </c>
      <c r="J19" s="140">
        <v>960</v>
      </c>
      <c r="K19" s="140">
        <v>0</v>
      </c>
      <c r="L19" s="140">
        <v>960</v>
      </c>
    </row>
    <row r="20" spans="1:12" x14ac:dyDescent="0.25">
      <c r="A20" s="214" t="s">
        <v>260</v>
      </c>
      <c r="B20" s="100" t="s">
        <v>971</v>
      </c>
      <c r="C20" s="140">
        <v>737.43</v>
      </c>
      <c r="D20" s="140">
        <v>0</v>
      </c>
      <c r="E20" s="140">
        <v>0</v>
      </c>
      <c r="F20" s="140">
        <v>0</v>
      </c>
      <c r="G20" s="140">
        <v>0</v>
      </c>
      <c r="H20" s="140">
        <v>737.43</v>
      </c>
      <c r="I20" s="140">
        <v>0</v>
      </c>
      <c r="J20" s="140">
        <v>737.43</v>
      </c>
      <c r="K20" s="140">
        <v>0</v>
      </c>
      <c r="L20" s="140">
        <v>0</v>
      </c>
    </row>
    <row r="21" spans="1:12" x14ac:dyDescent="0.25">
      <c r="A21" s="214" t="s">
        <v>613</v>
      </c>
      <c r="B21" s="100" t="s">
        <v>192</v>
      </c>
      <c r="C21" s="140">
        <v>0</v>
      </c>
      <c r="D21" s="140">
        <v>0</v>
      </c>
      <c r="E21" s="140">
        <v>7231.76</v>
      </c>
      <c r="F21" s="140">
        <v>7231.76</v>
      </c>
      <c r="G21" s="140">
        <v>0</v>
      </c>
      <c r="H21" s="140">
        <v>0</v>
      </c>
      <c r="I21" s="140">
        <v>7231.76</v>
      </c>
      <c r="J21" s="140">
        <v>7231.76</v>
      </c>
      <c r="K21" s="140">
        <v>0</v>
      </c>
      <c r="L21" s="140">
        <v>0</v>
      </c>
    </row>
    <row r="22" spans="1:12" x14ac:dyDescent="0.25">
      <c r="A22" s="214" t="s">
        <v>312</v>
      </c>
      <c r="B22" s="100" t="s">
        <v>1082</v>
      </c>
      <c r="C22" s="140">
        <v>384834.86</v>
      </c>
      <c r="D22" s="140">
        <v>0</v>
      </c>
      <c r="E22" s="140">
        <v>162319</v>
      </c>
      <c r="F22" s="140">
        <v>120000</v>
      </c>
      <c r="G22" s="140">
        <v>21000</v>
      </c>
      <c r="H22" s="140">
        <v>45871.48</v>
      </c>
      <c r="I22" s="140">
        <v>183319</v>
      </c>
      <c r="J22" s="140">
        <v>165871.48000000001</v>
      </c>
      <c r="K22" s="140">
        <v>402282.38</v>
      </c>
      <c r="L22" s="140">
        <v>0</v>
      </c>
    </row>
    <row r="23" spans="1:12" x14ac:dyDescent="0.25">
      <c r="A23" s="214" t="s">
        <v>127</v>
      </c>
      <c r="B23" s="100" t="s">
        <v>786</v>
      </c>
      <c r="C23" s="140">
        <v>53353.24</v>
      </c>
      <c r="D23" s="140">
        <v>0</v>
      </c>
      <c r="E23" s="140">
        <v>-46897.84</v>
      </c>
      <c r="F23" s="140">
        <v>3102.16</v>
      </c>
      <c r="G23" s="140">
        <v>1300</v>
      </c>
      <c r="H23" s="140">
        <v>1551.08</v>
      </c>
      <c r="I23" s="140">
        <v>-45597.84</v>
      </c>
      <c r="J23" s="140">
        <v>4653.24</v>
      </c>
      <c r="K23" s="140">
        <v>3102.16</v>
      </c>
      <c r="L23" s="140">
        <v>0</v>
      </c>
    </row>
    <row r="24" spans="1:12" x14ac:dyDescent="0.25">
      <c r="A24" s="214" t="s">
        <v>149</v>
      </c>
      <c r="B24" s="100" t="s">
        <v>1088</v>
      </c>
      <c r="C24" s="140">
        <v>1523.68</v>
      </c>
      <c r="D24" s="140">
        <v>0</v>
      </c>
      <c r="E24" s="140">
        <v>0</v>
      </c>
      <c r="F24" s="140">
        <v>1523.68</v>
      </c>
      <c r="G24" s="140">
        <v>1523.68</v>
      </c>
      <c r="H24" s="140">
        <v>0</v>
      </c>
      <c r="I24" s="140">
        <v>1523.68</v>
      </c>
      <c r="J24" s="140">
        <v>1523.68</v>
      </c>
      <c r="K24" s="140">
        <v>1523.68</v>
      </c>
      <c r="L24" s="140">
        <v>0</v>
      </c>
    </row>
    <row r="25" spans="1:12" x14ac:dyDescent="0.25">
      <c r="A25" s="214" t="s">
        <v>424</v>
      </c>
      <c r="B25" s="100" t="s">
        <v>179</v>
      </c>
      <c r="C25" s="140">
        <v>0</v>
      </c>
      <c r="D25" s="140">
        <v>0</v>
      </c>
      <c r="E25" s="140">
        <v>0</v>
      </c>
      <c r="F25" s="140">
        <v>284000</v>
      </c>
      <c r="G25" s="140">
        <v>0</v>
      </c>
      <c r="H25" s="140">
        <v>0</v>
      </c>
      <c r="I25" s="140">
        <v>0</v>
      </c>
      <c r="J25" s="140">
        <v>284000</v>
      </c>
      <c r="K25" s="140">
        <v>0</v>
      </c>
      <c r="L25" s="140">
        <v>284000</v>
      </c>
    </row>
    <row r="26" spans="1:12" x14ac:dyDescent="0.25">
      <c r="A26" s="214" t="s">
        <v>1101</v>
      </c>
      <c r="B26" s="100" t="s">
        <v>82</v>
      </c>
      <c r="C26" s="140">
        <v>0</v>
      </c>
      <c r="D26" s="140">
        <v>112311.83</v>
      </c>
      <c r="E26" s="140">
        <v>0</v>
      </c>
      <c r="F26" s="140">
        <v>0</v>
      </c>
      <c r="G26" s="140">
        <v>144469.72</v>
      </c>
      <c r="H26" s="140">
        <v>32157.89</v>
      </c>
      <c r="I26" s="140">
        <v>144469.72</v>
      </c>
      <c r="J26" s="140">
        <v>32157.89</v>
      </c>
      <c r="K26" s="140">
        <v>0</v>
      </c>
      <c r="L26" s="140">
        <v>0</v>
      </c>
    </row>
    <row r="27" spans="1:12" x14ac:dyDescent="0.25">
      <c r="A27" s="214" t="s">
        <v>1029</v>
      </c>
      <c r="B27" s="100" t="s">
        <v>322</v>
      </c>
      <c r="C27" s="140">
        <v>0</v>
      </c>
      <c r="D27" s="140">
        <v>1998275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1998275</v>
      </c>
    </row>
    <row r="28" spans="1:12" x14ac:dyDescent="0.25">
      <c r="A28" s="214" t="s">
        <v>76</v>
      </c>
      <c r="B28" s="100" t="s">
        <v>341</v>
      </c>
      <c r="C28" s="140">
        <v>0</v>
      </c>
      <c r="D28" s="140">
        <v>19970.919999999998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0">
        <v>0</v>
      </c>
      <c r="L28" s="140">
        <v>19970.919999999998</v>
      </c>
    </row>
    <row r="29" spans="1:12" x14ac:dyDescent="0.25">
      <c r="A29" s="214" t="s">
        <v>742</v>
      </c>
      <c r="B29" s="100" t="s">
        <v>618</v>
      </c>
      <c r="C29" s="140">
        <v>0</v>
      </c>
      <c r="D29" s="140">
        <v>1696128.49</v>
      </c>
      <c r="E29" s="140">
        <v>1227472.72</v>
      </c>
      <c r="F29" s="140">
        <v>0</v>
      </c>
      <c r="G29" s="140">
        <v>0</v>
      </c>
      <c r="H29" s="140">
        <v>0</v>
      </c>
      <c r="I29" s="140">
        <v>1227472.72</v>
      </c>
      <c r="J29" s="140">
        <v>0</v>
      </c>
      <c r="K29" s="140">
        <v>0</v>
      </c>
      <c r="L29" s="140">
        <v>468655.77</v>
      </c>
    </row>
    <row r="30" spans="1:12" x14ac:dyDescent="0.25">
      <c r="A30" s="214" t="s">
        <v>1075</v>
      </c>
      <c r="B30" s="100" t="s">
        <v>80</v>
      </c>
      <c r="C30" s="140">
        <v>827317.35</v>
      </c>
      <c r="D30" s="140">
        <v>0</v>
      </c>
      <c r="E30" s="140">
        <v>58637.84</v>
      </c>
      <c r="F30" s="140">
        <v>885955.19</v>
      </c>
      <c r="G30" s="140">
        <v>0</v>
      </c>
      <c r="H30" s="140">
        <v>0</v>
      </c>
      <c r="I30" s="140">
        <v>58637.84</v>
      </c>
      <c r="J30" s="140">
        <v>885955.19</v>
      </c>
      <c r="K30" s="140">
        <v>0</v>
      </c>
      <c r="L30" s="140">
        <v>0</v>
      </c>
    </row>
    <row r="31" spans="1:12" x14ac:dyDescent="0.25">
      <c r="A31" s="214" t="s">
        <v>914</v>
      </c>
      <c r="B31" s="100" t="s">
        <v>478</v>
      </c>
      <c r="C31" s="140">
        <v>58637.84</v>
      </c>
      <c r="D31" s="140">
        <v>0</v>
      </c>
      <c r="E31" s="140">
        <v>0</v>
      </c>
      <c r="F31" s="140">
        <v>58637.84</v>
      </c>
      <c r="G31" s="140">
        <v>0</v>
      </c>
      <c r="H31" s="140">
        <v>0</v>
      </c>
      <c r="I31" s="140">
        <v>0</v>
      </c>
      <c r="J31" s="140">
        <v>58637.84</v>
      </c>
      <c r="K31" s="140">
        <v>0</v>
      </c>
      <c r="L31" s="140">
        <v>0</v>
      </c>
    </row>
    <row r="32" spans="1:12" x14ac:dyDescent="0.25">
      <c r="A32" s="214" t="s">
        <v>619</v>
      </c>
      <c r="B32" s="100" t="s">
        <v>922</v>
      </c>
      <c r="C32" s="140">
        <v>0</v>
      </c>
      <c r="D32" s="140">
        <v>290.55</v>
      </c>
      <c r="E32" s="140">
        <v>0</v>
      </c>
      <c r="F32" s="140">
        <v>4517.53</v>
      </c>
      <c r="G32" s="140">
        <v>0</v>
      </c>
      <c r="H32" s="140">
        <v>0</v>
      </c>
      <c r="I32" s="140">
        <v>0</v>
      </c>
      <c r="J32" s="140">
        <v>4517.53</v>
      </c>
      <c r="K32" s="140">
        <v>0</v>
      </c>
      <c r="L32" s="140">
        <v>4808.08</v>
      </c>
    </row>
    <row r="33" spans="1:12" x14ac:dyDescent="0.25">
      <c r="A33" s="214" t="s">
        <v>948</v>
      </c>
      <c r="B33" s="100" t="s">
        <v>1030</v>
      </c>
      <c r="C33" s="140">
        <v>0</v>
      </c>
      <c r="D33" s="140">
        <v>0</v>
      </c>
      <c r="E33" s="140">
        <v>0</v>
      </c>
      <c r="F33" s="140">
        <v>176000</v>
      </c>
      <c r="G33" s="140">
        <v>0</v>
      </c>
      <c r="H33" s="140">
        <v>0</v>
      </c>
      <c r="I33" s="140">
        <v>0</v>
      </c>
      <c r="J33" s="140">
        <v>176000</v>
      </c>
      <c r="K33" s="140">
        <v>0</v>
      </c>
      <c r="L33" s="140">
        <v>176000</v>
      </c>
    </row>
    <row r="34" spans="1:12" x14ac:dyDescent="0.25">
      <c r="A34" s="214" t="s">
        <v>911</v>
      </c>
      <c r="B34" s="100" t="s">
        <v>183</v>
      </c>
      <c r="C34" s="140">
        <v>0</v>
      </c>
      <c r="D34" s="140">
        <v>0</v>
      </c>
      <c r="E34" s="140">
        <v>38530.69</v>
      </c>
      <c r="F34" s="140">
        <v>18195.73</v>
      </c>
      <c r="G34" s="140">
        <v>27780.6</v>
      </c>
      <c r="H34" s="140">
        <v>15114.75</v>
      </c>
      <c r="I34" s="140">
        <v>66311.289999999994</v>
      </c>
      <c r="J34" s="140">
        <v>33310.480000000003</v>
      </c>
      <c r="K34" s="140">
        <v>33000.81</v>
      </c>
      <c r="L34" s="140">
        <v>0</v>
      </c>
    </row>
    <row r="35" spans="1:12" x14ac:dyDescent="0.25">
      <c r="A35" s="214" t="s">
        <v>1063</v>
      </c>
      <c r="B35" s="100" t="s">
        <v>455</v>
      </c>
      <c r="C35" s="140">
        <v>0</v>
      </c>
      <c r="D35" s="140">
        <v>0</v>
      </c>
      <c r="E35" s="140">
        <v>0</v>
      </c>
      <c r="F35" s="140">
        <v>0</v>
      </c>
      <c r="G35" s="140">
        <v>54723.59</v>
      </c>
      <c r="H35" s="140">
        <v>0</v>
      </c>
      <c r="I35" s="140">
        <v>54723.59</v>
      </c>
      <c r="J35" s="140">
        <v>0</v>
      </c>
      <c r="K35" s="140">
        <v>54723.59</v>
      </c>
      <c r="L35" s="140">
        <v>0</v>
      </c>
    </row>
    <row r="36" spans="1:12" x14ac:dyDescent="0.25">
      <c r="A36" s="214" t="s">
        <v>351</v>
      </c>
      <c r="B36" s="100" t="s">
        <v>528</v>
      </c>
      <c r="C36" s="140">
        <v>0</v>
      </c>
      <c r="D36" s="140">
        <v>0</v>
      </c>
      <c r="E36" s="140">
        <v>14986.46</v>
      </c>
      <c r="F36" s="140">
        <v>0</v>
      </c>
      <c r="G36" s="140">
        <v>0</v>
      </c>
      <c r="H36" s="140">
        <v>0</v>
      </c>
      <c r="I36" s="140">
        <v>14986.46</v>
      </c>
      <c r="J36" s="140">
        <v>0</v>
      </c>
      <c r="K36" s="140">
        <v>14986.46</v>
      </c>
      <c r="L36" s="140">
        <v>0</v>
      </c>
    </row>
    <row r="37" spans="1:12" x14ac:dyDescent="0.25">
      <c r="A37" s="214" t="s">
        <v>760</v>
      </c>
      <c r="B37" s="100" t="s">
        <v>26</v>
      </c>
      <c r="C37" s="140">
        <v>0</v>
      </c>
      <c r="D37" s="140">
        <v>0</v>
      </c>
      <c r="E37" s="140">
        <v>7231.76</v>
      </c>
      <c r="F37" s="140">
        <v>0</v>
      </c>
      <c r="G37" s="140">
        <v>0</v>
      </c>
      <c r="H37" s="140">
        <v>0</v>
      </c>
      <c r="I37" s="140">
        <v>7231.76</v>
      </c>
      <c r="J37" s="140">
        <v>0</v>
      </c>
      <c r="K37" s="140">
        <v>7231.76</v>
      </c>
      <c r="L37" s="140">
        <v>0</v>
      </c>
    </row>
    <row r="38" spans="1:12" x14ac:dyDescent="0.25">
      <c r="A38" s="214" t="s">
        <v>813</v>
      </c>
      <c r="B38" s="100" t="s">
        <v>917</v>
      </c>
      <c r="C38" s="140">
        <v>0</v>
      </c>
      <c r="D38" s="140">
        <v>0</v>
      </c>
      <c r="E38" s="140">
        <v>4625.84</v>
      </c>
      <c r="F38" s="140">
        <v>0</v>
      </c>
      <c r="G38" s="140">
        <v>28927.73</v>
      </c>
      <c r="H38" s="140">
        <v>0</v>
      </c>
      <c r="I38" s="140">
        <v>33553.57</v>
      </c>
      <c r="J38" s="140">
        <v>0</v>
      </c>
      <c r="K38" s="140">
        <v>33553.57</v>
      </c>
      <c r="L38" s="140">
        <v>0</v>
      </c>
    </row>
    <row r="39" spans="1:12" x14ac:dyDescent="0.25">
      <c r="A39" s="214" t="s">
        <v>255</v>
      </c>
      <c r="B39" s="100" t="s">
        <v>407</v>
      </c>
      <c r="C39" s="140">
        <v>0</v>
      </c>
      <c r="D39" s="140">
        <v>0</v>
      </c>
      <c r="E39" s="140">
        <v>39325</v>
      </c>
      <c r="F39" s="140">
        <v>0</v>
      </c>
      <c r="G39" s="140">
        <v>3575</v>
      </c>
      <c r="H39" s="140">
        <v>0</v>
      </c>
      <c r="I39" s="140">
        <v>42900</v>
      </c>
      <c r="J39" s="140">
        <v>0</v>
      </c>
      <c r="K39" s="140">
        <v>42900</v>
      </c>
      <c r="L39" s="140">
        <v>0</v>
      </c>
    </row>
    <row r="40" spans="1:12" x14ac:dyDescent="0.25">
      <c r="A40" s="214" t="s">
        <v>919</v>
      </c>
      <c r="B40" s="100" t="s">
        <v>685</v>
      </c>
      <c r="C40" s="131">
        <v>0</v>
      </c>
      <c r="D40" s="131">
        <v>0</v>
      </c>
      <c r="E40" s="131">
        <v>0</v>
      </c>
      <c r="F40" s="131">
        <v>0</v>
      </c>
      <c r="G40" s="140">
        <v>32157.89</v>
      </c>
      <c r="H40" s="131">
        <v>0</v>
      </c>
      <c r="I40" s="140">
        <v>32157.89</v>
      </c>
      <c r="J40" s="131">
        <v>0</v>
      </c>
      <c r="K40" s="140">
        <v>32157.89</v>
      </c>
      <c r="L40" s="140">
        <v>0</v>
      </c>
    </row>
    <row r="41" spans="1:12" x14ac:dyDescent="0.25">
      <c r="A41" s="214" t="s">
        <v>439</v>
      </c>
      <c r="B41" s="100" t="s">
        <v>737</v>
      </c>
      <c r="C41" s="140">
        <v>0</v>
      </c>
      <c r="D41" s="140">
        <v>0</v>
      </c>
      <c r="E41" s="140">
        <v>123</v>
      </c>
      <c r="F41" s="140">
        <v>0</v>
      </c>
      <c r="G41" s="140">
        <v>17</v>
      </c>
      <c r="H41" s="140">
        <v>0</v>
      </c>
      <c r="I41" s="140">
        <v>140</v>
      </c>
      <c r="J41" s="140">
        <v>0</v>
      </c>
      <c r="K41" s="140">
        <v>140</v>
      </c>
      <c r="L41" s="140">
        <v>0</v>
      </c>
    </row>
    <row r="42" spans="1:12" x14ac:dyDescent="0.25">
      <c r="A42" s="214" t="s">
        <v>3</v>
      </c>
      <c r="B42" s="100" t="s">
        <v>898</v>
      </c>
      <c r="C42" s="131">
        <v>0</v>
      </c>
      <c r="D42" s="131">
        <v>0</v>
      </c>
      <c r="E42" s="131">
        <v>0</v>
      </c>
      <c r="F42" s="131">
        <v>0</v>
      </c>
      <c r="G42" s="140">
        <v>960</v>
      </c>
      <c r="H42" s="131">
        <v>0</v>
      </c>
      <c r="I42" s="140">
        <v>960</v>
      </c>
      <c r="J42" s="131">
        <v>0</v>
      </c>
      <c r="K42" s="140">
        <v>960</v>
      </c>
      <c r="L42" s="140">
        <v>0</v>
      </c>
    </row>
    <row r="43" spans="1:12" x14ac:dyDescent="0.25">
      <c r="A43" s="214" t="s">
        <v>185</v>
      </c>
      <c r="B43" s="100" t="s">
        <v>588</v>
      </c>
      <c r="C43" s="140">
        <v>0</v>
      </c>
      <c r="D43" s="140">
        <v>0</v>
      </c>
      <c r="E43" s="140">
        <v>0</v>
      </c>
      <c r="F43" s="140">
        <v>143000</v>
      </c>
      <c r="G43" s="140">
        <v>0</v>
      </c>
      <c r="H43" s="140">
        <v>15000</v>
      </c>
      <c r="I43" s="140">
        <v>0</v>
      </c>
      <c r="J43" s="140">
        <v>158000</v>
      </c>
      <c r="K43" s="140">
        <v>0</v>
      </c>
      <c r="L43" s="140">
        <v>158000</v>
      </c>
    </row>
    <row r="44" spans="1:12" x14ac:dyDescent="0.25">
      <c r="A44" s="214" t="s">
        <v>328</v>
      </c>
      <c r="B44" s="100" t="s">
        <v>557</v>
      </c>
      <c r="C44" s="140">
        <v>0</v>
      </c>
      <c r="D44" s="140">
        <v>0</v>
      </c>
      <c r="E44" s="140">
        <v>0</v>
      </c>
      <c r="F44" s="140">
        <v>0</v>
      </c>
      <c r="G44" s="140">
        <v>0</v>
      </c>
      <c r="H44" s="140">
        <v>7184.81</v>
      </c>
      <c r="I44" s="140">
        <v>0</v>
      </c>
      <c r="J44" s="140">
        <v>7184.81</v>
      </c>
      <c r="K44" s="140">
        <v>0</v>
      </c>
      <c r="L44" s="140">
        <v>7184.81</v>
      </c>
    </row>
    <row r="45" spans="1:12" x14ac:dyDescent="0.25">
      <c r="A45" s="214" t="s">
        <v>239</v>
      </c>
      <c r="B45" s="100" t="s">
        <v>667</v>
      </c>
      <c r="C45" s="140">
        <v>0</v>
      </c>
      <c r="D45" s="140">
        <v>0</v>
      </c>
      <c r="E45" s="140">
        <v>0</v>
      </c>
      <c r="F45" s="140">
        <v>0</v>
      </c>
      <c r="G45" s="140">
        <v>0</v>
      </c>
      <c r="H45" s="140">
        <v>0</v>
      </c>
      <c r="I45" s="140">
        <v>5669578.1200000001</v>
      </c>
      <c r="J45" s="140">
        <v>5669578.1200000001</v>
      </c>
      <c r="K45" s="140">
        <v>0</v>
      </c>
      <c r="L45" s="140">
        <v>0</v>
      </c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61"/>
  <sheetViews>
    <sheetView zoomScaleNormal="100" zoomScaleSheetLayoutView="100" workbookViewId="0"/>
  </sheetViews>
  <sheetFormatPr defaultColWidth="9.140625" defaultRowHeight="15" x14ac:dyDescent="0.25"/>
  <cols>
    <col min="1" max="1" width="16.5703125" style="57" customWidth="1"/>
    <col min="2" max="2" width="46.7109375" style="2" customWidth="1"/>
    <col min="3" max="12" width="15.28515625" style="157" customWidth="1"/>
  </cols>
  <sheetData>
    <row r="1" spans="1:12" ht="22.5" x14ac:dyDescent="0.25">
      <c r="A1" s="51" t="s">
        <v>378</v>
      </c>
      <c r="B1" s="11" t="s">
        <v>477</v>
      </c>
      <c r="C1" s="152" t="s">
        <v>686</v>
      </c>
      <c r="D1" s="152" t="s">
        <v>853</v>
      </c>
      <c r="E1" s="152" t="s">
        <v>369</v>
      </c>
      <c r="F1" s="152" t="s">
        <v>651</v>
      </c>
      <c r="G1" s="152" t="s">
        <v>327</v>
      </c>
      <c r="H1" s="152" t="s">
        <v>586</v>
      </c>
      <c r="I1" s="152" t="s">
        <v>609</v>
      </c>
      <c r="J1" s="152" t="s">
        <v>587</v>
      </c>
      <c r="K1" s="152" t="s">
        <v>888</v>
      </c>
      <c r="L1" s="152" t="s">
        <v>174</v>
      </c>
    </row>
    <row r="2" spans="1:12" x14ac:dyDescent="0.25">
      <c r="A2" s="214" t="s">
        <v>114</v>
      </c>
      <c r="B2" s="100" t="s">
        <v>234</v>
      </c>
      <c r="C2" s="140">
        <v>2607292.58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2607292.58</v>
      </c>
      <c r="L2" s="140">
        <v>0</v>
      </c>
    </row>
    <row r="3" spans="1:12" x14ac:dyDescent="0.25">
      <c r="A3" s="214" t="s">
        <v>854</v>
      </c>
      <c r="B3" s="100" t="s">
        <v>979</v>
      </c>
      <c r="C3" s="140">
        <v>1659.7</v>
      </c>
      <c r="D3" s="140">
        <v>0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1659.7</v>
      </c>
      <c r="L3" s="140">
        <v>0</v>
      </c>
    </row>
    <row r="4" spans="1:12" x14ac:dyDescent="0.25">
      <c r="A4" s="214" t="s">
        <v>669</v>
      </c>
      <c r="B4" s="100" t="s">
        <v>844</v>
      </c>
      <c r="C4" s="140">
        <v>2257.19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2257.19</v>
      </c>
      <c r="L4" s="140">
        <v>0</v>
      </c>
    </row>
    <row r="5" spans="1:12" x14ac:dyDescent="0.25">
      <c r="A5" s="214" t="s">
        <v>825</v>
      </c>
      <c r="B5" s="100" t="s">
        <v>812</v>
      </c>
      <c r="C5" s="140">
        <v>447798.19</v>
      </c>
      <c r="D5" s="140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  <c r="J5" s="131">
        <v>0</v>
      </c>
      <c r="K5" s="140">
        <v>447798.19</v>
      </c>
      <c r="L5" s="140">
        <v>0</v>
      </c>
    </row>
    <row r="6" spans="1:12" x14ac:dyDescent="0.25">
      <c r="A6" s="214" t="s">
        <v>459</v>
      </c>
      <c r="B6" s="100" t="s">
        <v>563</v>
      </c>
      <c r="C6" s="140">
        <v>34389.51</v>
      </c>
      <c r="D6" s="140">
        <v>0</v>
      </c>
      <c r="E6" s="131">
        <v>0</v>
      </c>
      <c r="F6" s="131">
        <v>0</v>
      </c>
      <c r="G6" s="131">
        <v>0</v>
      </c>
      <c r="H6" s="131">
        <v>0</v>
      </c>
      <c r="I6" s="131">
        <v>0</v>
      </c>
      <c r="J6" s="131">
        <v>0</v>
      </c>
      <c r="K6" s="140">
        <v>34389.51</v>
      </c>
      <c r="L6" s="140">
        <v>0</v>
      </c>
    </row>
    <row r="7" spans="1:12" x14ac:dyDescent="0.25">
      <c r="A7" s="214" t="s">
        <v>845</v>
      </c>
      <c r="B7" s="100" t="s">
        <v>365</v>
      </c>
      <c r="C7" s="140">
        <v>169129.66</v>
      </c>
      <c r="D7" s="140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169129.66</v>
      </c>
      <c r="L7" s="140">
        <v>0</v>
      </c>
    </row>
    <row r="8" spans="1:12" x14ac:dyDescent="0.25">
      <c r="A8" s="214" t="s">
        <v>144</v>
      </c>
      <c r="B8" s="100" t="s">
        <v>175</v>
      </c>
      <c r="C8" s="140">
        <v>7520.08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7520.08</v>
      </c>
      <c r="L8" s="140">
        <v>0</v>
      </c>
    </row>
    <row r="9" spans="1:12" x14ac:dyDescent="0.25">
      <c r="A9" s="214" t="s">
        <v>617</v>
      </c>
      <c r="B9" s="100" t="s">
        <v>503</v>
      </c>
      <c r="C9" s="140">
        <v>139896.04</v>
      </c>
      <c r="D9" s="14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139896.04</v>
      </c>
      <c r="L9" s="140">
        <v>0</v>
      </c>
    </row>
    <row r="10" spans="1:12" x14ac:dyDescent="0.25">
      <c r="A10" s="214" t="s">
        <v>572</v>
      </c>
      <c r="B10" s="100" t="s">
        <v>710</v>
      </c>
      <c r="C10" s="140">
        <v>234635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234635</v>
      </c>
      <c r="L10" s="140">
        <v>0</v>
      </c>
    </row>
    <row r="11" spans="1:12" x14ac:dyDescent="0.25">
      <c r="A11" s="214" t="s">
        <v>274</v>
      </c>
      <c r="B11" s="100" t="s">
        <v>169</v>
      </c>
      <c r="C11" s="140">
        <v>0</v>
      </c>
      <c r="D11" s="140">
        <v>1327100.75</v>
      </c>
      <c r="E11" s="131">
        <v>0</v>
      </c>
      <c r="F11" s="140">
        <v>39325</v>
      </c>
      <c r="G11" s="131">
        <v>0</v>
      </c>
      <c r="H11" s="140">
        <v>3575</v>
      </c>
      <c r="I11" s="131">
        <v>0</v>
      </c>
      <c r="J11" s="140">
        <v>42900</v>
      </c>
      <c r="K11" s="140">
        <v>0</v>
      </c>
      <c r="L11" s="140">
        <v>1370000.75</v>
      </c>
    </row>
    <row r="12" spans="1:12" x14ac:dyDescent="0.25">
      <c r="A12" s="214" t="s">
        <v>998</v>
      </c>
      <c r="B12" s="100" t="s">
        <v>605</v>
      </c>
      <c r="C12" s="140">
        <v>0</v>
      </c>
      <c r="D12" s="140">
        <v>1623.7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0</v>
      </c>
      <c r="L12" s="140">
        <v>1623.7</v>
      </c>
    </row>
    <row r="13" spans="1:12" x14ac:dyDescent="0.25">
      <c r="A13" s="214" t="s">
        <v>8</v>
      </c>
      <c r="B13" s="100" t="s">
        <v>99</v>
      </c>
      <c r="C13" s="140">
        <v>0</v>
      </c>
      <c r="D13" s="140">
        <v>1971.86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40">
        <v>0</v>
      </c>
      <c r="L13" s="140">
        <v>1971.86</v>
      </c>
    </row>
    <row r="14" spans="1:12" x14ac:dyDescent="0.25">
      <c r="A14" s="214" t="s">
        <v>985</v>
      </c>
      <c r="B14" s="100" t="s">
        <v>729</v>
      </c>
      <c r="C14" s="140">
        <v>0</v>
      </c>
      <c r="D14" s="140">
        <v>447798.18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0</v>
      </c>
      <c r="L14" s="140">
        <v>447798.18</v>
      </c>
    </row>
    <row r="15" spans="1:12" x14ac:dyDescent="0.25">
      <c r="A15" s="214" t="s">
        <v>401</v>
      </c>
      <c r="B15" s="100" t="s">
        <v>752</v>
      </c>
      <c r="C15" s="140">
        <v>17598.8</v>
      </c>
      <c r="D15" s="140">
        <v>0</v>
      </c>
      <c r="E15" s="140">
        <v>10000</v>
      </c>
      <c r="F15" s="131">
        <v>0</v>
      </c>
      <c r="G15" s="131">
        <v>0</v>
      </c>
      <c r="H15" s="131">
        <v>0</v>
      </c>
      <c r="I15" s="140">
        <v>10000</v>
      </c>
      <c r="J15" s="131">
        <v>0</v>
      </c>
      <c r="K15" s="140">
        <v>27598.799999999999</v>
      </c>
      <c r="L15" s="140">
        <v>0</v>
      </c>
    </row>
    <row r="16" spans="1:12" x14ac:dyDescent="0.25">
      <c r="A16" s="214" t="s">
        <v>830</v>
      </c>
      <c r="B16" s="100" t="s">
        <v>715</v>
      </c>
      <c r="C16" s="140">
        <v>13039.66</v>
      </c>
      <c r="D16" s="140">
        <v>0</v>
      </c>
      <c r="E16" s="140">
        <v>247216.09</v>
      </c>
      <c r="F16" s="140">
        <v>123867.33</v>
      </c>
      <c r="G16" s="131">
        <v>0</v>
      </c>
      <c r="H16" s="140">
        <v>1564.08</v>
      </c>
      <c r="I16" s="140">
        <v>247216.09</v>
      </c>
      <c r="J16" s="140">
        <v>125431.41</v>
      </c>
      <c r="K16" s="140">
        <v>134824.34</v>
      </c>
      <c r="L16" s="140">
        <v>0</v>
      </c>
    </row>
    <row r="17" spans="1:12" x14ac:dyDescent="0.25">
      <c r="A17" s="214" t="s">
        <v>730</v>
      </c>
      <c r="B17" s="100" t="s">
        <v>454</v>
      </c>
      <c r="C17" s="140">
        <v>0</v>
      </c>
      <c r="D17" s="140">
        <v>0</v>
      </c>
      <c r="E17" s="140">
        <v>10174.61</v>
      </c>
      <c r="F17" s="140">
        <v>10000</v>
      </c>
      <c r="G17" s="131">
        <v>0</v>
      </c>
      <c r="H17" s="131">
        <v>0</v>
      </c>
      <c r="I17" s="140">
        <v>10174.61</v>
      </c>
      <c r="J17" s="140">
        <v>10000</v>
      </c>
      <c r="K17" s="140">
        <v>174.61</v>
      </c>
      <c r="L17" s="140">
        <v>0</v>
      </c>
    </row>
    <row r="18" spans="1:12" x14ac:dyDescent="0.25">
      <c r="A18" s="214" t="s">
        <v>620</v>
      </c>
      <c r="B18" s="100" t="s">
        <v>30</v>
      </c>
      <c r="C18" s="140">
        <v>0</v>
      </c>
      <c r="D18" s="140">
        <v>0</v>
      </c>
      <c r="E18" s="131">
        <v>0</v>
      </c>
      <c r="F18" s="140">
        <v>174.61</v>
      </c>
      <c r="G18" s="131">
        <v>0</v>
      </c>
      <c r="H18" s="131">
        <v>0</v>
      </c>
      <c r="I18" s="131">
        <v>0</v>
      </c>
      <c r="J18" s="140">
        <v>174.61</v>
      </c>
      <c r="K18" s="140">
        <v>0</v>
      </c>
      <c r="L18" s="140">
        <v>174.61</v>
      </c>
    </row>
    <row r="19" spans="1:12" x14ac:dyDescent="0.25">
      <c r="A19" s="214" t="s">
        <v>232</v>
      </c>
      <c r="B19" s="100" t="s">
        <v>213</v>
      </c>
      <c r="C19" s="140">
        <v>115000</v>
      </c>
      <c r="D19" s="140">
        <v>0</v>
      </c>
      <c r="E19" s="131">
        <v>0</v>
      </c>
      <c r="F19" s="140">
        <v>9948.2099999999991</v>
      </c>
      <c r="G19" s="131">
        <v>0</v>
      </c>
      <c r="H19" s="131">
        <v>0</v>
      </c>
      <c r="I19" s="131">
        <v>0</v>
      </c>
      <c r="J19" s="140">
        <v>9948.2099999999991</v>
      </c>
      <c r="K19" s="140">
        <v>105051.79</v>
      </c>
      <c r="L19" s="140">
        <v>0</v>
      </c>
    </row>
    <row r="20" spans="1:12" x14ac:dyDescent="0.25">
      <c r="A20" s="57" t="s">
        <v>671</v>
      </c>
      <c r="B20" s="2" t="s">
        <v>627</v>
      </c>
      <c r="C20" s="171">
        <v>82709</v>
      </c>
      <c r="D20" s="171">
        <v>0</v>
      </c>
      <c r="E20" s="157">
        <v>0</v>
      </c>
      <c r="F20" s="157">
        <v>0</v>
      </c>
      <c r="G20" s="157">
        <v>0</v>
      </c>
      <c r="H20" s="157">
        <v>0</v>
      </c>
      <c r="I20" s="157">
        <v>0</v>
      </c>
      <c r="J20" s="157">
        <v>0</v>
      </c>
      <c r="K20" s="171">
        <v>82709</v>
      </c>
      <c r="L20" s="171">
        <v>0</v>
      </c>
    </row>
    <row r="21" spans="1:12" x14ac:dyDescent="0.25">
      <c r="A21" s="57" t="s">
        <v>1018</v>
      </c>
      <c r="B21" s="2" t="s">
        <v>714</v>
      </c>
      <c r="C21" s="171">
        <v>213850.16</v>
      </c>
      <c r="D21" s="171">
        <v>0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71">
        <v>213850.16</v>
      </c>
      <c r="L21" s="171">
        <v>0</v>
      </c>
    </row>
    <row r="22" spans="1:12" x14ac:dyDescent="0.25">
      <c r="A22" s="57" t="s">
        <v>357</v>
      </c>
      <c r="B22" s="2" t="s">
        <v>156</v>
      </c>
      <c r="C22" s="171">
        <v>99677.24</v>
      </c>
      <c r="D22" s="171">
        <v>0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71">
        <v>99677.24</v>
      </c>
      <c r="L22" s="171">
        <v>0</v>
      </c>
    </row>
    <row r="23" spans="1:12" x14ac:dyDescent="0.25">
      <c r="A23" s="57" t="s">
        <v>612</v>
      </c>
      <c r="B23" s="2" t="s">
        <v>110</v>
      </c>
      <c r="C23" s="171">
        <v>20299.84</v>
      </c>
      <c r="D23" s="171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71">
        <v>20299.84</v>
      </c>
      <c r="L23" s="171">
        <v>0</v>
      </c>
    </row>
    <row r="24" spans="1:12" x14ac:dyDescent="0.25">
      <c r="A24" s="57" t="s">
        <v>2</v>
      </c>
      <c r="B24" s="2" t="s">
        <v>75</v>
      </c>
      <c r="C24" s="171">
        <v>0</v>
      </c>
      <c r="D24" s="171">
        <v>6826.89</v>
      </c>
      <c r="E24" s="171">
        <v>204.65</v>
      </c>
      <c r="F24" s="157">
        <v>0</v>
      </c>
      <c r="G24" s="157">
        <v>0</v>
      </c>
      <c r="H24" s="157">
        <v>0</v>
      </c>
      <c r="I24" s="171">
        <v>204.65</v>
      </c>
      <c r="J24" s="157">
        <v>0</v>
      </c>
      <c r="K24" s="171">
        <v>0</v>
      </c>
      <c r="L24" s="171">
        <v>6622.24</v>
      </c>
    </row>
    <row r="25" spans="1:12" x14ac:dyDescent="0.25">
      <c r="A25" s="57" t="s">
        <v>665</v>
      </c>
      <c r="B25" s="2" t="s">
        <v>238</v>
      </c>
      <c r="C25" s="171">
        <v>737.43</v>
      </c>
      <c r="D25" s="171">
        <v>0</v>
      </c>
      <c r="E25" s="157">
        <v>0</v>
      </c>
      <c r="F25" s="171">
        <v>8.4600000000000009</v>
      </c>
      <c r="G25" s="157">
        <v>0</v>
      </c>
      <c r="H25" s="157">
        <v>0</v>
      </c>
      <c r="I25" s="157">
        <v>0</v>
      </c>
      <c r="J25" s="171">
        <v>8.4600000000000009</v>
      </c>
      <c r="K25" s="171">
        <v>728.97</v>
      </c>
      <c r="L25" s="171">
        <v>0</v>
      </c>
    </row>
    <row r="26" spans="1:12" x14ac:dyDescent="0.25">
      <c r="A26" s="57" t="s">
        <v>756</v>
      </c>
      <c r="B26" s="2" t="s">
        <v>246</v>
      </c>
      <c r="C26" s="171">
        <v>8.4600000000000009</v>
      </c>
      <c r="D26" s="171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71">
        <v>8.4600000000000009</v>
      </c>
      <c r="L26" s="171">
        <v>0</v>
      </c>
    </row>
    <row r="27" spans="1:12" x14ac:dyDescent="0.25">
      <c r="A27" s="57" t="s">
        <v>924</v>
      </c>
      <c r="B27" s="2" t="s">
        <v>763</v>
      </c>
      <c r="C27" s="171">
        <v>0</v>
      </c>
      <c r="D27" s="171">
        <v>0</v>
      </c>
      <c r="E27" s="171">
        <v>7172.47</v>
      </c>
      <c r="F27" s="171">
        <v>7172.47</v>
      </c>
      <c r="G27" s="157">
        <v>0</v>
      </c>
      <c r="H27" s="157">
        <v>0</v>
      </c>
      <c r="I27" s="171">
        <v>7172.47</v>
      </c>
      <c r="J27" s="171">
        <v>7172.47</v>
      </c>
      <c r="K27" s="171">
        <v>0</v>
      </c>
      <c r="L27" s="171">
        <v>0</v>
      </c>
    </row>
    <row r="28" spans="1:12" x14ac:dyDescent="0.25">
      <c r="A28" s="57" t="s">
        <v>9</v>
      </c>
      <c r="B28" s="2" t="s">
        <v>1014</v>
      </c>
      <c r="C28" s="171">
        <v>48877.29</v>
      </c>
      <c r="D28" s="171">
        <v>0</v>
      </c>
      <c r="E28" s="157">
        <v>0</v>
      </c>
      <c r="F28" s="171">
        <v>4084.81</v>
      </c>
      <c r="G28" s="157">
        <v>0</v>
      </c>
      <c r="H28" s="157">
        <v>0</v>
      </c>
      <c r="I28" s="157">
        <v>0</v>
      </c>
      <c r="J28" s="171">
        <v>4084.81</v>
      </c>
      <c r="K28" s="171">
        <v>44792.480000000003</v>
      </c>
      <c r="L28" s="171">
        <v>0</v>
      </c>
    </row>
    <row r="29" spans="1:12" x14ac:dyDescent="0.25">
      <c r="A29" s="57" t="s">
        <v>946</v>
      </c>
      <c r="B29" s="2" t="s">
        <v>380</v>
      </c>
      <c r="C29" s="171">
        <v>150000</v>
      </c>
      <c r="D29" s="171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71">
        <v>150000</v>
      </c>
      <c r="L29" s="171">
        <v>0</v>
      </c>
    </row>
    <row r="30" spans="1:12" x14ac:dyDescent="0.25">
      <c r="A30" s="57" t="s">
        <v>235</v>
      </c>
      <c r="B30" s="2" t="s">
        <v>831</v>
      </c>
      <c r="C30" s="171">
        <v>246932.39</v>
      </c>
      <c r="D30" s="171">
        <v>0</v>
      </c>
      <c r="E30" s="157">
        <v>0</v>
      </c>
      <c r="F30" s="171">
        <v>233000</v>
      </c>
      <c r="G30" s="171">
        <v>3109.99</v>
      </c>
      <c r="H30" s="157">
        <v>0</v>
      </c>
      <c r="I30" s="171">
        <v>3109.99</v>
      </c>
      <c r="J30" s="171">
        <v>233000</v>
      </c>
      <c r="K30" s="171">
        <v>17042.38</v>
      </c>
      <c r="L30" s="171">
        <v>0</v>
      </c>
    </row>
    <row r="31" spans="1:12" x14ac:dyDescent="0.25">
      <c r="A31" s="57" t="s">
        <v>798</v>
      </c>
      <c r="B31" s="2" t="s">
        <v>229</v>
      </c>
      <c r="C31" s="171">
        <v>143000</v>
      </c>
      <c r="D31" s="171">
        <v>0</v>
      </c>
      <c r="E31" s="171">
        <v>30000</v>
      </c>
      <c r="F31" s="157">
        <v>0</v>
      </c>
      <c r="G31" s="157">
        <v>0</v>
      </c>
      <c r="H31" s="157">
        <v>0</v>
      </c>
      <c r="I31" s="171">
        <v>30000</v>
      </c>
      <c r="J31" s="157">
        <v>0</v>
      </c>
      <c r="K31" s="171">
        <v>173000</v>
      </c>
      <c r="L31" s="171">
        <v>0</v>
      </c>
    </row>
    <row r="32" spans="1:12" x14ac:dyDescent="0.25">
      <c r="A32" s="57" t="s">
        <v>544</v>
      </c>
      <c r="B32" s="2" t="s">
        <v>275</v>
      </c>
      <c r="C32" s="171">
        <v>0</v>
      </c>
      <c r="D32" s="171">
        <v>0</v>
      </c>
      <c r="E32" s="157">
        <v>0</v>
      </c>
      <c r="F32" s="157">
        <v>0</v>
      </c>
      <c r="G32" s="171">
        <v>0</v>
      </c>
      <c r="H32" s="157">
        <v>0</v>
      </c>
      <c r="I32" s="171">
        <v>0</v>
      </c>
      <c r="J32" s="157">
        <v>0</v>
      </c>
      <c r="K32" s="171">
        <v>0</v>
      </c>
      <c r="L32" s="171">
        <v>0</v>
      </c>
    </row>
    <row r="33" spans="1:12" x14ac:dyDescent="0.25">
      <c r="A33" s="57" t="s">
        <v>610</v>
      </c>
      <c r="B33" s="2" t="s">
        <v>726</v>
      </c>
      <c r="C33" s="171">
        <v>0</v>
      </c>
      <c r="D33" s="171">
        <v>11300</v>
      </c>
      <c r="E33" s="157">
        <v>0</v>
      </c>
      <c r="F33" s="157">
        <v>0</v>
      </c>
      <c r="G33" s="157">
        <v>0</v>
      </c>
      <c r="H33" s="157">
        <v>0</v>
      </c>
      <c r="I33" s="157">
        <v>0</v>
      </c>
      <c r="J33" s="157">
        <v>0</v>
      </c>
      <c r="K33" s="171">
        <v>0</v>
      </c>
      <c r="L33" s="171">
        <v>11300</v>
      </c>
    </row>
    <row r="34" spans="1:12" x14ac:dyDescent="0.25">
      <c r="A34" s="57" t="s">
        <v>413</v>
      </c>
      <c r="B34" s="2" t="s">
        <v>1097</v>
      </c>
      <c r="C34" s="171">
        <v>0</v>
      </c>
      <c r="D34" s="171">
        <v>0</v>
      </c>
      <c r="E34" s="171">
        <v>60000</v>
      </c>
      <c r="F34" s="157">
        <v>0</v>
      </c>
      <c r="G34" s="157">
        <v>0</v>
      </c>
      <c r="H34" s="157">
        <v>0</v>
      </c>
      <c r="I34" s="171">
        <v>60000</v>
      </c>
      <c r="J34" s="157">
        <v>0</v>
      </c>
      <c r="K34" s="171">
        <v>60000</v>
      </c>
      <c r="L34" s="171">
        <v>0</v>
      </c>
    </row>
    <row r="35" spans="1:12" x14ac:dyDescent="0.25">
      <c r="A35" s="57" t="s">
        <v>224</v>
      </c>
      <c r="B35" s="2" t="s">
        <v>989</v>
      </c>
      <c r="C35" s="171">
        <v>0</v>
      </c>
      <c r="D35" s="171">
        <v>1551.08</v>
      </c>
      <c r="E35" s="171">
        <v>4653.24</v>
      </c>
      <c r="F35" s="157">
        <v>0</v>
      </c>
      <c r="G35" s="171">
        <v>1551.08</v>
      </c>
      <c r="H35" s="157">
        <v>0</v>
      </c>
      <c r="I35" s="171">
        <v>6204.32</v>
      </c>
      <c r="J35" s="157">
        <v>0</v>
      </c>
      <c r="K35" s="171">
        <v>4653.24</v>
      </c>
      <c r="L35" s="171">
        <v>0</v>
      </c>
    </row>
    <row r="36" spans="1:12" x14ac:dyDescent="0.25">
      <c r="A36" s="57" t="s">
        <v>10</v>
      </c>
      <c r="B36" s="2" t="s">
        <v>697</v>
      </c>
      <c r="C36" s="171">
        <v>1523.68</v>
      </c>
      <c r="D36" s="171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71">
        <v>1523.68</v>
      </c>
      <c r="L36" s="171">
        <v>0</v>
      </c>
    </row>
    <row r="37" spans="1:12" x14ac:dyDescent="0.25">
      <c r="A37" s="57" t="s">
        <v>336</v>
      </c>
      <c r="B37" s="2" t="s">
        <v>602</v>
      </c>
      <c r="C37" s="171">
        <v>0</v>
      </c>
      <c r="D37" s="171">
        <v>112311.83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71">
        <v>0</v>
      </c>
      <c r="L37" s="171">
        <v>112311.83</v>
      </c>
    </row>
    <row r="38" spans="1:12" x14ac:dyDescent="0.25">
      <c r="A38" s="57" t="s">
        <v>427</v>
      </c>
      <c r="B38" s="2" t="s">
        <v>322</v>
      </c>
      <c r="C38" s="171">
        <v>0</v>
      </c>
      <c r="D38" s="171">
        <v>6639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71">
        <v>0</v>
      </c>
      <c r="L38" s="171">
        <v>6639</v>
      </c>
    </row>
    <row r="39" spans="1:12" x14ac:dyDescent="0.25">
      <c r="A39" s="57" t="s">
        <v>48</v>
      </c>
      <c r="B39" s="2" t="s">
        <v>495</v>
      </c>
      <c r="C39" s="171">
        <v>0</v>
      </c>
      <c r="D39" s="171">
        <v>199164</v>
      </c>
      <c r="E39" s="157">
        <v>0</v>
      </c>
      <c r="F39" s="157">
        <v>0</v>
      </c>
      <c r="G39" s="171">
        <v>199164</v>
      </c>
      <c r="H39" s="157">
        <v>0</v>
      </c>
      <c r="I39" s="171">
        <v>199164</v>
      </c>
      <c r="J39" s="157">
        <v>0</v>
      </c>
      <c r="K39" s="171">
        <v>0</v>
      </c>
      <c r="L39" s="171">
        <v>0</v>
      </c>
    </row>
    <row r="40" spans="1:12" x14ac:dyDescent="0.25">
      <c r="A40" s="57" t="s">
        <v>1122</v>
      </c>
      <c r="B40" s="2" t="s">
        <v>1078</v>
      </c>
      <c r="C40" s="171">
        <v>0</v>
      </c>
      <c r="D40" s="171">
        <v>1792472</v>
      </c>
      <c r="E40" s="157">
        <v>0</v>
      </c>
      <c r="F40" s="157">
        <v>0</v>
      </c>
      <c r="G40" s="157">
        <v>0</v>
      </c>
      <c r="H40" s="171">
        <v>199164</v>
      </c>
      <c r="I40" s="157">
        <v>0</v>
      </c>
      <c r="J40" s="171">
        <v>199164</v>
      </c>
      <c r="K40" s="171">
        <v>0</v>
      </c>
      <c r="L40" s="171">
        <v>1991636</v>
      </c>
    </row>
    <row r="41" spans="1:12" x14ac:dyDescent="0.25">
      <c r="A41" s="57" t="s">
        <v>521</v>
      </c>
      <c r="B41" s="2" t="s">
        <v>341</v>
      </c>
      <c r="C41" s="171">
        <v>0</v>
      </c>
      <c r="D41" s="171">
        <v>18643.16</v>
      </c>
      <c r="E41" s="157">
        <v>0</v>
      </c>
      <c r="F41" s="157">
        <v>0</v>
      </c>
      <c r="G41" s="157">
        <v>0</v>
      </c>
      <c r="H41" s="157">
        <v>0</v>
      </c>
      <c r="I41" s="157">
        <v>0</v>
      </c>
      <c r="J41" s="157">
        <v>0</v>
      </c>
      <c r="K41" s="171">
        <v>0</v>
      </c>
      <c r="L41" s="171">
        <v>18643.16</v>
      </c>
    </row>
    <row r="42" spans="1:12" x14ac:dyDescent="0.25">
      <c r="A42" s="57" t="s">
        <v>642</v>
      </c>
      <c r="B42" s="2" t="s">
        <v>980</v>
      </c>
      <c r="C42" s="171">
        <v>0</v>
      </c>
      <c r="D42" s="171">
        <v>1327.76</v>
      </c>
      <c r="E42" s="157">
        <v>0</v>
      </c>
      <c r="F42" s="157">
        <v>0</v>
      </c>
      <c r="G42" s="157">
        <v>0</v>
      </c>
      <c r="H42" s="157">
        <v>0</v>
      </c>
      <c r="I42" s="157">
        <v>0</v>
      </c>
      <c r="J42" s="157">
        <v>0</v>
      </c>
      <c r="K42" s="171">
        <v>0</v>
      </c>
      <c r="L42" s="171">
        <v>1327.76</v>
      </c>
    </row>
    <row r="43" spans="1:12" x14ac:dyDescent="0.25">
      <c r="A43" s="57" t="s">
        <v>561</v>
      </c>
      <c r="B43" s="2" t="s">
        <v>618</v>
      </c>
      <c r="C43" s="171">
        <v>0</v>
      </c>
      <c r="D43" s="171">
        <v>187930.7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71">
        <v>0</v>
      </c>
      <c r="L43" s="171">
        <v>187930.7</v>
      </c>
    </row>
    <row r="44" spans="1:12" x14ac:dyDescent="0.25">
      <c r="A44" s="57" t="s">
        <v>1022</v>
      </c>
      <c r="B44" s="2" t="s">
        <v>780</v>
      </c>
      <c r="C44" s="171">
        <v>0</v>
      </c>
      <c r="D44" s="171">
        <v>38274.01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71">
        <v>0</v>
      </c>
      <c r="L44" s="171">
        <v>38274.01</v>
      </c>
    </row>
    <row r="45" spans="1:12" x14ac:dyDescent="0.25">
      <c r="A45" s="57" t="s">
        <v>1119</v>
      </c>
      <c r="B45" s="2" t="s">
        <v>654</v>
      </c>
      <c r="C45" s="171">
        <v>0</v>
      </c>
      <c r="D45" s="171">
        <v>4517.53</v>
      </c>
      <c r="E45" s="157">
        <v>0</v>
      </c>
      <c r="F45" s="157">
        <v>0</v>
      </c>
      <c r="G45" s="157">
        <v>0</v>
      </c>
      <c r="H45" s="157">
        <v>0</v>
      </c>
      <c r="I45" s="157">
        <v>0</v>
      </c>
      <c r="J45" s="157">
        <v>0</v>
      </c>
      <c r="K45" s="171">
        <v>0</v>
      </c>
      <c r="L45" s="171">
        <v>4517.53</v>
      </c>
    </row>
    <row r="46" spans="1:12" x14ac:dyDescent="0.25">
      <c r="A46" s="57" t="s">
        <v>219</v>
      </c>
      <c r="B46" s="2" t="s">
        <v>42</v>
      </c>
      <c r="C46" s="171">
        <v>0</v>
      </c>
      <c r="D46" s="171">
        <v>80230.48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71">
        <v>0</v>
      </c>
      <c r="L46" s="171">
        <v>80230.48</v>
      </c>
    </row>
    <row r="47" spans="1:12" x14ac:dyDescent="0.25">
      <c r="A47" s="57" t="s">
        <v>406</v>
      </c>
      <c r="B47" s="2" t="s">
        <v>1112</v>
      </c>
      <c r="C47" s="171">
        <v>0</v>
      </c>
      <c r="D47" s="171">
        <v>1385175.77</v>
      </c>
      <c r="E47" s="157">
        <v>0</v>
      </c>
      <c r="F47" s="157">
        <v>0</v>
      </c>
      <c r="G47" s="157">
        <v>0</v>
      </c>
      <c r="H47" s="157">
        <v>0</v>
      </c>
      <c r="I47" s="157">
        <v>0</v>
      </c>
      <c r="J47" s="157">
        <v>0</v>
      </c>
      <c r="K47" s="171">
        <v>0</v>
      </c>
      <c r="L47" s="171">
        <v>1385175.77</v>
      </c>
    </row>
    <row r="48" spans="1:12" x14ac:dyDescent="0.25">
      <c r="A48" s="57" t="s">
        <v>14</v>
      </c>
      <c r="B48" s="2" t="s">
        <v>80</v>
      </c>
      <c r="C48" s="171">
        <v>527968.84</v>
      </c>
      <c r="D48" s="171">
        <v>0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71">
        <v>527968.84</v>
      </c>
      <c r="L48" s="171">
        <v>0</v>
      </c>
    </row>
    <row r="49" spans="1:12" x14ac:dyDescent="0.25">
      <c r="A49" s="57" t="s">
        <v>132</v>
      </c>
      <c r="B49" s="2" t="s">
        <v>80</v>
      </c>
      <c r="C49" s="171">
        <v>117132.94</v>
      </c>
      <c r="D49" s="171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71">
        <v>117132.94</v>
      </c>
      <c r="L49" s="171">
        <v>0</v>
      </c>
    </row>
    <row r="50" spans="1:12" x14ac:dyDescent="0.25">
      <c r="A50" s="57" t="s">
        <v>704</v>
      </c>
      <c r="B50" s="2" t="s">
        <v>80</v>
      </c>
      <c r="C50" s="171">
        <v>134870.51</v>
      </c>
      <c r="D50" s="171">
        <v>0</v>
      </c>
      <c r="E50" s="171">
        <v>47345.06</v>
      </c>
      <c r="F50" s="157">
        <v>0</v>
      </c>
      <c r="G50" s="157">
        <v>0</v>
      </c>
      <c r="H50" s="157">
        <v>0</v>
      </c>
      <c r="I50" s="171">
        <v>47345.06</v>
      </c>
      <c r="J50" s="157">
        <v>0</v>
      </c>
      <c r="K50" s="171">
        <v>182215.57</v>
      </c>
      <c r="L50" s="171">
        <v>0</v>
      </c>
    </row>
    <row r="51" spans="1:12" x14ac:dyDescent="0.25">
      <c r="A51" s="57" t="s">
        <v>96</v>
      </c>
      <c r="B51" s="2" t="s">
        <v>417</v>
      </c>
      <c r="C51" s="157">
        <v>0</v>
      </c>
      <c r="D51" s="157">
        <v>0</v>
      </c>
      <c r="E51" s="171">
        <v>0</v>
      </c>
      <c r="F51" s="171">
        <v>0</v>
      </c>
      <c r="G51" s="157">
        <v>0</v>
      </c>
      <c r="H51" s="157">
        <v>0</v>
      </c>
      <c r="I51" s="171">
        <v>0</v>
      </c>
      <c r="J51" s="171">
        <v>0</v>
      </c>
      <c r="K51" s="171">
        <v>0</v>
      </c>
      <c r="L51" s="171">
        <v>0</v>
      </c>
    </row>
    <row r="52" spans="1:12" x14ac:dyDescent="0.25">
      <c r="A52" s="57" t="s">
        <v>582</v>
      </c>
      <c r="B52" s="2" t="s">
        <v>478</v>
      </c>
      <c r="C52" s="171">
        <v>47345.06</v>
      </c>
      <c r="D52" s="171">
        <v>0</v>
      </c>
      <c r="E52" s="171">
        <v>0</v>
      </c>
      <c r="F52" s="171">
        <v>47345.06</v>
      </c>
      <c r="G52" s="157">
        <v>0</v>
      </c>
      <c r="H52" s="157">
        <v>0</v>
      </c>
      <c r="I52" s="171">
        <v>0</v>
      </c>
      <c r="J52" s="171">
        <v>47345.06</v>
      </c>
      <c r="K52" s="171">
        <v>0</v>
      </c>
      <c r="L52" s="171">
        <v>0</v>
      </c>
    </row>
    <row r="53" spans="1:12" x14ac:dyDescent="0.25">
      <c r="A53" s="57" t="s">
        <v>209</v>
      </c>
      <c r="B53" s="2" t="s">
        <v>922</v>
      </c>
      <c r="C53" s="171">
        <v>0</v>
      </c>
      <c r="D53" s="171">
        <v>290.55</v>
      </c>
      <c r="E53" s="157">
        <v>0</v>
      </c>
      <c r="F53" s="157">
        <v>0</v>
      </c>
      <c r="G53" s="157">
        <v>0</v>
      </c>
      <c r="H53" s="157">
        <v>0</v>
      </c>
      <c r="I53" s="157">
        <v>0</v>
      </c>
      <c r="J53" s="157">
        <v>0</v>
      </c>
      <c r="K53" s="171">
        <v>0</v>
      </c>
      <c r="L53" s="171">
        <v>290.55</v>
      </c>
    </row>
    <row r="54" spans="1:12" x14ac:dyDescent="0.25">
      <c r="A54" s="57" t="s">
        <v>115</v>
      </c>
      <c r="B54" s="2" t="s">
        <v>26</v>
      </c>
      <c r="C54" s="171">
        <v>0</v>
      </c>
      <c r="D54" s="171">
        <v>0</v>
      </c>
      <c r="E54" s="171">
        <v>7172.47</v>
      </c>
      <c r="F54" s="157">
        <v>0</v>
      </c>
      <c r="G54" s="157">
        <v>0</v>
      </c>
      <c r="H54" s="157">
        <v>0</v>
      </c>
      <c r="I54" s="171">
        <v>7172.47</v>
      </c>
      <c r="J54" s="157">
        <v>0</v>
      </c>
      <c r="K54" s="171">
        <v>7172.47</v>
      </c>
      <c r="L54" s="171">
        <v>0</v>
      </c>
    </row>
    <row r="55" spans="1:12" x14ac:dyDescent="0.25">
      <c r="A55" s="57" t="s">
        <v>1071</v>
      </c>
      <c r="B55" s="2" t="s">
        <v>192</v>
      </c>
      <c r="C55" s="171">
        <v>0</v>
      </c>
      <c r="D55" s="171">
        <v>0</v>
      </c>
      <c r="E55" s="171">
        <v>16.59</v>
      </c>
      <c r="F55" s="157">
        <v>0</v>
      </c>
      <c r="G55" s="157">
        <v>0</v>
      </c>
      <c r="H55" s="157">
        <v>0</v>
      </c>
      <c r="I55" s="171">
        <v>16.59</v>
      </c>
      <c r="J55" s="157">
        <v>0</v>
      </c>
      <c r="K55" s="171">
        <v>16.59</v>
      </c>
      <c r="L55" s="171">
        <v>0</v>
      </c>
    </row>
    <row r="56" spans="1:12" x14ac:dyDescent="0.25">
      <c r="A56" s="57" t="s">
        <v>575</v>
      </c>
      <c r="B56" s="2" t="s">
        <v>982</v>
      </c>
      <c r="C56" s="171">
        <v>0</v>
      </c>
      <c r="D56" s="171">
        <v>0</v>
      </c>
      <c r="E56" s="171">
        <v>11499.77</v>
      </c>
      <c r="F56" s="157">
        <v>0</v>
      </c>
      <c r="G56" s="157">
        <v>0</v>
      </c>
      <c r="H56" s="157">
        <v>0</v>
      </c>
      <c r="I56" s="171">
        <v>11499.77</v>
      </c>
      <c r="J56" s="157">
        <v>0</v>
      </c>
      <c r="K56" s="171">
        <v>11499.77</v>
      </c>
      <c r="L56" s="171">
        <v>0</v>
      </c>
    </row>
    <row r="57" spans="1:12" x14ac:dyDescent="0.25">
      <c r="A57" s="57" t="s">
        <v>636</v>
      </c>
      <c r="B57" s="2" t="s">
        <v>556</v>
      </c>
      <c r="C57" s="171">
        <v>0</v>
      </c>
      <c r="D57" s="171">
        <v>0</v>
      </c>
      <c r="E57" s="171">
        <v>39325</v>
      </c>
      <c r="F57" s="157">
        <v>0</v>
      </c>
      <c r="G57" s="171">
        <v>3575</v>
      </c>
      <c r="H57" s="157">
        <v>0</v>
      </c>
      <c r="I57" s="171">
        <v>42900</v>
      </c>
      <c r="J57" s="157">
        <v>0</v>
      </c>
      <c r="K57" s="171">
        <v>42900</v>
      </c>
      <c r="L57" s="171">
        <v>0</v>
      </c>
    </row>
    <row r="58" spans="1:12" x14ac:dyDescent="0.25">
      <c r="A58" s="57" t="s">
        <v>220</v>
      </c>
      <c r="B58" s="2" t="s">
        <v>7</v>
      </c>
      <c r="C58" s="171">
        <v>0</v>
      </c>
      <c r="D58" s="171">
        <v>0</v>
      </c>
      <c r="E58" s="171">
        <v>146</v>
      </c>
      <c r="F58" s="157">
        <v>0</v>
      </c>
      <c r="G58" s="171">
        <v>13</v>
      </c>
      <c r="H58" s="157">
        <v>0</v>
      </c>
      <c r="I58" s="171">
        <v>159</v>
      </c>
      <c r="J58" s="157">
        <v>0</v>
      </c>
      <c r="K58" s="171">
        <v>159</v>
      </c>
      <c r="L58" s="171">
        <v>0</v>
      </c>
    </row>
    <row r="59" spans="1:12" x14ac:dyDescent="0.25">
      <c r="A59" s="57" t="s">
        <v>891</v>
      </c>
      <c r="B59" s="2" t="s">
        <v>448</v>
      </c>
      <c r="C59" s="157">
        <v>0</v>
      </c>
      <c r="D59" s="157">
        <v>0</v>
      </c>
      <c r="E59" s="157">
        <v>0</v>
      </c>
      <c r="F59" s="157">
        <v>0</v>
      </c>
      <c r="G59" s="157">
        <v>0</v>
      </c>
      <c r="H59" s="171">
        <v>3109.99</v>
      </c>
      <c r="I59" s="157">
        <v>0</v>
      </c>
      <c r="J59" s="171">
        <v>3109.99</v>
      </c>
      <c r="K59" s="171">
        <v>0</v>
      </c>
      <c r="L59" s="171">
        <v>3109.99</v>
      </c>
    </row>
    <row r="60" spans="1:12" x14ac:dyDescent="0.25">
      <c r="A60" s="57" t="s">
        <v>285</v>
      </c>
      <c r="B60" s="2" t="s">
        <v>667</v>
      </c>
      <c r="C60" s="171">
        <v>0</v>
      </c>
      <c r="D60" s="171">
        <v>0</v>
      </c>
      <c r="E60" s="157">
        <v>0</v>
      </c>
      <c r="F60" s="157">
        <v>0</v>
      </c>
      <c r="G60" s="157">
        <v>0</v>
      </c>
      <c r="H60" s="157">
        <v>0</v>
      </c>
      <c r="I60" s="171">
        <v>5625149.25</v>
      </c>
      <c r="J60" s="171">
        <v>5625149.25</v>
      </c>
      <c r="K60" s="171">
        <v>0</v>
      </c>
      <c r="L60" s="171">
        <v>0</v>
      </c>
    </row>
    <row r="61" spans="1:12" x14ac:dyDescent="0.25">
      <c r="A61" s="57" t="s">
        <v>93</v>
      </c>
      <c r="B61" s="2" t="s">
        <v>958</v>
      </c>
      <c r="C61" s="157">
        <v>0</v>
      </c>
      <c r="D61" s="157">
        <v>0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339</v>
      </c>
      <c r="B1" s="11" t="s">
        <v>1073</v>
      </c>
      <c r="C1" s="152" t="s">
        <v>686</v>
      </c>
      <c r="D1" s="152" t="s">
        <v>853</v>
      </c>
      <c r="E1" s="152" t="s">
        <v>369</v>
      </c>
      <c r="F1" s="152" t="s">
        <v>651</v>
      </c>
      <c r="G1" s="152" t="s">
        <v>327</v>
      </c>
      <c r="H1" s="152" t="s">
        <v>586</v>
      </c>
      <c r="I1" s="152" t="s">
        <v>609</v>
      </c>
      <c r="J1" s="152" t="s">
        <v>587</v>
      </c>
      <c r="K1" s="152" t="s">
        <v>888</v>
      </c>
      <c r="L1" s="152" t="s">
        <v>174</v>
      </c>
    </row>
    <row r="2" spans="1:12" x14ac:dyDescent="0.25">
      <c r="A2" s="214" t="s">
        <v>12</v>
      </c>
      <c r="B2" s="100" t="s">
        <v>430</v>
      </c>
      <c r="C2" s="140">
        <v>2611209.4700000002</v>
      </c>
      <c r="D2" s="140">
        <v>0</v>
      </c>
      <c r="E2" s="140">
        <v>0</v>
      </c>
      <c r="F2" s="140">
        <v>0</v>
      </c>
      <c r="G2" s="140">
        <v>0</v>
      </c>
      <c r="H2" s="140">
        <v>0</v>
      </c>
      <c r="I2" s="140">
        <v>0</v>
      </c>
      <c r="J2" s="140">
        <v>0</v>
      </c>
      <c r="K2" s="140">
        <v>2611209.4700000002</v>
      </c>
      <c r="L2" s="140">
        <v>0</v>
      </c>
    </row>
    <row r="3" spans="1:12" x14ac:dyDescent="0.25">
      <c r="A3" s="214" t="s">
        <v>834</v>
      </c>
      <c r="B3" s="100" t="s">
        <v>815</v>
      </c>
      <c r="C3" s="140">
        <v>447798.19</v>
      </c>
      <c r="D3" s="140">
        <v>0</v>
      </c>
      <c r="E3" s="140">
        <v>0</v>
      </c>
      <c r="F3" s="140">
        <v>0</v>
      </c>
      <c r="G3" s="140">
        <v>0</v>
      </c>
      <c r="H3" s="140">
        <v>0</v>
      </c>
      <c r="I3" s="140">
        <v>0</v>
      </c>
      <c r="J3" s="140">
        <v>0</v>
      </c>
      <c r="K3" s="140">
        <v>447798.19</v>
      </c>
      <c r="L3" s="140">
        <v>0</v>
      </c>
    </row>
    <row r="4" spans="1:12" x14ac:dyDescent="0.25">
      <c r="A4" s="214" t="s">
        <v>996</v>
      </c>
      <c r="B4" s="100" t="s">
        <v>907</v>
      </c>
      <c r="C4" s="140">
        <v>203519.17</v>
      </c>
      <c r="D4" s="140">
        <v>0</v>
      </c>
      <c r="E4" s="140">
        <v>0</v>
      </c>
      <c r="F4" s="140">
        <v>0</v>
      </c>
      <c r="G4" s="140">
        <v>0</v>
      </c>
      <c r="H4" s="140">
        <v>0</v>
      </c>
      <c r="I4" s="140">
        <v>0</v>
      </c>
      <c r="J4" s="140">
        <v>0</v>
      </c>
      <c r="K4" s="140">
        <v>203519.17</v>
      </c>
      <c r="L4" s="140">
        <v>0</v>
      </c>
    </row>
    <row r="5" spans="1:12" x14ac:dyDescent="0.25">
      <c r="A5" s="214" t="s">
        <v>330</v>
      </c>
      <c r="B5" s="100" t="s">
        <v>175</v>
      </c>
      <c r="C5" s="140">
        <v>7520.08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7520.08</v>
      </c>
      <c r="L5" s="140">
        <v>0</v>
      </c>
    </row>
    <row r="6" spans="1:12" x14ac:dyDescent="0.25">
      <c r="A6" s="214" t="s">
        <v>547</v>
      </c>
      <c r="B6" s="100" t="s">
        <v>876</v>
      </c>
      <c r="C6" s="140">
        <v>139896.04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139896.04</v>
      </c>
      <c r="L6" s="140">
        <v>0</v>
      </c>
    </row>
    <row r="7" spans="1:12" x14ac:dyDescent="0.25">
      <c r="A7" s="214" t="s">
        <v>906</v>
      </c>
      <c r="B7" s="100" t="s">
        <v>710</v>
      </c>
      <c r="C7" s="140">
        <v>234635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234635</v>
      </c>
      <c r="L7" s="140">
        <v>0</v>
      </c>
    </row>
    <row r="8" spans="1:12" x14ac:dyDescent="0.25">
      <c r="A8" s="214" t="s">
        <v>689</v>
      </c>
      <c r="B8" s="100" t="s">
        <v>90</v>
      </c>
      <c r="C8" s="140">
        <v>0</v>
      </c>
      <c r="D8" s="140">
        <v>1330696.31</v>
      </c>
      <c r="E8" s="140">
        <v>0</v>
      </c>
      <c r="F8" s="140">
        <v>39325</v>
      </c>
      <c r="G8" s="140">
        <v>0</v>
      </c>
      <c r="H8" s="140">
        <v>3575</v>
      </c>
      <c r="I8" s="140">
        <v>0</v>
      </c>
      <c r="J8" s="140">
        <v>42900</v>
      </c>
      <c r="K8" s="140">
        <v>0</v>
      </c>
      <c r="L8" s="140">
        <v>1373596.31</v>
      </c>
    </row>
    <row r="9" spans="1:12" x14ac:dyDescent="0.25">
      <c r="A9" s="214" t="s">
        <v>1039</v>
      </c>
      <c r="B9" s="100" t="s">
        <v>729</v>
      </c>
      <c r="C9" s="140">
        <v>0</v>
      </c>
      <c r="D9" s="140">
        <v>447798.18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447798.18</v>
      </c>
    </row>
    <row r="10" spans="1:12" x14ac:dyDescent="0.25">
      <c r="A10" s="214" t="s">
        <v>136</v>
      </c>
      <c r="B10" s="100" t="s">
        <v>202</v>
      </c>
      <c r="C10" s="140">
        <v>17598.8</v>
      </c>
      <c r="D10" s="140">
        <v>0</v>
      </c>
      <c r="E10" s="140">
        <v>10000</v>
      </c>
      <c r="F10" s="140">
        <v>0</v>
      </c>
      <c r="G10" s="140">
        <v>0</v>
      </c>
      <c r="H10" s="140">
        <v>0</v>
      </c>
      <c r="I10" s="140">
        <v>10000</v>
      </c>
      <c r="J10" s="140">
        <v>0</v>
      </c>
      <c r="K10" s="140">
        <v>27598.799999999999</v>
      </c>
      <c r="L10" s="140">
        <v>0</v>
      </c>
    </row>
    <row r="11" spans="1:12" x14ac:dyDescent="0.25">
      <c r="A11" s="214" t="s">
        <v>569</v>
      </c>
      <c r="B11" s="100" t="s">
        <v>550</v>
      </c>
      <c r="C11" s="140">
        <v>13039.66</v>
      </c>
      <c r="D11" s="140">
        <v>0</v>
      </c>
      <c r="E11" s="140">
        <v>247216.09</v>
      </c>
      <c r="F11" s="140">
        <v>123867.33</v>
      </c>
      <c r="G11" s="140">
        <v>0</v>
      </c>
      <c r="H11" s="140">
        <v>1564.08</v>
      </c>
      <c r="I11" s="140">
        <v>247216.09</v>
      </c>
      <c r="J11" s="140">
        <v>125431.41</v>
      </c>
      <c r="K11" s="140">
        <v>134824.34</v>
      </c>
      <c r="L11" s="140">
        <v>0</v>
      </c>
    </row>
    <row r="12" spans="1:12" x14ac:dyDescent="0.25">
      <c r="A12" s="214" t="s">
        <v>493</v>
      </c>
      <c r="B12" s="100" t="s">
        <v>454</v>
      </c>
      <c r="C12" s="140">
        <v>0</v>
      </c>
      <c r="D12" s="140">
        <v>0</v>
      </c>
      <c r="E12" s="140">
        <v>10174.61</v>
      </c>
      <c r="F12" s="140">
        <v>10000</v>
      </c>
      <c r="G12" s="140">
        <v>0</v>
      </c>
      <c r="H12" s="140">
        <v>0</v>
      </c>
      <c r="I12" s="140">
        <v>10174.61</v>
      </c>
      <c r="J12" s="140">
        <v>10000</v>
      </c>
      <c r="K12" s="140">
        <v>174.61</v>
      </c>
      <c r="L12" s="140">
        <v>0</v>
      </c>
    </row>
    <row r="13" spans="1:12" x14ac:dyDescent="0.25">
      <c r="A13" s="214" t="s">
        <v>753</v>
      </c>
      <c r="B13" s="100" t="s">
        <v>92</v>
      </c>
      <c r="C13" s="140">
        <v>0</v>
      </c>
      <c r="D13" s="140">
        <v>0</v>
      </c>
      <c r="E13" s="140">
        <v>0</v>
      </c>
      <c r="F13" s="140">
        <v>174.61</v>
      </c>
      <c r="G13" s="140">
        <v>0</v>
      </c>
      <c r="H13" s="140">
        <v>0</v>
      </c>
      <c r="I13" s="140">
        <v>0</v>
      </c>
      <c r="J13" s="140">
        <v>174.61</v>
      </c>
      <c r="K13" s="140">
        <v>0</v>
      </c>
      <c r="L13" s="140">
        <v>174.61</v>
      </c>
    </row>
    <row r="14" spans="1:12" x14ac:dyDescent="0.25">
      <c r="A14" s="214" t="s">
        <v>250</v>
      </c>
      <c r="B14" s="100" t="s">
        <v>317</v>
      </c>
      <c r="C14" s="140">
        <v>531536.24</v>
      </c>
      <c r="D14" s="140">
        <v>0</v>
      </c>
      <c r="E14" s="140">
        <v>0</v>
      </c>
      <c r="F14" s="140">
        <v>9948.2099999999991</v>
      </c>
      <c r="G14" s="140">
        <v>0</v>
      </c>
      <c r="H14" s="140">
        <v>0</v>
      </c>
      <c r="I14" s="140">
        <v>0</v>
      </c>
      <c r="J14" s="140">
        <v>9948.2099999999991</v>
      </c>
      <c r="K14" s="140">
        <v>521588.03</v>
      </c>
      <c r="L14" s="140">
        <v>0</v>
      </c>
    </row>
    <row r="15" spans="1:12" x14ac:dyDescent="0.25">
      <c r="A15" s="214" t="s">
        <v>936</v>
      </c>
      <c r="B15" s="100" t="s">
        <v>291</v>
      </c>
      <c r="C15" s="140">
        <v>0</v>
      </c>
      <c r="D15" s="140">
        <v>6826.89</v>
      </c>
      <c r="E15" s="140">
        <v>204.65</v>
      </c>
      <c r="F15" s="140">
        <v>0</v>
      </c>
      <c r="G15" s="140">
        <v>0</v>
      </c>
      <c r="H15" s="140">
        <v>0</v>
      </c>
      <c r="I15" s="140">
        <v>204.65</v>
      </c>
      <c r="J15" s="140">
        <v>0</v>
      </c>
      <c r="K15" s="140">
        <v>0</v>
      </c>
      <c r="L15" s="140">
        <v>6622.24</v>
      </c>
    </row>
    <row r="16" spans="1:12" x14ac:dyDescent="0.25">
      <c r="A16" s="214" t="s">
        <v>260</v>
      </c>
      <c r="B16" s="100" t="s">
        <v>971</v>
      </c>
      <c r="C16" s="140">
        <v>745.89</v>
      </c>
      <c r="D16" s="140">
        <v>0</v>
      </c>
      <c r="E16" s="140">
        <v>0</v>
      </c>
      <c r="F16" s="140">
        <v>8.4600000000000009</v>
      </c>
      <c r="G16" s="140">
        <v>0</v>
      </c>
      <c r="H16" s="140">
        <v>0</v>
      </c>
      <c r="I16" s="140">
        <v>0</v>
      </c>
      <c r="J16" s="140">
        <v>8.4600000000000009</v>
      </c>
      <c r="K16" s="140">
        <v>737.43</v>
      </c>
      <c r="L16" s="140">
        <v>0</v>
      </c>
    </row>
    <row r="17" spans="1:12" x14ac:dyDescent="0.25">
      <c r="A17" s="214" t="s">
        <v>613</v>
      </c>
      <c r="B17" s="100" t="s">
        <v>192</v>
      </c>
      <c r="C17" s="140">
        <v>0</v>
      </c>
      <c r="D17" s="140">
        <v>0</v>
      </c>
      <c r="E17" s="140">
        <v>7172.47</v>
      </c>
      <c r="F17" s="140">
        <v>7172.47</v>
      </c>
      <c r="G17" s="140">
        <v>0</v>
      </c>
      <c r="H17" s="140">
        <v>0</v>
      </c>
      <c r="I17" s="140">
        <v>7172.47</v>
      </c>
      <c r="J17" s="140">
        <v>7172.47</v>
      </c>
      <c r="K17" s="140">
        <v>0</v>
      </c>
      <c r="L17" s="140">
        <v>0</v>
      </c>
    </row>
    <row r="18" spans="1:12" x14ac:dyDescent="0.25">
      <c r="A18" s="214" t="s">
        <v>312</v>
      </c>
      <c r="B18" s="100" t="s">
        <v>1082</v>
      </c>
      <c r="C18" s="140">
        <v>588809.68000000005</v>
      </c>
      <c r="D18" s="140">
        <v>0</v>
      </c>
      <c r="E18" s="140">
        <v>30000</v>
      </c>
      <c r="F18" s="140">
        <v>237084.81</v>
      </c>
      <c r="G18" s="140">
        <v>3109.99</v>
      </c>
      <c r="H18" s="140">
        <v>0</v>
      </c>
      <c r="I18" s="140">
        <v>33109.99</v>
      </c>
      <c r="J18" s="140">
        <v>237084.81</v>
      </c>
      <c r="K18" s="140">
        <v>384834.86</v>
      </c>
      <c r="L18" s="140">
        <v>0</v>
      </c>
    </row>
    <row r="19" spans="1:12" x14ac:dyDescent="0.25">
      <c r="A19" s="214" t="s">
        <v>127</v>
      </c>
      <c r="B19" s="100" t="s">
        <v>786</v>
      </c>
      <c r="C19" s="140">
        <v>0</v>
      </c>
      <c r="D19" s="140">
        <v>12851.08</v>
      </c>
      <c r="E19" s="140">
        <v>64653.24</v>
      </c>
      <c r="F19" s="140">
        <v>0</v>
      </c>
      <c r="G19" s="140">
        <v>1551.08</v>
      </c>
      <c r="H19" s="140">
        <v>0</v>
      </c>
      <c r="I19" s="140">
        <v>66204.320000000007</v>
      </c>
      <c r="J19" s="140">
        <v>0</v>
      </c>
      <c r="K19" s="140">
        <v>53353.24</v>
      </c>
      <c r="L19" s="140">
        <v>0</v>
      </c>
    </row>
    <row r="20" spans="1:12" x14ac:dyDescent="0.25">
      <c r="A20" s="214" t="s">
        <v>149</v>
      </c>
      <c r="B20" s="100" t="s">
        <v>1088</v>
      </c>
      <c r="C20" s="140">
        <v>1523.68</v>
      </c>
      <c r="D20" s="140">
        <v>0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1523.68</v>
      </c>
      <c r="L20" s="140">
        <v>0</v>
      </c>
    </row>
    <row r="21" spans="1:12" x14ac:dyDescent="0.25">
      <c r="A21" s="214" t="s">
        <v>1101</v>
      </c>
      <c r="B21" s="100" t="s">
        <v>82</v>
      </c>
      <c r="C21" s="140">
        <v>0</v>
      </c>
      <c r="D21" s="140">
        <v>112311.83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112311.83</v>
      </c>
    </row>
    <row r="22" spans="1:12" x14ac:dyDescent="0.25">
      <c r="A22" s="214" t="s">
        <v>1029</v>
      </c>
      <c r="B22" s="100" t="s">
        <v>322</v>
      </c>
      <c r="C22" s="140">
        <v>0</v>
      </c>
      <c r="D22" s="140">
        <v>1998275</v>
      </c>
      <c r="E22" s="140">
        <v>0</v>
      </c>
      <c r="F22" s="140">
        <v>0</v>
      </c>
      <c r="G22" s="140">
        <v>199164</v>
      </c>
      <c r="H22" s="140">
        <v>199164</v>
      </c>
      <c r="I22" s="140">
        <v>199164</v>
      </c>
      <c r="J22" s="140">
        <v>199164</v>
      </c>
      <c r="K22" s="140">
        <v>0</v>
      </c>
      <c r="L22" s="140">
        <v>1998275</v>
      </c>
    </row>
    <row r="23" spans="1:12" x14ac:dyDescent="0.25">
      <c r="A23" s="214" t="s">
        <v>76</v>
      </c>
      <c r="B23" s="100" t="s">
        <v>341</v>
      </c>
      <c r="C23" s="140">
        <v>0</v>
      </c>
      <c r="D23" s="140">
        <v>19970.919999999998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  <c r="L23" s="140">
        <v>19970.919999999998</v>
      </c>
    </row>
    <row r="24" spans="1:12" x14ac:dyDescent="0.25">
      <c r="A24" s="214" t="s">
        <v>742</v>
      </c>
      <c r="B24" s="100" t="s">
        <v>618</v>
      </c>
      <c r="C24" s="140">
        <v>0</v>
      </c>
      <c r="D24" s="140">
        <v>1696128.49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1696128.49</v>
      </c>
    </row>
    <row r="25" spans="1:12" x14ac:dyDescent="0.25">
      <c r="A25" s="214" t="s">
        <v>1075</v>
      </c>
      <c r="B25" s="100" t="s">
        <v>80</v>
      </c>
      <c r="C25" s="140">
        <v>779972.29</v>
      </c>
      <c r="D25" s="140">
        <v>0</v>
      </c>
      <c r="E25" s="140">
        <v>47345.06</v>
      </c>
      <c r="F25" s="140">
        <v>0</v>
      </c>
      <c r="G25" s="140">
        <v>0</v>
      </c>
      <c r="H25" s="140">
        <v>0</v>
      </c>
      <c r="I25" s="140">
        <v>47345.06</v>
      </c>
      <c r="J25" s="140">
        <v>0</v>
      </c>
      <c r="K25" s="140">
        <v>827317.35</v>
      </c>
      <c r="L25" s="140">
        <v>0</v>
      </c>
    </row>
    <row r="26" spans="1:12" x14ac:dyDescent="0.25">
      <c r="A26" s="214" t="s">
        <v>914</v>
      </c>
      <c r="B26" s="100" t="s">
        <v>478</v>
      </c>
      <c r="C26" s="140">
        <v>47345.06</v>
      </c>
      <c r="D26" s="140">
        <v>0</v>
      </c>
      <c r="E26" s="140">
        <v>0</v>
      </c>
      <c r="F26" s="140">
        <v>47345.06</v>
      </c>
      <c r="G26" s="140">
        <v>0</v>
      </c>
      <c r="H26" s="140">
        <v>0</v>
      </c>
      <c r="I26" s="140">
        <v>0</v>
      </c>
      <c r="J26" s="140">
        <v>47345.06</v>
      </c>
      <c r="K26" s="140">
        <v>0</v>
      </c>
      <c r="L26" s="140">
        <v>0</v>
      </c>
    </row>
    <row r="27" spans="1:12" x14ac:dyDescent="0.25">
      <c r="A27" s="214" t="s">
        <v>619</v>
      </c>
      <c r="B27" s="100" t="s">
        <v>922</v>
      </c>
      <c r="C27" s="140">
        <v>0</v>
      </c>
      <c r="D27" s="140">
        <v>290.55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290.55</v>
      </c>
    </row>
    <row r="28" spans="1:12" x14ac:dyDescent="0.25">
      <c r="A28" s="214" t="s">
        <v>760</v>
      </c>
      <c r="B28" s="100" t="s">
        <v>26</v>
      </c>
      <c r="C28" s="140">
        <v>0</v>
      </c>
      <c r="D28" s="140">
        <v>0</v>
      </c>
      <c r="E28" s="140">
        <v>7172.47</v>
      </c>
      <c r="F28" s="140">
        <v>0</v>
      </c>
      <c r="G28" s="140">
        <v>0</v>
      </c>
      <c r="H28" s="140">
        <v>0</v>
      </c>
      <c r="I28" s="140">
        <v>7172.47</v>
      </c>
      <c r="J28" s="140">
        <v>0</v>
      </c>
      <c r="K28" s="140">
        <v>7172.47</v>
      </c>
      <c r="L28" s="140">
        <v>0</v>
      </c>
    </row>
    <row r="29" spans="1:12" x14ac:dyDescent="0.25">
      <c r="A29" s="214" t="s">
        <v>818</v>
      </c>
      <c r="B29" s="100" t="s">
        <v>192</v>
      </c>
      <c r="C29" s="140">
        <v>0</v>
      </c>
      <c r="D29" s="140">
        <v>0</v>
      </c>
      <c r="E29" s="140">
        <v>16.59</v>
      </c>
      <c r="F29" s="140">
        <v>0</v>
      </c>
      <c r="G29" s="140">
        <v>0</v>
      </c>
      <c r="H29" s="140">
        <v>0</v>
      </c>
      <c r="I29" s="140">
        <v>16.59</v>
      </c>
      <c r="J29" s="140">
        <v>0</v>
      </c>
      <c r="K29" s="140">
        <v>16.59</v>
      </c>
      <c r="L29" s="140">
        <v>0</v>
      </c>
    </row>
    <row r="30" spans="1:12" x14ac:dyDescent="0.25">
      <c r="A30" s="214" t="s">
        <v>271</v>
      </c>
      <c r="B30" s="100" t="s">
        <v>1085</v>
      </c>
      <c r="C30" s="140">
        <v>0</v>
      </c>
      <c r="D30" s="140">
        <v>0</v>
      </c>
      <c r="E30" s="140">
        <v>11499.77</v>
      </c>
      <c r="F30" s="140">
        <v>0</v>
      </c>
      <c r="G30" s="140">
        <v>0</v>
      </c>
      <c r="H30" s="140">
        <v>0</v>
      </c>
      <c r="I30" s="140">
        <v>11499.77</v>
      </c>
      <c r="J30" s="140">
        <v>0</v>
      </c>
      <c r="K30" s="140">
        <v>11499.77</v>
      </c>
      <c r="L30" s="140">
        <v>0</v>
      </c>
    </row>
    <row r="31" spans="1:12" x14ac:dyDescent="0.25">
      <c r="A31" s="214" t="s">
        <v>255</v>
      </c>
      <c r="B31" s="100" t="s">
        <v>407</v>
      </c>
      <c r="C31" s="140">
        <v>0</v>
      </c>
      <c r="D31" s="140">
        <v>0</v>
      </c>
      <c r="E31" s="140">
        <v>39325</v>
      </c>
      <c r="F31" s="140">
        <v>0</v>
      </c>
      <c r="G31" s="140">
        <v>3575</v>
      </c>
      <c r="H31" s="140">
        <v>0</v>
      </c>
      <c r="I31" s="140">
        <v>42900</v>
      </c>
      <c r="J31" s="140">
        <v>0</v>
      </c>
      <c r="K31" s="140">
        <v>42900</v>
      </c>
      <c r="L31" s="140">
        <v>0</v>
      </c>
    </row>
    <row r="32" spans="1:12" x14ac:dyDescent="0.25">
      <c r="A32" s="214" t="s">
        <v>439</v>
      </c>
      <c r="B32" s="100" t="s">
        <v>737</v>
      </c>
      <c r="C32" s="140">
        <v>0</v>
      </c>
      <c r="D32" s="140">
        <v>0</v>
      </c>
      <c r="E32" s="140">
        <v>146</v>
      </c>
      <c r="F32" s="140">
        <v>0</v>
      </c>
      <c r="G32" s="140">
        <v>13</v>
      </c>
      <c r="H32" s="140">
        <v>0</v>
      </c>
      <c r="I32" s="140">
        <v>159</v>
      </c>
      <c r="J32" s="140">
        <v>0</v>
      </c>
      <c r="K32" s="140">
        <v>159</v>
      </c>
      <c r="L32" s="140">
        <v>0</v>
      </c>
    </row>
    <row r="33" spans="1:12" x14ac:dyDescent="0.25">
      <c r="A33" s="214" t="s">
        <v>329</v>
      </c>
      <c r="B33" s="100" t="s">
        <v>554</v>
      </c>
      <c r="C33" s="131">
        <v>0</v>
      </c>
      <c r="D33" s="131">
        <v>0</v>
      </c>
      <c r="E33" s="131">
        <v>0</v>
      </c>
      <c r="F33" s="131">
        <v>0</v>
      </c>
      <c r="G33" s="131">
        <v>0</v>
      </c>
      <c r="H33" s="140">
        <v>3109.99</v>
      </c>
      <c r="I33" s="131">
        <v>0</v>
      </c>
      <c r="J33" s="140">
        <v>3109.99</v>
      </c>
      <c r="K33" s="140">
        <v>0</v>
      </c>
      <c r="L33" s="140">
        <v>3109.99</v>
      </c>
    </row>
    <row r="34" spans="1:12" x14ac:dyDescent="0.25">
      <c r="A34" s="214" t="s">
        <v>239</v>
      </c>
      <c r="B34" s="100" t="s">
        <v>667</v>
      </c>
      <c r="C34" s="140">
        <v>0</v>
      </c>
      <c r="D34" s="140">
        <v>0</v>
      </c>
      <c r="E34" s="140">
        <v>0</v>
      </c>
      <c r="F34" s="140">
        <v>0</v>
      </c>
      <c r="G34" s="140">
        <v>0</v>
      </c>
      <c r="H34" s="140">
        <v>0</v>
      </c>
      <c r="I34" s="140">
        <v>5625149.25</v>
      </c>
      <c r="J34" s="140">
        <v>5625149.25</v>
      </c>
      <c r="K34" s="140">
        <v>0</v>
      </c>
      <c r="L34" s="140">
        <v>0</v>
      </c>
    </row>
    <row r="35" spans="1:12" x14ac:dyDescent="0.25">
      <c r="A35" s="214" t="s">
        <v>111</v>
      </c>
      <c r="B35" s="100" t="s">
        <v>958</v>
      </c>
      <c r="C35" s="131">
        <v>0</v>
      </c>
      <c r="D35" s="131">
        <v>0</v>
      </c>
      <c r="E35" s="131">
        <v>0</v>
      </c>
      <c r="F35" s="131">
        <v>0</v>
      </c>
      <c r="G35" s="131">
        <v>0</v>
      </c>
      <c r="H35" s="131">
        <v>0</v>
      </c>
      <c r="I35" s="131">
        <v>0</v>
      </c>
      <c r="J35" s="131">
        <v>0</v>
      </c>
      <c r="K35" s="131">
        <v>0</v>
      </c>
      <c r="L35" s="131">
        <v>0</v>
      </c>
    </row>
    <row r="36" spans="1:12" x14ac:dyDescent="0.25">
      <c r="A36" s="214"/>
      <c r="B36" s="100"/>
      <c r="C36" s="131"/>
      <c r="D36" s="131"/>
      <c r="E36" s="131"/>
      <c r="F36" s="131"/>
      <c r="G36" s="131"/>
      <c r="H36" s="131"/>
      <c r="I36" s="131"/>
      <c r="J36" s="131"/>
      <c r="K36" s="131"/>
      <c r="L36" s="131"/>
    </row>
    <row r="37" spans="1:12" x14ac:dyDescent="0.25">
      <c r="A37" s="214"/>
      <c r="B37" s="100"/>
      <c r="C37" s="131"/>
      <c r="D37" s="131"/>
      <c r="E37" s="131"/>
      <c r="F37" s="131"/>
      <c r="G37" s="131"/>
      <c r="H37" s="131"/>
      <c r="I37" s="131"/>
      <c r="J37" s="131"/>
      <c r="K37" s="131"/>
      <c r="L37" s="131"/>
    </row>
    <row r="38" spans="1:12" x14ac:dyDescent="0.25">
      <c r="A38" s="214"/>
      <c r="B38" s="100"/>
      <c r="C38" s="131"/>
      <c r="D38" s="131"/>
      <c r="E38" s="131"/>
      <c r="F38" s="131"/>
      <c r="G38" s="131"/>
      <c r="H38" s="131"/>
      <c r="I38" s="131"/>
      <c r="J38" s="131"/>
      <c r="K38" s="131"/>
      <c r="L38" s="131"/>
    </row>
    <row r="39" spans="1:12" x14ac:dyDescent="0.25">
      <c r="A39" s="214"/>
      <c r="B39" s="100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2" x14ac:dyDescent="0.25">
      <c r="A40" s="214"/>
      <c r="B40" s="100"/>
      <c r="C40" s="131"/>
      <c r="D40" s="131"/>
      <c r="E40" s="131"/>
      <c r="F40" s="131"/>
      <c r="G40" s="131"/>
      <c r="H40" s="131"/>
      <c r="I40" s="131"/>
      <c r="J40" s="131"/>
      <c r="K40" s="131"/>
      <c r="L40" s="131"/>
    </row>
    <row r="41" spans="1:12" x14ac:dyDescent="0.25">
      <c r="A41" s="214"/>
      <c r="B41" s="100"/>
      <c r="C41" s="131"/>
      <c r="D41" s="131"/>
      <c r="E41" s="131"/>
      <c r="F41" s="131"/>
      <c r="G41" s="131"/>
      <c r="H41" s="131"/>
      <c r="I41" s="131"/>
      <c r="J41" s="131"/>
      <c r="K41" s="131"/>
      <c r="L41" s="131"/>
    </row>
    <row r="42" spans="1:12" x14ac:dyDescent="0.25">
      <c r="A42" s="214"/>
      <c r="B42" s="100"/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12" x14ac:dyDescent="0.25">
      <c r="A43" s="214"/>
      <c r="B43" s="100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 x14ac:dyDescent="0.25">
      <c r="A44" s="214"/>
      <c r="B44" s="100"/>
      <c r="C44" s="131"/>
      <c r="D44" s="131"/>
      <c r="E44" s="131"/>
      <c r="F44" s="131"/>
      <c r="G44" s="131"/>
      <c r="H44" s="131"/>
      <c r="I44" s="131"/>
      <c r="J44" s="131"/>
      <c r="K44" s="131"/>
      <c r="L44" s="131"/>
    </row>
    <row r="45" spans="1:12" x14ac:dyDescent="0.25">
      <c r="A45" s="214"/>
      <c r="B45" s="100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86.140625" style="176" customWidth="1"/>
    <col min="3" max="3" width="4.42578125" style="82" customWidth="1"/>
    <col min="4" max="7" width="15.28515625" style="6" customWidth="1"/>
  </cols>
  <sheetData>
    <row r="1" spans="1:7" ht="33.75" x14ac:dyDescent="0.25">
      <c r="A1" s="11" t="s">
        <v>628</v>
      </c>
      <c r="B1" s="11" t="s">
        <v>680</v>
      </c>
      <c r="C1" s="51" t="s">
        <v>770</v>
      </c>
      <c r="D1" s="152" t="s">
        <v>991</v>
      </c>
      <c r="E1" s="152" t="s">
        <v>1080</v>
      </c>
      <c r="F1" s="152" t="s">
        <v>301</v>
      </c>
      <c r="G1" s="152" t="s">
        <v>442</v>
      </c>
    </row>
    <row r="2" spans="1:7" x14ac:dyDescent="0.25">
      <c r="A2" s="100" t="s">
        <v>1127</v>
      </c>
      <c r="B2" s="100" t="s">
        <v>515</v>
      </c>
      <c r="C2" s="214" t="s">
        <v>504</v>
      </c>
      <c r="D2" s="131">
        <v>0</v>
      </c>
      <c r="E2" s="140">
        <v>0</v>
      </c>
      <c r="F2" s="131">
        <v>0</v>
      </c>
      <c r="G2" s="140">
        <v>0</v>
      </c>
    </row>
    <row r="3" spans="1:7" x14ac:dyDescent="0.25">
      <c r="A3" s="100" t="s">
        <v>859</v>
      </c>
      <c r="B3" s="100" t="s">
        <v>88</v>
      </c>
      <c r="C3" s="214" t="s">
        <v>1031</v>
      </c>
      <c r="D3" s="140">
        <v>165184.81</v>
      </c>
      <c r="E3" s="140">
        <v>0</v>
      </c>
      <c r="F3" s="140">
        <v>165184.81</v>
      </c>
      <c r="G3" s="140">
        <v>0</v>
      </c>
    </row>
    <row r="4" spans="1:7" x14ac:dyDescent="0.25">
      <c r="A4" s="100" t="s">
        <v>402</v>
      </c>
      <c r="B4" s="100" t="s">
        <v>100</v>
      </c>
      <c r="C4" s="214" t="s">
        <v>483</v>
      </c>
      <c r="D4" s="131">
        <v>0</v>
      </c>
      <c r="E4" s="140">
        <v>0</v>
      </c>
      <c r="F4" s="131">
        <v>0</v>
      </c>
      <c r="G4" s="140">
        <v>0</v>
      </c>
    </row>
    <row r="5" spans="1:7" x14ac:dyDescent="0.25">
      <c r="A5" s="100" t="s">
        <v>505</v>
      </c>
      <c r="B5" s="100" t="s">
        <v>772</v>
      </c>
      <c r="C5" s="214" t="s">
        <v>56</v>
      </c>
      <c r="D5" s="131">
        <v>0</v>
      </c>
      <c r="E5" s="140">
        <v>0</v>
      </c>
      <c r="F5" s="131">
        <v>0</v>
      </c>
      <c r="G5" s="140">
        <v>0</v>
      </c>
    </row>
    <row r="6" spans="1:7" x14ac:dyDescent="0.25">
      <c r="A6" s="100" t="s">
        <v>408</v>
      </c>
      <c r="B6" s="100" t="s">
        <v>1100</v>
      </c>
      <c r="C6" s="214" t="s">
        <v>105</v>
      </c>
      <c r="D6" s="140">
        <v>158000</v>
      </c>
      <c r="E6" s="140">
        <v>0</v>
      </c>
      <c r="F6" s="140">
        <v>158000</v>
      </c>
      <c r="G6" s="140">
        <v>0</v>
      </c>
    </row>
    <row r="7" spans="1:7" x14ac:dyDescent="0.25">
      <c r="A7" s="100" t="s">
        <v>265</v>
      </c>
      <c r="B7" s="100" t="s">
        <v>349</v>
      </c>
      <c r="C7" s="214" t="s">
        <v>404</v>
      </c>
      <c r="D7" s="131">
        <v>0</v>
      </c>
      <c r="E7" s="140">
        <v>0</v>
      </c>
      <c r="F7" s="131">
        <v>0</v>
      </c>
      <c r="G7" s="140">
        <v>0</v>
      </c>
    </row>
    <row r="8" spans="1:7" x14ac:dyDescent="0.25">
      <c r="A8" s="100" t="s">
        <v>302</v>
      </c>
      <c r="B8" s="100" t="s">
        <v>699</v>
      </c>
      <c r="C8" s="214" t="s">
        <v>383</v>
      </c>
      <c r="D8" s="131">
        <v>0</v>
      </c>
      <c r="E8" s="140">
        <v>0</v>
      </c>
      <c r="F8" s="131">
        <v>0</v>
      </c>
      <c r="G8" s="140">
        <v>0</v>
      </c>
    </row>
    <row r="9" spans="1:7" x14ac:dyDescent="0.25">
      <c r="A9" s="100" t="s">
        <v>1123</v>
      </c>
      <c r="B9" s="100" t="s">
        <v>387</v>
      </c>
      <c r="C9" s="214" t="s">
        <v>472</v>
      </c>
      <c r="D9" s="131">
        <v>0</v>
      </c>
      <c r="E9" s="140">
        <v>0</v>
      </c>
      <c r="F9" s="131">
        <v>0</v>
      </c>
      <c r="G9" s="140">
        <v>0</v>
      </c>
    </row>
    <row r="10" spans="1:7" x14ac:dyDescent="0.25">
      <c r="A10" s="100" t="s">
        <v>446</v>
      </c>
      <c r="B10" s="100" t="s">
        <v>637</v>
      </c>
      <c r="C10" s="214" t="s">
        <v>497</v>
      </c>
      <c r="D10" s="140">
        <v>7184.81</v>
      </c>
      <c r="E10" s="140">
        <v>0</v>
      </c>
      <c r="F10" s="140">
        <v>7184.81</v>
      </c>
      <c r="G10" s="140">
        <v>0</v>
      </c>
    </row>
    <row r="11" spans="1:7" x14ac:dyDescent="0.25">
      <c r="A11" s="100" t="s">
        <v>859</v>
      </c>
      <c r="B11" s="100" t="s">
        <v>1118</v>
      </c>
      <c r="C11" s="214" t="s">
        <v>334</v>
      </c>
      <c r="D11" s="140">
        <v>186396.19</v>
      </c>
      <c r="E11" s="140">
        <v>61588.83</v>
      </c>
      <c r="F11" s="140">
        <v>186396.19</v>
      </c>
      <c r="G11" s="140">
        <v>61589</v>
      </c>
    </row>
    <row r="12" spans="1:7" x14ac:dyDescent="0.25">
      <c r="A12" s="100" t="s">
        <v>809</v>
      </c>
      <c r="B12" s="100" t="s">
        <v>595</v>
      </c>
      <c r="C12" s="214" t="s">
        <v>826</v>
      </c>
      <c r="D12" s="131">
        <v>0</v>
      </c>
      <c r="E12" s="140">
        <v>0</v>
      </c>
      <c r="F12" s="131">
        <v>0</v>
      </c>
      <c r="G12" s="140">
        <v>0</v>
      </c>
    </row>
    <row r="13" spans="1:7" x14ac:dyDescent="0.25">
      <c r="A13" s="100" t="s">
        <v>318</v>
      </c>
      <c r="B13" s="100" t="s">
        <v>614</v>
      </c>
      <c r="C13" s="214" t="s">
        <v>1113</v>
      </c>
      <c r="D13" s="140">
        <v>33000.81</v>
      </c>
      <c r="E13" s="140">
        <v>0</v>
      </c>
      <c r="F13" s="140">
        <v>33000.81</v>
      </c>
      <c r="G13" s="140">
        <v>0</v>
      </c>
    </row>
    <row r="14" spans="1:7" x14ac:dyDescent="0.25">
      <c r="A14" s="100" t="s">
        <v>304</v>
      </c>
      <c r="B14" s="100" t="s">
        <v>594</v>
      </c>
      <c r="C14" s="214" t="s">
        <v>377</v>
      </c>
      <c r="D14" s="131">
        <v>0</v>
      </c>
      <c r="E14" s="140">
        <v>0</v>
      </c>
      <c r="F14" s="131">
        <v>0</v>
      </c>
      <c r="G14" s="140">
        <v>0</v>
      </c>
    </row>
    <row r="15" spans="1:7" x14ac:dyDescent="0.25">
      <c r="A15" s="100" t="s">
        <v>160</v>
      </c>
      <c r="B15" s="100" t="s">
        <v>414</v>
      </c>
      <c r="C15" s="214" t="s">
        <v>1109</v>
      </c>
      <c r="D15" s="140">
        <v>69710.05</v>
      </c>
      <c r="E15" s="140">
        <v>0</v>
      </c>
      <c r="F15" s="140">
        <v>69710.05</v>
      </c>
      <c r="G15" s="140">
        <v>0</v>
      </c>
    </row>
    <row r="16" spans="1:7" x14ac:dyDescent="0.25">
      <c r="A16" s="100" t="s">
        <v>802</v>
      </c>
      <c r="B16" s="100" t="s">
        <v>673</v>
      </c>
      <c r="C16" s="214" t="s">
        <v>1086</v>
      </c>
      <c r="D16" s="131">
        <v>0</v>
      </c>
      <c r="E16" s="140">
        <v>0</v>
      </c>
      <c r="F16" s="131">
        <v>0</v>
      </c>
      <c r="G16" s="140">
        <v>0</v>
      </c>
    </row>
    <row r="17" spans="1:7" x14ac:dyDescent="0.25">
      <c r="A17" s="100" t="s">
        <v>820</v>
      </c>
      <c r="B17" s="100" t="s">
        <v>392</v>
      </c>
      <c r="C17" s="214" t="s">
        <v>366</v>
      </c>
      <c r="D17" s="131">
        <v>0</v>
      </c>
      <c r="E17" s="140">
        <v>0</v>
      </c>
      <c r="F17" s="131">
        <v>0</v>
      </c>
      <c r="G17" s="140">
        <v>0</v>
      </c>
    </row>
    <row r="18" spans="1:7" x14ac:dyDescent="0.25">
      <c r="A18" s="100" t="s">
        <v>884</v>
      </c>
      <c r="B18" s="100" t="s">
        <v>999</v>
      </c>
      <c r="C18" s="214" t="s">
        <v>764</v>
      </c>
      <c r="D18" s="131">
        <v>0</v>
      </c>
      <c r="E18" s="140">
        <v>0</v>
      </c>
      <c r="F18" s="131">
        <v>0</v>
      </c>
      <c r="G18" s="140">
        <v>0</v>
      </c>
    </row>
    <row r="19" spans="1:7" x14ac:dyDescent="0.25">
      <c r="A19" s="100" t="s">
        <v>204</v>
      </c>
      <c r="B19" s="100" t="s">
        <v>361</v>
      </c>
      <c r="C19" s="214" t="s">
        <v>1124</v>
      </c>
      <c r="D19" s="131">
        <v>0</v>
      </c>
      <c r="E19" s="140">
        <v>0</v>
      </c>
      <c r="F19" s="131">
        <v>0</v>
      </c>
      <c r="G19" s="140">
        <v>0</v>
      </c>
    </row>
    <row r="20" spans="1:7" x14ac:dyDescent="0.25">
      <c r="A20" s="100" t="s">
        <v>373</v>
      </c>
      <c r="B20" s="100" t="s">
        <v>276</v>
      </c>
      <c r="C20" s="214" t="s">
        <v>323</v>
      </c>
      <c r="D20" s="131">
        <v>0</v>
      </c>
      <c r="E20" s="140">
        <v>0</v>
      </c>
      <c r="F20" s="131">
        <v>0</v>
      </c>
      <c r="G20" s="140">
        <v>0</v>
      </c>
    </row>
    <row r="21" spans="1:7" x14ac:dyDescent="0.25">
      <c r="A21" s="100" t="s">
        <v>757</v>
      </c>
      <c r="B21" s="100" t="s">
        <v>69</v>
      </c>
      <c r="C21" s="214" t="s">
        <v>1027</v>
      </c>
      <c r="D21" s="140">
        <v>7231.76</v>
      </c>
      <c r="E21" s="140">
        <v>7189.06</v>
      </c>
      <c r="F21" s="140">
        <v>7231.76</v>
      </c>
      <c r="G21" s="140">
        <v>7189</v>
      </c>
    </row>
    <row r="22" spans="1:7" x14ac:dyDescent="0.25">
      <c r="A22" s="100" t="s">
        <v>793</v>
      </c>
      <c r="B22" s="100" t="s">
        <v>221</v>
      </c>
      <c r="C22" s="214" t="s">
        <v>474</v>
      </c>
      <c r="D22" s="140">
        <v>42900</v>
      </c>
      <c r="E22" s="140">
        <v>42900</v>
      </c>
      <c r="F22" s="140">
        <v>42900</v>
      </c>
      <c r="G22" s="140">
        <v>42900</v>
      </c>
    </row>
    <row r="23" spans="1:7" x14ac:dyDescent="0.25">
      <c r="A23" s="100" t="s">
        <v>994</v>
      </c>
      <c r="B23" s="100" t="s">
        <v>840</v>
      </c>
      <c r="C23" s="214" t="s">
        <v>1108</v>
      </c>
      <c r="D23" s="140">
        <v>42900</v>
      </c>
      <c r="E23" s="140">
        <v>42900</v>
      </c>
      <c r="F23" s="140">
        <v>42900</v>
      </c>
      <c r="G23" s="140">
        <v>42900</v>
      </c>
    </row>
    <row r="24" spans="1:7" x14ac:dyDescent="0.25">
      <c r="A24" s="100" t="s">
        <v>884</v>
      </c>
      <c r="B24" s="100" t="s">
        <v>362</v>
      </c>
      <c r="C24" s="214" t="s">
        <v>509</v>
      </c>
      <c r="D24" s="131">
        <v>0</v>
      </c>
      <c r="E24" s="140">
        <v>0</v>
      </c>
      <c r="F24" s="131">
        <v>0</v>
      </c>
      <c r="G24" s="140">
        <v>0</v>
      </c>
    </row>
    <row r="25" spans="1:7" x14ac:dyDescent="0.25">
      <c r="A25" s="100" t="s">
        <v>748</v>
      </c>
      <c r="B25" s="100" t="s">
        <v>177</v>
      </c>
      <c r="C25" s="214" t="s">
        <v>67</v>
      </c>
      <c r="D25" s="131">
        <v>0</v>
      </c>
      <c r="E25" s="140">
        <v>0</v>
      </c>
      <c r="F25" s="131">
        <v>0</v>
      </c>
      <c r="G25" s="140">
        <v>0</v>
      </c>
    </row>
    <row r="26" spans="1:7" x14ac:dyDescent="0.25">
      <c r="A26" s="100" t="s">
        <v>402</v>
      </c>
      <c r="B26" s="100" t="s">
        <v>969</v>
      </c>
      <c r="C26" s="214" t="s">
        <v>441</v>
      </c>
      <c r="D26" s="131">
        <v>0</v>
      </c>
      <c r="E26" s="140">
        <v>0</v>
      </c>
      <c r="F26" s="131">
        <v>0</v>
      </c>
      <c r="G26" s="140">
        <v>0</v>
      </c>
    </row>
    <row r="27" spans="1:7" x14ac:dyDescent="0.25">
      <c r="A27" s="100" t="s">
        <v>367</v>
      </c>
      <c r="B27" s="100" t="s">
        <v>536</v>
      </c>
      <c r="C27" s="214" t="s">
        <v>145</v>
      </c>
      <c r="D27" s="140">
        <v>33553.57</v>
      </c>
      <c r="E27" s="140">
        <v>11499.77</v>
      </c>
      <c r="F27" s="140">
        <v>33553.57</v>
      </c>
      <c r="G27" s="140">
        <v>11500</v>
      </c>
    </row>
    <row r="28" spans="1:7" x14ac:dyDescent="0.25">
      <c r="A28" s="100" t="s">
        <v>877</v>
      </c>
      <c r="B28" s="100" t="s">
        <v>130</v>
      </c>
      <c r="C28" s="214" t="s">
        <v>494</v>
      </c>
      <c r="D28" s="140">
        <v>-21211.38</v>
      </c>
      <c r="E28" s="140">
        <v>-61588.83</v>
      </c>
      <c r="F28" s="140">
        <v>-21211.38</v>
      </c>
      <c r="G28" s="140">
        <v>-61589</v>
      </c>
    </row>
    <row r="29" spans="1:7" x14ac:dyDescent="0.25">
      <c r="A29" s="100" t="s">
        <v>1127</v>
      </c>
      <c r="B29" s="100" t="s">
        <v>54</v>
      </c>
      <c r="C29" s="214" t="s">
        <v>393</v>
      </c>
      <c r="D29" s="140">
        <v>55289.14</v>
      </c>
      <c r="E29" s="140">
        <v>0</v>
      </c>
      <c r="F29" s="140">
        <v>55289.14</v>
      </c>
      <c r="G29" s="140">
        <v>0</v>
      </c>
    </row>
    <row r="30" spans="1:7" x14ac:dyDescent="0.25">
      <c r="A30" s="100" t="s">
        <v>859</v>
      </c>
      <c r="B30" s="100" t="s">
        <v>1045</v>
      </c>
      <c r="C30" s="214" t="s">
        <v>415</v>
      </c>
      <c r="D30" s="131">
        <v>0</v>
      </c>
      <c r="E30" s="140">
        <v>3109.99</v>
      </c>
      <c r="F30" s="131">
        <v>0</v>
      </c>
      <c r="G30" s="140">
        <v>3110</v>
      </c>
    </row>
    <row r="31" spans="1:7" x14ac:dyDescent="0.25">
      <c r="A31" s="100" t="s">
        <v>1120</v>
      </c>
      <c r="B31" s="100" t="s">
        <v>1104</v>
      </c>
      <c r="C31" s="214" t="s">
        <v>761</v>
      </c>
      <c r="D31" s="131">
        <v>0</v>
      </c>
      <c r="E31" s="140">
        <v>0</v>
      </c>
      <c r="F31" s="131">
        <v>0</v>
      </c>
      <c r="G31" s="140">
        <v>0</v>
      </c>
    </row>
    <row r="32" spans="1:7" x14ac:dyDescent="0.25">
      <c r="A32" s="100" t="s">
        <v>139</v>
      </c>
      <c r="B32" s="100" t="s">
        <v>375</v>
      </c>
      <c r="C32" s="214" t="s">
        <v>261</v>
      </c>
      <c r="D32" s="131">
        <v>0</v>
      </c>
      <c r="E32" s="140">
        <v>0</v>
      </c>
      <c r="F32" s="131">
        <v>0</v>
      </c>
      <c r="G32" s="140">
        <v>0</v>
      </c>
    </row>
    <row r="33" spans="1:7" x14ac:dyDescent="0.25">
      <c r="A33" s="100" t="s">
        <v>913</v>
      </c>
      <c r="B33" s="100" t="s">
        <v>1121</v>
      </c>
      <c r="C33" s="214" t="s">
        <v>502</v>
      </c>
      <c r="D33" s="131">
        <v>0</v>
      </c>
      <c r="E33" s="140">
        <v>0</v>
      </c>
      <c r="F33" s="131">
        <v>0</v>
      </c>
      <c r="G33" s="140">
        <v>0</v>
      </c>
    </row>
    <row r="34" spans="1:7" x14ac:dyDescent="0.25">
      <c r="A34" s="100" t="s">
        <v>884</v>
      </c>
      <c r="B34" s="100" t="s">
        <v>975</v>
      </c>
      <c r="C34" s="214" t="s">
        <v>300</v>
      </c>
      <c r="D34" s="131">
        <v>0</v>
      </c>
      <c r="E34" s="140">
        <v>0</v>
      </c>
      <c r="F34" s="131">
        <v>0</v>
      </c>
      <c r="G34" s="140">
        <v>0</v>
      </c>
    </row>
    <row r="35" spans="1:7" x14ac:dyDescent="0.25">
      <c r="A35" s="100" t="s">
        <v>204</v>
      </c>
      <c r="B35" s="100" t="s">
        <v>558</v>
      </c>
      <c r="C35" s="214" t="s">
        <v>648</v>
      </c>
      <c r="D35" s="131">
        <v>0</v>
      </c>
      <c r="E35" s="140">
        <v>0</v>
      </c>
      <c r="F35" s="131">
        <v>0</v>
      </c>
      <c r="G35" s="140">
        <v>0</v>
      </c>
    </row>
    <row r="36" spans="1:7" x14ac:dyDescent="0.25">
      <c r="A36" s="100" t="s">
        <v>152</v>
      </c>
      <c r="B36" s="100" t="s">
        <v>186</v>
      </c>
      <c r="C36" s="214" t="s">
        <v>933</v>
      </c>
      <c r="D36" s="131">
        <v>0</v>
      </c>
      <c r="E36" s="140">
        <v>0</v>
      </c>
      <c r="F36" s="131">
        <v>0</v>
      </c>
      <c r="G36" s="140">
        <v>0</v>
      </c>
    </row>
    <row r="37" spans="1:7" x14ac:dyDescent="0.25">
      <c r="A37" s="100" t="s">
        <v>692</v>
      </c>
      <c r="B37" s="100" t="s">
        <v>469</v>
      </c>
      <c r="C37" s="214" t="s">
        <v>198</v>
      </c>
      <c r="D37" s="131">
        <v>0</v>
      </c>
      <c r="E37" s="140">
        <v>0</v>
      </c>
      <c r="F37" s="131">
        <v>0</v>
      </c>
      <c r="G37" s="140">
        <v>0</v>
      </c>
    </row>
    <row r="38" spans="1:7" x14ac:dyDescent="0.25">
      <c r="A38" s="100" t="s">
        <v>884</v>
      </c>
      <c r="B38" s="100" t="s">
        <v>959</v>
      </c>
      <c r="C38" s="214" t="s">
        <v>97</v>
      </c>
      <c r="D38" s="131">
        <v>0</v>
      </c>
      <c r="E38" s="140">
        <v>0</v>
      </c>
      <c r="F38" s="131">
        <v>0</v>
      </c>
      <c r="G38" s="140">
        <v>0</v>
      </c>
    </row>
    <row r="39" spans="1:7" x14ac:dyDescent="0.25">
      <c r="A39" s="100" t="s">
        <v>204</v>
      </c>
      <c r="B39" s="100" t="s">
        <v>364</v>
      </c>
      <c r="C39" s="214" t="s">
        <v>262</v>
      </c>
      <c r="D39" s="131">
        <v>0</v>
      </c>
      <c r="E39" s="140">
        <v>0</v>
      </c>
      <c r="F39" s="131">
        <v>0</v>
      </c>
      <c r="G39" s="140">
        <v>0</v>
      </c>
    </row>
    <row r="40" spans="1:7" x14ac:dyDescent="0.25">
      <c r="A40" s="100" t="s">
        <v>583</v>
      </c>
      <c r="B40" s="100" t="s">
        <v>405</v>
      </c>
      <c r="C40" s="214" t="s">
        <v>862</v>
      </c>
      <c r="D40" s="131">
        <v>0</v>
      </c>
      <c r="E40" s="140">
        <v>3109.99</v>
      </c>
      <c r="F40" s="131">
        <v>0</v>
      </c>
      <c r="G40" s="140">
        <v>3110</v>
      </c>
    </row>
    <row r="41" spans="1:7" x14ac:dyDescent="0.25">
      <c r="A41" s="100" t="s">
        <v>460</v>
      </c>
      <c r="B41" s="100" t="s">
        <v>1016</v>
      </c>
      <c r="C41" s="214" t="s">
        <v>518</v>
      </c>
      <c r="D41" s="131">
        <v>0</v>
      </c>
      <c r="E41" s="140">
        <v>0</v>
      </c>
      <c r="F41" s="131">
        <v>0</v>
      </c>
      <c r="G41" s="140">
        <v>0</v>
      </c>
    </row>
    <row r="42" spans="1:7" x14ac:dyDescent="0.25">
      <c r="A42" s="100" t="s">
        <v>884</v>
      </c>
      <c r="B42" s="100" t="s">
        <v>777</v>
      </c>
      <c r="C42" s="214" t="s">
        <v>1068</v>
      </c>
      <c r="D42" s="131">
        <v>0</v>
      </c>
      <c r="E42" s="140">
        <v>3109.99</v>
      </c>
      <c r="F42" s="131">
        <v>0</v>
      </c>
      <c r="G42" s="140">
        <v>3110</v>
      </c>
    </row>
    <row r="43" spans="1:7" x14ac:dyDescent="0.25">
      <c r="A43" s="100" t="s">
        <v>623</v>
      </c>
      <c r="B43" s="100" t="s">
        <v>422</v>
      </c>
      <c r="C43" s="214" t="s">
        <v>944</v>
      </c>
      <c r="D43" s="131">
        <v>0</v>
      </c>
      <c r="E43" s="140">
        <v>0</v>
      </c>
      <c r="F43" s="131">
        <v>0</v>
      </c>
      <c r="G43" s="140">
        <v>0</v>
      </c>
    </row>
    <row r="44" spans="1:7" x14ac:dyDescent="0.25">
      <c r="A44" s="100" t="s">
        <v>992</v>
      </c>
      <c r="B44" s="100" t="s">
        <v>931</v>
      </c>
      <c r="C44" s="214" t="s">
        <v>337</v>
      </c>
      <c r="D44" s="131">
        <v>0</v>
      </c>
      <c r="E44" s="140">
        <v>0</v>
      </c>
      <c r="F44" s="131">
        <v>0</v>
      </c>
      <c r="G44" s="140">
        <v>0</v>
      </c>
    </row>
    <row r="45" spans="1:7" x14ac:dyDescent="0.25">
      <c r="A45" s="100" t="s">
        <v>184</v>
      </c>
      <c r="B45" s="100" t="s">
        <v>252</v>
      </c>
      <c r="C45" s="214" t="s">
        <v>915</v>
      </c>
      <c r="D45" s="131">
        <v>0</v>
      </c>
      <c r="E45" s="140">
        <v>0</v>
      </c>
      <c r="F45" s="131">
        <v>0</v>
      </c>
      <c r="G45" s="140">
        <v>0</v>
      </c>
    </row>
    <row r="46" spans="1:7" x14ac:dyDescent="0.25">
      <c r="A46" s="100" t="s">
        <v>859</v>
      </c>
      <c r="B46" s="100" t="s">
        <v>849</v>
      </c>
      <c r="C46" s="214" t="s">
        <v>543</v>
      </c>
      <c r="D46" s="140">
        <v>32297.89</v>
      </c>
      <c r="E46" s="140">
        <v>159</v>
      </c>
      <c r="F46" s="140">
        <v>32297.89</v>
      </c>
      <c r="G46" s="140">
        <v>159</v>
      </c>
    </row>
    <row r="47" spans="1:7" x14ac:dyDescent="0.25">
      <c r="A47" s="100" t="s">
        <v>305</v>
      </c>
      <c r="B47" s="100" t="s">
        <v>855</v>
      </c>
      <c r="C47" s="214" t="s">
        <v>43</v>
      </c>
      <c r="D47" s="131">
        <v>0</v>
      </c>
      <c r="E47" s="140">
        <v>0</v>
      </c>
      <c r="F47" s="131">
        <v>0</v>
      </c>
      <c r="G47" s="140">
        <v>0</v>
      </c>
    </row>
    <row r="48" spans="1:7" x14ac:dyDescent="0.25">
      <c r="A48" s="100" t="s">
        <v>488</v>
      </c>
      <c r="B48" s="100" t="s">
        <v>444</v>
      </c>
      <c r="C48" s="214" t="s">
        <v>555</v>
      </c>
      <c r="D48" s="131">
        <v>0</v>
      </c>
      <c r="E48" s="140">
        <v>0</v>
      </c>
      <c r="F48" s="131">
        <v>0</v>
      </c>
      <c r="G48" s="140">
        <v>0</v>
      </c>
    </row>
    <row r="49" spans="1:7" x14ac:dyDescent="0.25">
      <c r="A49" s="100" t="s">
        <v>663</v>
      </c>
      <c r="B49" s="100" t="s">
        <v>292</v>
      </c>
      <c r="C49" s="214" t="s">
        <v>1048</v>
      </c>
      <c r="D49" s="140">
        <v>32157.89</v>
      </c>
      <c r="E49" s="140">
        <v>0</v>
      </c>
      <c r="F49" s="140">
        <v>32157.89</v>
      </c>
      <c r="G49" s="140">
        <v>0</v>
      </c>
    </row>
    <row r="50" spans="1:7" x14ac:dyDescent="0.25">
      <c r="A50" s="100" t="s">
        <v>410</v>
      </c>
      <c r="B50" s="100" t="s">
        <v>988</v>
      </c>
      <c r="C50" s="214" t="s">
        <v>190</v>
      </c>
      <c r="D50" s="131">
        <v>0</v>
      </c>
      <c r="E50" s="140">
        <v>0</v>
      </c>
      <c r="F50" s="131">
        <v>0</v>
      </c>
      <c r="G50" s="140">
        <v>0</v>
      </c>
    </row>
    <row r="51" spans="1:7" x14ac:dyDescent="0.25">
      <c r="A51" s="100" t="s">
        <v>64</v>
      </c>
      <c r="B51" s="100" t="s">
        <v>909</v>
      </c>
      <c r="C51" s="214" t="s">
        <v>885</v>
      </c>
      <c r="D51" s="131">
        <v>0</v>
      </c>
      <c r="E51" s="140">
        <v>0</v>
      </c>
      <c r="F51" s="131">
        <v>0</v>
      </c>
      <c r="G51" s="140">
        <v>0</v>
      </c>
    </row>
    <row r="52" spans="1:7" x14ac:dyDescent="0.25">
      <c r="A52" s="100" t="s">
        <v>884</v>
      </c>
      <c r="B52" s="100" t="s">
        <v>476</v>
      </c>
      <c r="C52" s="214" t="s">
        <v>38</v>
      </c>
      <c r="D52" s="131">
        <v>0</v>
      </c>
      <c r="E52" s="140">
        <v>0</v>
      </c>
      <c r="F52" s="131">
        <v>0</v>
      </c>
      <c r="G52" s="140">
        <v>0</v>
      </c>
    </row>
    <row r="53" spans="1:7" x14ac:dyDescent="0.25">
      <c r="A53" s="100" t="s">
        <v>1114</v>
      </c>
      <c r="B53" s="100" t="s">
        <v>120</v>
      </c>
      <c r="C53" s="214" t="s">
        <v>551</v>
      </c>
      <c r="D53" s="131">
        <v>0</v>
      </c>
      <c r="E53" s="140">
        <v>0</v>
      </c>
      <c r="F53" s="131">
        <v>0</v>
      </c>
      <c r="G53" s="140">
        <v>0</v>
      </c>
    </row>
    <row r="54" spans="1:7" x14ac:dyDescent="0.25">
      <c r="A54" s="100" t="s">
        <v>420</v>
      </c>
      <c r="B54" s="100" t="s">
        <v>451</v>
      </c>
      <c r="C54" s="214" t="s">
        <v>486</v>
      </c>
      <c r="D54" s="131">
        <v>0</v>
      </c>
      <c r="E54" s="140">
        <v>0</v>
      </c>
      <c r="F54" s="131">
        <v>0</v>
      </c>
      <c r="G54" s="140">
        <v>0</v>
      </c>
    </row>
    <row r="55" spans="1:7" x14ac:dyDescent="0.25">
      <c r="A55" s="100" t="s">
        <v>765</v>
      </c>
      <c r="B55" s="100" t="s">
        <v>399</v>
      </c>
      <c r="C55" s="214" t="s">
        <v>712</v>
      </c>
      <c r="D55" s="140">
        <v>140</v>
      </c>
      <c r="E55" s="140">
        <v>159</v>
      </c>
      <c r="F55" s="140">
        <v>140</v>
      </c>
      <c r="G55" s="140">
        <v>159</v>
      </c>
    </row>
    <row r="56" spans="1:7" x14ac:dyDescent="0.25">
      <c r="A56" s="100" t="s">
        <v>877</v>
      </c>
      <c r="B56" s="100" t="s">
        <v>294</v>
      </c>
      <c r="C56" s="214" t="s">
        <v>1076</v>
      </c>
      <c r="D56" s="140">
        <v>-32297.89</v>
      </c>
      <c r="E56" s="140">
        <v>2950.99</v>
      </c>
      <c r="F56" s="140">
        <v>-32297.89</v>
      </c>
      <c r="G56" s="140">
        <v>2951</v>
      </c>
    </row>
    <row r="57" spans="1:7" x14ac:dyDescent="0.25">
      <c r="A57" s="100" t="s">
        <v>709</v>
      </c>
      <c r="B57" s="100" t="s">
        <v>1094</v>
      </c>
      <c r="C57" s="214" t="s">
        <v>194</v>
      </c>
      <c r="D57" s="140">
        <v>-53509.27</v>
      </c>
      <c r="E57" s="140">
        <v>-58637.84</v>
      </c>
      <c r="F57" s="140">
        <v>-53509.27</v>
      </c>
      <c r="G57" s="140">
        <v>-58638</v>
      </c>
    </row>
    <row r="58" spans="1:7" x14ac:dyDescent="0.25">
      <c r="A58" s="100" t="s">
        <v>796</v>
      </c>
      <c r="B58" s="100" t="s">
        <v>598</v>
      </c>
      <c r="C58" s="214" t="s">
        <v>295</v>
      </c>
      <c r="D58" s="140">
        <v>960</v>
      </c>
      <c r="E58" s="140">
        <v>0</v>
      </c>
      <c r="F58" s="140">
        <v>960</v>
      </c>
      <c r="G58" s="140">
        <v>0</v>
      </c>
    </row>
    <row r="59" spans="1:7" x14ac:dyDescent="0.25">
      <c r="A59" s="100" t="s">
        <v>468</v>
      </c>
      <c r="B59" s="100" t="s">
        <v>769</v>
      </c>
      <c r="C59" s="214" t="s">
        <v>540</v>
      </c>
      <c r="D59" s="140">
        <v>960</v>
      </c>
      <c r="E59" s="140">
        <v>0</v>
      </c>
      <c r="F59" s="140">
        <v>960</v>
      </c>
      <c r="G59" s="140">
        <v>0</v>
      </c>
    </row>
    <row r="60" spans="1:7" x14ac:dyDescent="0.25">
      <c r="A60" s="100" t="s">
        <v>884</v>
      </c>
      <c r="B60" s="100" t="s">
        <v>210</v>
      </c>
      <c r="C60" s="214" t="s">
        <v>552</v>
      </c>
      <c r="D60" s="131">
        <v>0</v>
      </c>
      <c r="E60" s="140">
        <v>0</v>
      </c>
      <c r="F60" s="131">
        <v>0</v>
      </c>
      <c r="G60" s="140">
        <v>0</v>
      </c>
    </row>
    <row r="61" spans="1:7" x14ac:dyDescent="0.25">
      <c r="A61" s="100" t="s">
        <v>1105</v>
      </c>
      <c r="B61" s="100" t="s">
        <v>431</v>
      </c>
      <c r="C61" s="214" t="s">
        <v>559</v>
      </c>
      <c r="D61" s="131">
        <v>0</v>
      </c>
      <c r="E61" s="140">
        <v>0</v>
      </c>
      <c r="F61" s="131">
        <v>0</v>
      </c>
      <c r="G61" s="140">
        <v>0</v>
      </c>
    </row>
    <row r="62" spans="1:7" x14ac:dyDescent="0.25">
      <c r="A62" s="100" t="s">
        <v>709</v>
      </c>
      <c r="B62" s="100" t="s">
        <v>941</v>
      </c>
      <c r="C62" s="214" t="s">
        <v>823</v>
      </c>
      <c r="D62" s="140">
        <v>-54469.27</v>
      </c>
      <c r="E62" s="140">
        <v>-58637.84</v>
      </c>
      <c r="F62" s="140">
        <v>-54469.27</v>
      </c>
      <c r="G62" s="140">
        <v>-58638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7" customWidth="1"/>
    <col min="4" max="7" width="15.28515625" style="157" customWidth="1"/>
  </cols>
  <sheetData>
    <row r="1" spans="1:7" ht="33.75" x14ac:dyDescent="0.25">
      <c r="A1" s="11" t="s">
        <v>628</v>
      </c>
      <c r="B1" s="11" t="s">
        <v>680</v>
      </c>
      <c r="C1" s="51" t="s">
        <v>770</v>
      </c>
      <c r="D1" s="152" t="s">
        <v>991</v>
      </c>
      <c r="E1" s="152" t="s">
        <v>1080</v>
      </c>
      <c r="F1" s="152" t="s">
        <v>301</v>
      </c>
      <c r="G1" s="152" t="s">
        <v>442</v>
      </c>
    </row>
    <row r="2" spans="1:7" x14ac:dyDescent="0.25">
      <c r="A2" s="2" t="s">
        <v>1127</v>
      </c>
      <c r="B2" s="2" t="s">
        <v>515</v>
      </c>
      <c r="C2" s="57" t="s">
        <v>504</v>
      </c>
      <c r="D2" s="157">
        <v>0</v>
      </c>
      <c r="E2" s="171">
        <v>0</v>
      </c>
      <c r="F2" s="157">
        <v>0</v>
      </c>
      <c r="G2" s="171">
        <v>0</v>
      </c>
    </row>
    <row r="3" spans="1:7" x14ac:dyDescent="0.25">
      <c r="A3" s="2" t="s">
        <v>859</v>
      </c>
      <c r="B3" s="2" t="s">
        <v>88</v>
      </c>
      <c r="C3" s="57" t="s">
        <v>1031</v>
      </c>
      <c r="D3" s="131">
        <v>0</v>
      </c>
      <c r="E3" s="140">
        <v>1692.97</v>
      </c>
      <c r="F3" s="131">
        <v>0</v>
      </c>
      <c r="G3" s="140">
        <v>1693</v>
      </c>
    </row>
    <row r="4" spans="1:7" x14ac:dyDescent="0.25">
      <c r="A4" s="2" t="s">
        <v>402</v>
      </c>
      <c r="B4" s="2" t="s">
        <v>100</v>
      </c>
      <c r="C4" s="57" t="s">
        <v>483</v>
      </c>
      <c r="D4" s="157">
        <v>0</v>
      </c>
      <c r="E4" s="171">
        <v>0</v>
      </c>
      <c r="F4" s="157">
        <v>0</v>
      </c>
      <c r="G4" s="171">
        <v>0</v>
      </c>
    </row>
    <row r="5" spans="1:7" x14ac:dyDescent="0.25">
      <c r="A5" s="2" t="s">
        <v>505</v>
      </c>
      <c r="B5" s="2" t="s">
        <v>772</v>
      </c>
      <c r="C5" s="57" t="s">
        <v>56</v>
      </c>
      <c r="D5" s="157">
        <v>0</v>
      </c>
      <c r="E5" s="171">
        <v>0</v>
      </c>
      <c r="F5" s="157">
        <v>0</v>
      </c>
      <c r="G5" s="171">
        <v>0</v>
      </c>
    </row>
    <row r="6" spans="1:7" x14ac:dyDescent="0.25">
      <c r="A6" s="2" t="s">
        <v>408</v>
      </c>
      <c r="B6" s="2" t="s">
        <v>1100</v>
      </c>
      <c r="C6" s="57" t="s">
        <v>105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265</v>
      </c>
      <c r="B7" s="2" t="s">
        <v>349</v>
      </c>
      <c r="C7" s="57" t="s">
        <v>404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302</v>
      </c>
      <c r="B8" s="2" t="s">
        <v>699</v>
      </c>
      <c r="C8" s="57" t="s">
        <v>383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1123</v>
      </c>
      <c r="B9" s="2" t="s">
        <v>387</v>
      </c>
      <c r="C9" s="57" t="s">
        <v>472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446</v>
      </c>
      <c r="B10" s="2" t="s">
        <v>637</v>
      </c>
      <c r="C10" s="57" t="s">
        <v>497</v>
      </c>
      <c r="D10" s="157">
        <v>0</v>
      </c>
      <c r="E10" s="171">
        <v>1692.97</v>
      </c>
      <c r="F10" s="157">
        <v>0</v>
      </c>
      <c r="G10" s="171">
        <v>1693</v>
      </c>
    </row>
    <row r="11" spans="1:7" x14ac:dyDescent="0.25">
      <c r="A11" s="2" t="s">
        <v>859</v>
      </c>
      <c r="B11" s="2" t="s">
        <v>1118</v>
      </c>
      <c r="C11" s="57" t="s">
        <v>334</v>
      </c>
      <c r="D11" s="171">
        <v>61588.83</v>
      </c>
      <c r="E11" s="171">
        <v>55701.22</v>
      </c>
      <c r="F11" s="171">
        <v>61588.83</v>
      </c>
      <c r="G11" s="171">
        <v>55701</v>
      </c>
    </row>
    <row r="12" spans="1:7" x14ac:dyDescent="0.25">
      <c r="A12" s="2" t="s">
        <v>809</v>
      </c>
      <c r="B12" s="2" t="s">
        <v>595</v>
      </c>
      <c r="C12" s="57" t="s">
        <v>826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318</v>
      </c>
      <c r="B13" s="2" t="s">
        <v>614</v>
      </c>
      <c r="C13" s="57" t="s">
        <v>1113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304</v>
      </c>
      <c r="B14" s="2" t="s">
        <v>594</v>
      </c>
      <c r="C14" s="57" t="s">
        <v>377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160</v>
      </c>
      <c r="B15" s="2" t="s">
        <v>414</v>
      </c>
      <c r="C15" s="57" t="s">
        <v>1109</v>
      </c>
      <c r="D15" s="157">
        <v>0</v>
      </c>
      <c r="E15" s="171">
        <v>42.3</v>
      </c>
      <c r="F15" s="157">
        <v>0</v>
      </c>
      <c r="G15" s="171">
        <v>42</v>
      </c>
    </row>
    <row r="16" spans="1:7" x14ac:dyDescent="0.25">
      <c r="A16" s="2" t="s">
        <v>802</v>
      </c>
      <c r="B16" s="2" t="s">
        <v>673</v>
      </c>
      <c r="C16" s="57" t="s">
        <v>1086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820</v>
      </c>
      <c r="B17" s="2" t="s">
        <v>392</v>
      </c>
      <c r="C17" s="57" t="s">
        <v>366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884</v>
      </c>
      <c r="B18" s="2" t="s">
        <v>999</v>
      </c>
      <c r="C18" s="57" t="s">
        <v>764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204</v>
      </c>
      <c r="B19" s="2" t="s">
        <v>361</v>
      </c>
      <c r="C19" s="57" t="s">
        <v>1124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373</v>
      </c>
      <c r="B20" s="2" t="s">
        <v>276</v>
      </c>
      <c r="C20" s="57" t="s">
        <v>323</v>
      </c>
      <c r="D20" s="157">
        <v>0</v>
      </c>
      <c r="E20" s="171">
        <v>0</v>
      </c>
      <c r="F20" s="157">
        <v>0</v>
      </c>
      <c r="G20" s="171">
        <v>0</v>
      </c>
    </row>
    <row r="21" spans="1:7" x14ac:dyDescent="0.25">
      <c r="A21" s="2" t="s">
        <v>757</v>
      </c>
      <c r="B21" s="2" t="s">
        <v>69</v>
      </c>
      <c r="C21" s="57" t="s">
        <v>1027</v>
      </c>
      <c r="D21" s="171">
        <v>7189.06</v>
      </c>
      <c r="E21" s="171">
        <v>6380.92</v>
      </c>
      <c r="F21" s="171">
        <v>7189.06</v>
      </c>
      <c r="G21" s="171">
        <v>6381</v>
      </c>
    </row>
    <row r="22" spans="1:7" x14ac:dyDescent="0.25">
      <c r="A22" s="2" t="s">
        <v>793</v>
      </c>
      <c r="B22" s="2" t="s">
        <v>221</v>
      </c>
      <c r="C22" s="57" t="s">
        <v>474</v>
      </c>
      <c r="D22" s="171">
        <v>42900</v>
      </c>
      <c r="E22" s="171">
        <v>42900</v>
      </c>
      <c r="F22" s="171">
        <v>42900</v>
      </c>
      <c r="G22" s="171">
        <v>42900</v>
      </c>
    </row>
    <row r="23" spans="1:7" x14ac:dyDescent="0.25">
      <c r="A23" s="2" t="s">
        <v>994</v>
      </c>
      <c r="B23" s="2" t="s">
        <v>840</v>
      </c>
      <c r="C23" s="57" t="s">
        <v>1108</v>
      </c>
      <c r="D23" s="171">
        <v>42900</v>
      </c>
      <c r="E23" s="171">
        <v>42900</v>
      </c>
      <c r="F23" s="171">
        <v>42900</v>
      </c>
      <c r="G23" s="171">
        <v>42900</v>
      </c>
    </row>
    <row r="24" spans="1:7" x14ac:dyDescent="0.25">
      <c r="A24" s="2" t="s">
        <v>884</v>
      </c>
      <c r="B24" s="2" t="s">
        <v>362</v>
      </c>
      <c r="C24" s="57" t="s">
        <v>509</v>
      </c>
      <c r="D24" s="157">
        <v>0</v>
      </c>
      <c r="E24" s="171">
        <v>0</v>
      </c>
      <c r="F24" s="157">
        <v>0</v>
      </c>
      <c r="G24" s="171">
        <v>0</v>
      </c>
    </row>
    <row r="25" spans="1:7" x14ac:dyDescent="0.25">
      <c r="A25" s="2" t="s">
        <v>748</v>
      </c>
      <c r="B25" s="2" t="s">
        <v>177</v>
      </c>
      <c r="C25" s="57" t="s">
        <v>67</v>
      </c>
      <c r="D25" s="157">
        <v>0</v>
      </c>
      <c r="E25" s="171">
        <v>0</v>
      </c>
      <c r="F25" s="157">
        <v>0</v>
      </c>
      <c r="G25" s="171">
        <v>0</v>
      </c>
    </row>
    <row r="26" spans="1:7" x14ac:dyDescent="0.25">
      <c r="A26" s="2" t="s">
        <v>402</v>
      </c>
      <c r="B26" s="2" t="s">
        <v>969</v>
      </c>
      <c r="C26" s="57" t="s">
        <v>441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367</v>
      </c>
      <c r="B27" s="2" t="s">
        <v>536</v>
      </c>
      <c r="C27" s="57" t="s">
        <v>145</v>
      </c>
      <c r="D27" s="171">
        <v>11499.77</v>
      </c>
      <c r="E27" s="171">
        <v>6378</v>
      </c>
      <c r="F27" s="171">
        <v>11499.77</v>
      </c>
      <c r="G27" s="171">
        <v>6378</v>
      </c>
    </row>
    <row r="28" spans="1:7" x14ac:dyDescent="0.25">
      <c r="A28" s="2" t="s">
        <v>877</v>
      </c>
      <c r="B28" s="2" t="s">
        <v>130</v>
      </c>
      <c r="C28" s="57" t="s">
        <v>494</v>
      </c>
      <c r="D28" s="171">
        <v>-61588.83</v>
      </c>
      <c r="E28" s="171">
        <v>-54008.25</v>
      </c>
      <c r="F28" s="171">
        <v>-61588.83</v>
      </c>
      <c r="G28" s="171">
        <v>-54008</v>
      </c>
    </row>
    <row r="29" spans="1:7" x14ac:dyDescent="0.25">
      <c r="A29" s="2" t="s">
        <v>1127</v>
      </c>
      <c r="B29" s="2" t="s">
        <v>54</v>
      </c>
      <c r="C29" s="57" t="s">
        <v>393</v>
      </c>
      <c r="D29" s="157">
        <v>0</v>
      </c>
      <c r="E29" s="171">
        <v>-42.3</v>
      </c>
      <c r="F29" s="157">
        <v>0</v>
      </c>
      <c r="G29" s="171">
        <v>-42</v>
      </c>
    </row>
    <row r="30" spans="1:7" x14ac:dyDescent="0.25">
      <c r="A30" s="2" t="s">
        <v>859</v>
      </c>
      <c r="B30" s="2" t="s">
        <v>1045</v>
      </c>
      <c r="C30" s="57" t="s">
        <v>415</v>
      </c>
      <c r="D30" s="171">
        <v>3109.99</v>
      </c>
      <c r="E30" s="171">
        <v>6812.19</v>
      </c>
      <c r="F30" s="171">
        <v>3109.99</v>
      </c>
      <c r="G30" s="171">
        <v>6812</v>
      </c>
    </row>
    <row r="31" spans="1:7" x14ac:dyDescent="0.25">
      <c r="A31" s="2" t="s">
        <v>1120</v>
      </c>
      <c r="B31" s="2" t="s">
        <v>1104</v>
      </c>
      <c r="C31" s="57" t="s">
        <v>761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139</v>
      </c>
      <c r="B32" s="2" t="s">
        <v>375</v>
      </c>
      <c r="C32" s="57" t="s">
        <v>261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913</v>
      </c>
      <c r="B33" s="2" t="s">
        <v>1121</v>
      </c>
      <c r="C33" s="57" t="s">
        <v>502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884</v>
      </c>
      <c r="B34" s="2" t="s">
        <v>975</v>
      </c>
      <c r="C34" s="57" t="s">
        <v>300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204</v>
      </c>
      <c r="B35" s="2" t="s">
        <v>558</v>
      </c>
      <c r="C35" s="57" t="s">
        <v>648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152</v>
      </c>
      <c r="B36" s="2" t="s">
        <v>186</v>
      </c>
      <c r="C36" s="57" t="s">
        <v>933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692</v>
      </c>
      <c r="B37" s="2" t="s">
        <v>469</v>
      </c>
      <c r="C37" s="57" t="s">
        <v>198</v>
      </c>
      <c r="D37" s="157">
        <v>0</v>
      </c>
      <c r="E37" s="171">
        <v>0</v>
      </c>
      <c r="F37" s="157">
        <v>0</v>
      </c>
      <c r="G37" s="171">
        <v>0</v>
      </c>
    </row>
    <row r="38" spans="1:7" x14ac:dyDescent="0.25">
      <c r="A38" s="2" t="s">
        <v>884</v>
      </c>
      <c r="B38" s="2" t="s">
        <v>959</v>
      </c>
      <c r="C38" s="57" t="s">
        <v>97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204</v>
      </c>
      <c r="B39" s="2" t="s">
        <v>364</v>
      </c>
      <c r="C39" s="57" t="s">
        <v>262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583</v>
      </c>
      <c r="B40" s="2" t="s">
        <v>405</v>
      </c>
      <c r="C40" s="57" t="s">
        <v>862</v>
      </c>
      <c r="D40" s="171">
        <v>3109.99</v>
      </c>
      <c r="E40" s="171">
        <v>6812.19</v>
      </c>
      <c r="F40" s="171">
        <v>3109.99</v>
      </c>
      <c r="G40" s="171">
        <v>6812</v>
      </c>
    </row>
    <row r="41" spans="1:7" x14ac:dyDescent="0.25">
      <c r="A41" s="2" t="s">
        <v>460</v>
      </c>
      <c r="B41" s="2" t="s">
        <v>1016</v>
      </c>
      <c r="C41" s="57" t="s">
        <v>518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884</v>
      </c>
      <c r="B42" s="2" t="s">
        <v>777</v>
      </c>
      <c r="C42" s="57" t="s">
        <v>1068</v>
      </c>
      <c r="D42" s="171">
        <v>3109.99</v>
      </c>
      <c r="E42" s="171">
        <v>6812.19</v>
      </c>
      <c r="F42" s="171">
        <v>3109.99</v>
      </c>
      <c r="G42" s="171">
        <v>6812</v>
      </c>
    </row>
    <row r="43" spans="1:7" x14ac:dyDescent="0.25">
      <c r="A43" s="2" t="s">
        <v>623</v>
      </c>
      <c r="B43" s="2" t="s">
        <v>422</v>
      </c>
      <c r="C43" s="57" t="s">
        <v>944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992</v>
      </c>
      <c r="B44" s="2" t="s">
        <v>931</v>
      </c>
      <c r="C44" s="57" t="s">
        <v>337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184</v>
      </c>
      <c r="B45" s="2" t="s">
        <v>252</v>
      </c>
      <c r="C45" s="57" t="s">
        <v>915</v>
      </c>
      <c r="D45" s="157">
        <v>0</v>
      </c>
      <c r="E45" s="171">
        <v>0</v>
      </c>
      <c r="F45" s="157">
        <v>0</v>
      </c>
      <c r="G45" s="171">
        <v>0</v>
      </c>
    </row>
    <row r="46" spans="1:7" x14ac:dyDescent="0.25">
      <c r="A46" s="2" t="s">
        <v>859</v>
      </c>
      <c r="B46" s="2" t="s">
        <v>849</v>
      </c>
      <c r="C46" s="57" t="s">
        <v>543</v>
      </c>
      <c r="D46" s="171">
        <v>159</v>
      </c>
      <c r="E46" s="171">
        <v>149</v>
      </c>
      <c r="F46" s="171">
        <v>159</v>
      </c>
      <c r="G46" s="171">
        <v>149</v>
      </c>
    </row>
    <row r="47" spans="1:7" x14ac:dyDescent="0.25">
      <c r="A47" s="2" t="s">
        <v>305</v>
      </c>
      <c r="B47" s="2" t="s">
        <v>855</v>
      </c>
      <c r="C47" s="57" t="s">
        <v>43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488</v>
      </c>
      <c r="B48" s="2" t="s">
        <v>444</v>
      </c>
      <c r="C48" s="57" t="s">
        <v>555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663</v>
      </c>
      <c r="B49" s="2" t="s">
        <v>292</v>
      </c>
      <c r="C49" s="57" t="s">
        <v>1048</v>
      </c>
      <c r="D49" s="157">
        <v>0</v>
      </c>
      <c r="E49" s="171">
        <v>0</v>
      </c>
      <c r="F49" s="157">
        <v>0</v>
      </c>
      <c r="G49" s="171">
        <v>0</v>
      </c>
    </row>
    <row r="50" spans="1:7" x14ac:dyDescent="0.25">
      <c r="A50" s="2" t="s">
        <v>410</v>
      </c>
      <c r="B50" s="2" t="s">
        <v>988</v>
      </c>
      <c r="C50" s="57" t="s">
        <v>190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64</v>
      </c>
      <c r="B51" s="2" t="s">
        <v>909</v>
      </c>
      <c r="C51" s="57" t="s">
        <v>885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884</v>
      </c>
      <c r="B52" s="2" t="s">
        <v>476</v>
      </c>
      <c r="C52" s="57" t="s">
        <v>38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1114</v>
      </c>
      <c r="B53" s="2" t="s">
        <v>120</v>
      </c>
      <c r="C53" s="57" t="s">
        <v>551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420</v>
      </c>
      <c r="B54" s="2" t="s">
        <v>451</v>
      </c>
      <c r="C54" s="57" t="s">
        <v>486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765</v>
      </c>
      <c r="B55" s="2" t="s">
        <v>399</v>
      </c>
      <c r="C55" s="57" t="s">
        <v>712</v>
      </c>
      <c r="D55" s="171">
        <v>159</v>
      </c>
      <c r="E55" s="171">
        <v>149</v>
      </c>
      <c r="F55" s="171">
        <v>159</v>
      </c>
      <c r="G55" s="171">
        <v>149</v>
      </c>
    </row>
    <row r="56" spans="1:7" x14ac:dyDescent="0.25">
      <c r="A56" s="2" t="s">
        <v>877</v>
      </c>
      <c r="B56" s="2" t="s">
        <v>294</v>
      </c>
      <c r="C56" s="57" t="s">
        <v>1076</v>
      </c>
      <c r="D56" s="171">
        <v>2950.99</v>
      </c>
      <c r="E56" s="171">
        <v>6663.19</v>
      </c>
      <c r="F56" s="171">
        <v>2950.99</v>
      </c>
      <c r="G56" s="171">
        <v>6663</v>
      </c>
    </row>
    <row r="57" spans="1:7" x14ac:dyDescent="0.25">
      <c r="A57" s="2" t="s">
        <v>709</v>
      </c>
      <c r="B57" s="2" t="s">
        <v>1094</v>
      </c>
      <c r="C57" s="57" t="s">
        <v>194</v>
      </c>
      <c r="D57" s="171">
        <v>-58637.84</v>
      </c>
      <c r="E57" s="171">
        <v>-47345.06</v>
      </c>
      <c r="F57" s="171">
        <v>-58637.84</v>
      </c>
      <c r="G57" s="171">
        <v>-47345</v>
      </c>
    </row>
    <row r="58" spans="1:7" x14ac:dyDescent="0.25">
      <c r="A58" s="2" t="s">
        <v>796</v>
      </c>
      <c r="B58" s="2" t="s">
        <v>598</v>
      </c>
      <c r="C58" s="57" t="s">
        <v>295</v>
      </c>
      <c r="D58" s="157">
        <v>0</v>
      </c>
      <c r="E58" s="171">
        <v>0</v>
      </c>
      <c r="F58" s="157">
        <v>0</v>
      </c>
      <c r="G58" s="171">
        <v>0</v>
      </c>
    </row>
    <row r="59" spans="1:7" x14ac:dyDescent="0.25">
      <c r="A59" s="2" t="s">
        <v>468</v>
      </c>
      <c r="B59" s="2" t="s">
        <v>769</v>
      </c>
      <c r="C59" s="57" t="s">
        <v>540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884</v>
      </c>
      <c r="B60" s="2" t="s">
        <v>210</v>
      </c>
      <c r="C60" s="57" t="s">
        <v>552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1105</v>
      </c>
      <c r="B61" s="2" t="s">
        <v>431</v>
      </c>
      <c r="C61" s="57" t="s">
        <v>559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709</v>
      </c>
      <c r="B62" s="2" t="s">
        <v>941</v>
      </c>
      <c r="C62" s="57" t="s">
        <v>823</v>
      </c>
      <c r="D62" s="171">
        <v>-58637.84</v>
      </c>
      <c r="E62" s="171">
        <v>-47345.06</v>
      </c>
      <c r="F62" s="171">
        <v>-58637.84</v>
      </c>
      <c r="G62" s="171">
        <v>-47345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63.5703125" style="176" customWidth="1"/>
    <col min="3" max="3" width="4.42578125" style="82" customWidth="1"/>
    <col min="4" max="11" width="15.28515625" style="6" customWidth="1"/>
  </cols>
  <sheetData>
    <row r="1" spans="1:11" ht="22.5" x14ac:dyDescent="0.25">
      <c r="A1" s="11" t="s">
        <v>628</v>
      </c>
      <c r="B1" s="11" t="s">
        <v>461</v>
      </c>
      <c r="C1" s="51" t="s">
        <v>770</v>
      </c>
      <c r="D1" s="152" t="s">
        <v>1067</v>
      </c>
      <c r="E1" s="152" t="s">
        <v>1061</v>
      </c>
      <c r="F1" s="152" t="s">
        <v>282</v>
      </c>
      <c r="G1" s="152" t="s">
        <v>615</v>
      </c>
      <c r="H1" s="152" t="s">
        <v>297</v>
      </c>
      <c r="I1" s="152" t="s">
        <v>466</v>
      </c>
      <c r="J1" s="152" t="s">
        <v>629</v>
      </c>
      <c r="K1" s="152" t="s">
        <v>442</v>
      </c>
    </row>
    <row r="2" spans="1:11" x14ac:dyDescent="0.25">
      <c r="A2" s="100" t="s">
        <v>937</v>
      </c>
      <c r="B2" s="100" t="s">
        <v>1055</v>
      </c>
      <c r="C2" s="214" t="s">
        <v>910</v>
      </c>
      <c r="D2" s="140">
        <v>4825250.32</v>
      </c>
      <c r="E2" s="140">
        <v>1854094.53</v>
      </c>
      <c r="F2" s="140">
        <v>2971155.79</v>
      </c>
      <c r="G2" s="140">
        <v>2781978.77</v>
      </c>
      <c r="H2" s="140">
        <v>4825250.32</v>
      </c>
      <c r="I2" s="140">
        <v>1854094.53</v>
      </c>
      <c r="J2" s="140">
        <v>2971155.79</v>
      </c>
      <c r="K2" s="140">
        <v>2781978</v>
      </c>
    </row>
    <row r="3" spans="1:11" x14ac:dyDescent="0.25">
      <c r="A3" s="100" t="s">
        <v>809</v>
      </c>
      <c r="B3" s="100" t="s">
        <v>1032</v>
      </c>
      <c r="C3" s="214" t="s">
        <v>390</v>
      </c>
      <c r="D3" s="140">
        <v>3634056.66</v>
      </c>
      <c r="E3" s="140">
        <v>1854094.53</v>
      </c>
      <c r="F3" s="140">
        <v>1779962.13</v>
      </c>
      <c r="G3" s="140">
        <v>1823183.46</v>
      </c>
      <c r="H3" s="140">
        <v>3634056.66</v>
      </c>
      <c r="I3" s="140">
        <v>1854094.53</v>
      </c>
      <c r="J3" s="140">
        <v>1779962.13</v>
      </c>
      <c r="K3" s="140">
        <v>1823183</v>
      </c>
    </row>
    <row r="4" spans="1:11" x14ac:dyDescent="0.25">
      <c r="A4" s="100" t="s">
        <v>990</v>
      </c>
      <c r="B4" s="100" t="s">
        <v>579</v>
      </c>
      <c r="C4" s="214" t="s">
        <v>70</v>
      </c>
      <c r="D4" s="131">
        <v>0</v>
      </c>
      <c r="E4" s="131">
        <v>0</v>
      </c>
      <c r="F4" s="131">
        <v>0</v>
      </c>
      <c r="G4" s="140">
        <v>0</v>
      </c>
      <c r="H4" s="131">
        <v>0</v>
      </c>
      <c r="I4" s="131">
        <v>0</v>
      </c>
      <c r="J4" s="131">
        <v>0</v>
      </c>
      <c r="K4" s="140">
        <v>0</v>
      </c>
    </row>
    <row r="5" spans="1:11" x14ac:dyDescent="0.25">
      <c r="A5" s="100" t="s">
        <v>640</v>
      </c>
      <c r="B5" s="100" t="s">
        <v>716</v>
      </c>
      <c r="C5" s="214" t="s">
        <v>129</v>
      </c>
      <c r="D5" s="131">
        <v>0</v>
      </c>
      <c r="E5" s="131">
        <v>0</v>
      </c>
      <c r="F5" s="131">
        <v>0</v>
      </c>
      <c r="G5" s="140">
        <v>0</v>
      </c>
      <c r="H5" s="131">
        <v>0</v>
      </c>
      <c r="I5" s="131">
        <v>0</v>
      </c>
      <c r="J5" s="131">
        <v>0</v>
      </c>
      <c r="K5" s="140">
        <v>0</v>
      </c>
    </row>
    <row r="6" spans="1:11" x14ac:dyDescent="0.25">
      <c r="A6" s="100" t="s">
        <v>884</v>
      </c>
      <c r="B6" s="100" t="s">
        <v>672</v>
      </c>
      <c r="C6" s="214" t="s">
        <v>452</v>
      </c>
      <c r="D6" s="131">
        <v>0</v>
      </c>
      <c r="E6" s="131">
        <v>0</v>
      </c>
      <c r="F6" s="131">
        <v>0</v>
      </c>
      <c r="G6" s="140">
        <v>0</v>
      </c>
      <c r="H6" s="131">
        <v>0</v>
      </c>
      <c r="I6" s="131">
        <v>0</v>
      </c>
      <c r="J6" s="131">
        <v>0</v>
      </c>
      <c r="K6" s="140">
        <v>0</v>
      </c>
    </row>
    <row r="7" spans="1:11" x14ac:dyDescent="0.25">
      <c r="A7" s="100" t="s">
        <v>204</v>
      </c>
      <c r="B7" s="100" t="s">
        <v>657</v>
      </c>
      <c r="C7" s="214" t="s">
        <v>645</v>
      </c>
      <c r="D7" s="131">
        <v>0</v>
      </c>
      <c r="E7" s="131">
        <v>0</v>
      </c>
      <c r="F7" s="131">
        <v>0</v>
      </c>
      <c r="G7" s="140">
        <v>0</v>
      </c>
      <c r="H7" s="131">
        <v>0</v>
      </c>
      <c r="I7" s="131">
        <v>0</v>
      </c>
      <c r="J7" s="131">
        <v>0</v>
      </c>
      <c r="K7" s="140">
        <v>0</v>
      </c>
    </row>
    <row r="8" spans="1:11" x14ac:dyDescent="0.25">
      <c r="A8" s="100" t="s">
        <v>373</v>
      </c>
      <c r="B8" s="100" t="s">
        <v>727</v>
      </c>
      <c r="C8" s="214" t="s">
        <v>724</v>
      </c>
      <c r="D8" s="131">
        <v>0</v>
      </c>
      <c r="E8" s="131">
        <v>0</v>
      </c>
      <c r="F8" s="131">
        <v>0</v>
      </c>
      <c r="G8" s="140">
        <v>0</v>
      </c>
      <c r="H8" s="131">
        <v>0</v>
      </c>
      <c r="I8" s="131">
        <v>0</v>
      </c>
      <c r="J8" s="131">
        <v>0</v>
      </c>
      <c r="K8" s="140">
        <v>0</v>
      </c>
    </row>
    <row r="9" spans="1:11" x14ac:dyDescent="0.25">
      <c r="A9" s="100" t="s">
        <v>447</v>
      </c>
      <c r="B9" s="100" t="s">
        <v>481</v>
      </c>
      <c r="C9" s="214" t="s">
        <v>873</v>
      </c>
      <c r="D9" s="131">
        <v>0</v>
      </c>
      <c r="E9" s="131">
        <v>0</v>
      </c>
      <c r="F9" s="131">
        <v>0</v>
      </c>
      <c r="G9" s="140">
        <v>0</v>
      </c>
      <c r="H9" s="131">
        <v>0</v>
      </c>
      <c r="I9" s="131">
        <v>0</v>
      </c>
      <c r="J9" s="131">
        <v>0</v>
      </c>
      <c r="K9" s="140">
        <v>0</v>
      </c>
    </row>
    <row r="10" spans="1:11" x14ac:dyDescent="0.25">
      <c r="A10" s="100" t="s">
        <v>887</v>
      </c>
      <c r="B10" s="100" t="s">
        <v>411</v>
      </c>
      <c r="C10" s="214" t="s">
        <v>534</v>
      </c>
      <c r="D10" s="131">
        <v>0</v>
      </c>
      <c r="E10" s="131">
        <v>0</v>
      </c>
      <c r="F10" s="131">
        <v>0</v>
      </c>
      <c r="G10" s="140">
        <v>0</v>
      </c>
      <c r="H10" s="131">
        <v>0</v>
      </c>
      <c r="I10" s="131">
        <v>0</v>
      </c>
      <c r="J10" s="131">
        <v>0</v>
      </c>
      <c r="K10" s="140">
        <v>0</v>
      </c>
    </row>
    <row r="11" spans="1:11" x14ac:dyDescent="0.25">
      <c r="A11" s="100" t="s">
        <v>928</v>
      </c>
      <c r="B11" s="100" t="s">
        <v>500</v>
      </c>
      <c r="C11" s="214" t="s">
        <v>896</v>
      </c>
      <c r="D11" s="131">
        <v>0</v>
      </c>
      <c r="E11" s="131">
        <v>0</v>
      </c>
      <c r="F11" s="131">
        <v>0</v>
      </c>
      <c r="G11" s="140">
        <v>0</v>
      </c>
      <c r="H11" s="131">
        <v>0</v>
      </c>
      <c r="I11" s="131">
        <v>0</v>
      </c>
      <c r="J11" s="131">
        <v>0</v>
      </c>
      <c r="K11" s="140">
        <v>0</v>
      </c>
    </row>
    <row r="12" spans="1:11" x14ac:dyDescent="0.25">
      <c r="A12" s="100" t="s">
        <v>77</v>
      </c>
      <c r="B12" s="100" t="s">
        <v>875</v>
      </c>
      <c r="C12" s="214" t="s">
        <v>882</v>
      </c>
      <c r="D12" s="140">
        <v>3399421.66</v>
      </c>
      <c r="E12" s="140">
        <v>1854094.53</v>
      </c>
      <c r="F12" s="140">
        <v>1545327.13</v>
      </c>
      <c r="G12" s="140">
        <v>1588548.46</v>
      </c>
      <c r="H12" s="140">
        <v>3399421.66</v>
      </c>
      <c r="I12" s="140">
        <v>1854094.53</v>
      </c>
      <c r="J12" s="140">
        <v>1545327.13</v>
      </c>
      <c r="K12" s="140">
        <v>1588548</v>
      </c>
    </row>
    <row r="13" spans="1:11" x14ac:dyDescent="0.25">
      <c r="A13" s="100" t="s">
        <v>465</v>
      </c>
      <c r="B13" s="100" t="s">
        <v>27</v>
      </c>
      <c r="C13" s="214" t="s">
        <v>343</v>
      </c>
      <c r="D13" s="140">
        <v>203519.17</v>
      </c>
      <c r="E13" s="131">
        <v>0</v>
      </c>
      <c r="F13" s="140">
        <v>203519.17</v>
      </c>
      <c r="G13" s="140">
        <v>203519.17</v>
      </c>
      <c r="H13" s="140">
        <v>203519.17</v>
      </c>
      <c r="I13" s="131">
        <v>0</v>
      </c>
      <c r="J13" s="140">
        <v>203519.17</v>
      </c>
      <c r="K13" s="140">
        <v>203519</v>
      </c>
    </row>
    <row r="14" spans="1:11" x14ac:dyDescent="0.25">
      <c r="A14" s="100" t="s">
        <v>884</v>
      </c>
      <c r="B14" s="100" t="s">
        <v>471</v>
      </c>
      <c r="C14" s="214" t="s">
        <v>133</v>
      </c>
      <c r="D14" s="140">
        <v>2611209.4700000002</v>
      </c>
      <c r="E14" s="140">
        <v>1416817.64</v>
      </c>
      <c r="F14" s="140">
        <v>1194391.83</v>
      </c>
      <c r="G14" s="140">
        <v>1237613.1599999999</v>
      </c>
      <c r="H14" s="140">
        <v>2611209.4700000002</v>
      </c>
      <c r="I14" s="140">
        <v>1416817.64</v>
      </c>
      <c r="J14" s="140">
        <v>1194391.83</v>
      </c>
      <c r="K14" s="140">
        <v>1237613</v>
      </c>
    </row>
    <row r="15" spans="1:11" x14ac:dyDescent="0.25">
      <c r="A15" s="100" t="s">
        <v>204</v>
      </c>
      <c r="B15" s="100" t="s">
        <v>695</v>
      </c>
      <c r="C15" s="214" t="s">
        <v>117</v>
      </c>
      <c r="D15" s="140">
        <v>437276.9</v>
      </c>
      <c r="E15" s="140">
        <v>437276.89</v>
      </c>
      <c r="F15" s="140">
        <v>0.01</v>
      </c>
      <c r="G15" s="140">
        <v>0.01</v>
      </c>
      <c r="H15" s="140">
        <v>437276.9</v>
      </c>
      <c r="I15" s="140">
        <v>437276.89</v>
      </c>
      <c r="J15" s="140">
        <v>0.01</v>
      </c>
      <c r="K15" s="140">
        <v>0</v>
      </c>
    </row>
    <row r="16" spans="1:11" x14ac:dyDescent="0.25">
      <c r="A16" s="100" t="s">
        <v>373</v>
      </c>
      <c r="B16" s="100" t="s">
        <v>1050</v>
      </c>
      <c r="C16" s="214" t="s">
        <v>506</v>
      </c>
      <c r="D16" s="131">
        <v>0</v>
      </c>
      <c r="E16" s="140">
        <v>0</v>
      </c>
      <c r="F16" s="140">
        <v>0</v>
      </c>
      <c r="G16" s="140">
        <v>0</v>
      </c>
      <c r="H16" s="131">
        <v>0</v>
      </c>
      <c r="I16" s="140">
        <v>0</v>
      </c>
      <c r="J16" s="140">
        <v>0</v>
      </c>
      <c r="K16" s="140">
        <v>0</v>
      </c>
    </row>
    <row r="17" spans="1:11" x14ac:dyDescent="0.25">
      <c r="A17" s="100" t="s">
        <v>447</v>
      </c>
      <c r="B17" s="100" t="s">
        <v>920</v>
      </c>
      <c r="C17" s="214" t="s">
        <v>539</v>
      </c>
      <c r="D17" s="131">
        <v>0</v>
      </c>
      <c r="E17" s="131">
        <v>0</v>
      </c>
      <c r="F17" s="131">
        <v>0</v>
      </c>
      <c r="G17" s="140">
        <v>0</v>
      </c>
      <c r="H17" s="131">
        <v>0</v>
      </c>
      <c r="I17" s="131">
        <v>0</v>
      </c>
      <c r="J17" s="131">
        <v>0</v>
      </c>
      <c r="K17" s="140">
        <v>0</v>
      </c>
    </row>
    <row r="18" spans="1:11" x14ac:dyDescent="0.25">
      <c r="A18" s="100" t="s">
        <v>887</v>
      </c>
      <c r="B18" s="100" t="s">
        <v>256</v>
      </c>
      <c r="C18" s="214" t="s">
        <v>418</v>
      </c>
      <c r="D18" s="140">
        <v>7520.08</v>
      </c>
      <c r="E18" s="131">
        <v>0</v>
      </c>
      <c r="F18" s="140">
        <v>7520.08</v>
      </c>
      <c r="G18" s="140">
        <v>7520.08</v>
      </c>
      <c r="H18" s="140">
        <v>7520.08</v>
      </c>
      <c r="I18" s="131">
        <v>0</v>
      </c>
      <c r="J18" s="140">
        <v>7520.08</v>
      </c>
      <c r="K18" s="140">
        <v>7520</v>
      </c>
    </row>
    <row r="19" spans="1:11" x14ac:dyDescent="0.25">
      <c r="A19" s="100" t="s">
        <v>928</v>
      </c>
      <c r="B19" s="100" t="s">
        <v>1128</v>
      </c>
      <c r="C19" s="214" t="s">
        <v>22</v>
      </c>
      <c r="D19" s="140">
        <v>139896.04</v>
      </c>
      <c r="E19" s="131">
        <v>0</v>
      </c>
      <c r="F19" s="140">
        <v>139896.04</v>
      </c>
      <c r="G19" s="140">
        <v>139896.04</v>
      </c>
      <c r="H19" s="140">
        <v>139896.04</v>
      </c>
      <c r="I19" s="131">
        <v>0</v>
      </c>
      <c r="J19" s="140">
        <v>139896.04</v>
      </c>
      <c r="K19" s="140">
        <v>139896</v>
      </c>
    </row>
    <row r="20" spans="1:11" x14ac:dyDescent="0.25">
      <c r="A20" s="100" t="s">
        <v>850</v>
      </c>
      <c r="B20" s="100" t="s">
        <v>227</v>
      </c>
      <c r="C20" s="214" t="s">
        <v>1023</v>
      </c>
      <c r="D20" s="131">
        <v>0</v>
      </c>
      <c r="E20" s="131">
        <v>0</v>
      </c>
      <c r="F20" s="131">
        <v>0</v>
      </c>
      <c r="G20" s="140">
        <v>0</v>
      </c>
      <c r="H20" s="131">
        <v>0</v>
      </c>
      <c r="I20" s="131">
        <v>0</v>
      </c>
      <c r="J20" s="131">
        <v>0</v>
      </c>
      <c r="K20" s="140">
        <v>0</v>
      </c>
    </row>
    <row r="21" spans="1:11" x14ac:dyDescent="0.25">
      <c r="A21" s="100" t="s">
        <v>35</v>
      </c>
      <c r="B21" s="100" t="s">
        <v>984</v>
      </c>
      <c r="C21" s="214" t="s">
        <v>280</v>
      </c>
      <c r="D21" s="131">
        <v>0</v>
      </c>
      <c r="E21" s="131">
        <v>0</v>
      </c>
      <c r="F21" s="131">
        <v>0</v>
      </c>
      <c r="G21" s="140">
        <v>0</v>
      </c>
      <c r="H21" s="131">
        <v>0</v>
      </c>
      <c r="I21" s="131">
        <v>0</v>
      </c>
      <c r="J21" s="131">
        <v>0</v>
      </c>
      <c r="K21" s="140">
        <v>0</v>
      </c>
    </row>
    <row r="22" spans="1:11" x14ac:dyDescent="0.25">
      <c r="A22" s="100" t="s">
        <v>1059</v>
      </c>
      <c r="B22" s="100" t="s">
        <v>288</v>
      </c>
      <c r="C22" s="214" t="s">
        <v>12</v>
      </c>
      <c r="D22" s="140">
        <v>234635</v>
      </c>
      <c r="E22" s="131">
        <v>0</v>
      </c>
      <c r="F22" s="140">
        <v>234635</v>
      </c>
      <c r="G22" s="140">
        <v>234635</v>
      </c>
      <c r="H22" s="140">
        <v>234635</v>
      </c>
      <c r="I22" s="131">
        <v>0</v>
      </c>
      <c r="J22" s="140">
        <v>234635</v>
      </c>
      <c r="K22" s="140">
        <v>234635</v>
      </c>
    </row>
    <row r="23" spans="1:11" x14ac:dyDescent="0.25">
      <c r="A23" s="100" t="s">
        <v>520</v>
      </c>
      <c r="B23" s="100" t="s">
        <v>892</v>
      </c>
      <c r="C23" s="214" t="s">
        <v>834</v>
      </c>
      <c r="D23" s="140">
        <v>234635</v>
      </c>
      <c r="E23" s="131">
        <v>0</v>
      </c>
      <c r="F23" s="140">
        <v>234635</v>
      </c>
      <c r="G23" s="140">
        <v>234635</v>
      </c>
      <c r="H23" s="140">
        <v>234635</v>
      </c>
      <c r="I23" s="131">
        <v>0</v>
      </c>
      <c r="J23" s="140">
        <v>234635</v>
      </c>
      <c r="K23" s="140">
        <v>234635</v>
      </c>
    </row>
    <row r="24" spans="1:11" x14ac:dyDescent="0.25">
      <c r="A24" s="100" t="s">
        <v>884</v>
      </c>
      <c r="B24" s="100" t="s">
        <v>307</v>
      </c>
      <c r="C24" s="214" t="s">
        <v>997</v>
      </c>
      <c r="D24" s="131">
        <v>0</v>
      </c>
      <c r="E24" s="131">
        <v>0</v>
      </c>
      <c r="F24" s="131">
        <v>0</v>
      </c>
      <c r="G24" s="140">
        <v>0</v>
      </c>
      <c r="H24" s="131">
        <v>0</v>
      </c>
      <c r="I24" s="131">
        <v>0</v>
      </c>
      <c r="J24" s="131">
        <v>0</v>
      </c>
      <c r="K24" s="140">
        <v>0</v>
      </c>
    </row>
    <row r="25" spans="1:11" x14ac:dyDescent="0.25">
      <c r="A25" s="100" t="s">
        <v>204</v>
      </c>
      <c r="B25" s="100" t="s">
        <v>41</v>
      </c>
      <c r="C25" s="214" t="s">
        <v>525</v>
      </c>
      <c r="D25" s="131">
        <v>0</v>
      </c>
      <c r="E25" s="131">
        <v>0</v>
      </c>
      <c r="F25" s="131">
        <v>0</v>
      </c>
      <c r="G25" s="140">
        <v>0</v>
      </c>
      <c r="H25" s="131">
        <v>0</v>
      </c>
      <c r="I25" s="131">
        <v>0</v>
      </c>
      <c r="J25" s="131">
        <v>0</v>
      </c>
      <c r="K25" s="140">
        <v>0</v>
      </c>
    </row>
    <row r="26" spans="1:11" x14ac:dyDescent="0.25">
      <c r="A26" s="100" t="s">
        <v>373</v>
      </c>
      <c r="B26" s="100" t="s">
        <v>118</v>
      </c>
      <c r="C26" s="214" t="s">
        <v>542</v>
      </c>
      <c r="D26" s="131">
        <v>0</v>
      </c>
      <c r="E26" s="131">
        <v>0</v>
      </c>
      <c r="F26" s="131">
        <v>0</v>
      </c>
      <c r="G26" s="140">
        <v>0</v>
      </c>
      <c r="H26" s="131">
        <v>0</v>
      </c>
      <c r="I26" s="131">
        <v>0</v>
      </c>
      <c r="J26" s="131">
        <v>0</v>
      </c>
      <c r="K26" s="140">
        <v>0</v>
      </c>
    </row>
    <row r="27" spans="1:11" x14ac:dyDescent="0.25">
      <c r="A27" s="100" t="s">
        <v>447</v>
      </c>
      <c r="B27" s="100" t="s">
        <v>767</v>
      </c>
      <c r="C27" s="214" t="s">
        <v>55</v>
      </c>
      <c r="D27" s="131">
        <v>0</v>
      </c>
      <c r="E27" s="131">
        <v>0</v>
      </c>
      <c r="F27" s="131">
        <v>0</v>
      </c>
      <c r="G27" s="140">
        <v>0</v>
      </c>
      <c r="H27" s="131">
        <v>0</v>
      </c>
      <c r="I27" s="131">
        <v>0</v>
      </c>
      <c r="J27" s="131">
        <v>0</v>
      </c>
      <c r="K27" s="140">
        <v>0</v>
      </c>
    </row>
    <row r="28" spans="1:11" x14ac:dyDescent="0.25">
      <c r="A28" s="100" t="s">
        <v>887</v>
      </c>
      <c r="B28" s="100" t="s">
        <v>787</v>
      </c>
      <c r="C28" s="214" t="s">
        <v>744</v>
      </c>
      <c r="D28" s="131">
        <v>0</v>
      </c>
      <c r="E28" s="131">
        <v>0</v>
      </c>
      <c r="F28" s="131">
        <v>0</v>
      </c>
      <c r="G28" s="140">
        <v>0</v>
      </c>
      <c r="H28" s="131">
        <v>0</v>
      </c>
      <c r="I28" s="131">
        <v>0</v>
      </c>
      <c r="J28" s="131">
        <v>0</v>
      </c>
      <c r="K28" s="140">
        <v>0</v>
      </c>
    </row>
    <row r="29" spans="1:11" x14ac:dyDescent="0.25">
      <c r="A29" s="100" t="s">
        <v>928</v>
      </c>
      <c r="B29" s="100" t="s">
        <v>656</v>
      </c>
      <c r="C29" s="214" t="s">
        <v>1072</v>
      </c>
      <c r="D29" s="131">
        <v>0</v>
      </c>
      <c r="E29" s="131">
        <v>0</v>
      </c>
      <c r="F29" s="131">
        <v>0</v>
      </c>
      <c r="G29" s="140">
        <v>0</v>
      </c>
      <c r="H29" s="131">
        <v>0</v>
      </c>
      <c r="I29" s="131">
        <v>0</v>
      </c>
      <c r="J29" s="131">
        <v>0</v>
      </c>
      <c r="K29" s="140">
        <v>0</v>
      </c>
    </row>
    <row r="30" spans="1:11" x14ac:dyDescent="0.25">
      <c r="A30" s="100" t="s">
        <v>850</v>
      </c>
      <c r="B30" s="100" t="s">
        <v>1106</v>
      </c>
      <c r="C30" s="214" t="s">
        <v>1117</v>
      </c>
      <c r="D30" s="131">
        <v>0</v>
      </c>
      <c r="E30" s="131">
        <v>0</v>
      </c>
      <c r="F30" s="131">
        <v>0</v>
      </c>
      <c r="G30" s="140">
        <v>0</v>
      </c>
      <c r="H30" s="131">
        <v>0</v>
      </c>
      <c r="I30" s="131">
        <v>0</v>
      </c>
      <c r="J30" s="131">
        <v>0</v>
      </c>
      <c r="K30" s="140">
        <v>0</v>
      </c>
    </row>
    <row r="31" spans="1:11" x14ac:dyDescent="0.25">
      <c r="A31" s="100" t="s">
        <v>35</v>
      </c>
      <c r="B31" s="100" t="s">
        <v>758</v>
      </c>
      <c r="C31" s="214" t="s">
        <v>284</v>
      </c>
      <c r="D31" s="131">
        <v>0</v>
      </c>
      <c r="E31" s="131">
        <v>0</v>
      </c>
      <c r="F31" s="131">
        <v>0</v>
      </c>
      <c r="G31" s="140">
        <v>0</v>
      </c>
      <c r="H31" s="131">
        <v>0</v>
      </c>
      <c r="I31" s="131">
        <v>0</v>
      </c>
      <c r="J31" s="131">
        <v>0</v>
      </c>
      <c r="K31" s="140">
        <v>0</v>
      </c>
    </row>
    <row r="32" spans="1:11" x14ac:dyDescent="0.25">
      <c r="A32" s="100" t="s">
        <v>668</v>
      </c>
      <c r="B32" s="100" t="s">
        <v>108</v>
      </c>
      <c r="C32" s="214" t="s">
        <v>996</v>
      </c>
      <c r="D32" s="131">
        <v>0</v>
      </c>
      <c r="E32" s="131">
        <v>0</v>
      </c>
      <c r="F32" s="131">
        <v>0</v>
      </c>
      <c r="G32" s="140">
        <v>0</v>
      </c>
      <c r="H32" s="131">
        <v>0</v>
      </c>
      <c r="I32" s="131">
        <v>0</v>
      </c>
      <c r="J32" s="131">
        <v>0</v>
      </c>
      <c r="K32" s="140">
        <v>0</v>
      </c>
    </row>
    <row r="33" spans="1:11" x14ac:dyDescent="0.25">
      <c r="A33" s="100" t="s">
        <v>800</v>
      </c>
      <c r="B33" s="100" t="s">
        <v>1069</v>
      </c>
      <c r="C33" s="214" t="s">
        <v>330</v>
      </c>
      <c r="D33" s="131">
        <v>0</v>
      </c>
      <c r="E33" s="131">
        <v>0</v>
      </c>
      <c r="F33" s="131">
        <v>0</v>
      </c>
      <c r="G33" s="140">
        <v>0</v>
      </c>
      <c r="H33" s="131">
        <v>0</v>
      </c>
      <c r="I33" s="131">
        <v>0</v>
      </c>
      <c r="J33" s="131">
        <v>0</v>
      </c>
      <c r="K33" s="140">
        <v>0</v>
      </c>
    </row>
    <row r="34" spans="1:11" x14ac:dyDescent="0.25">
      <c r="A34" s="100" t="s">
        <v>318</v>
      </c>
      <c r="B34" s="100" t="s">
        <v>311</v>
      </c>
      <c r="C34" s="214" t="s">
        <v>621</v>
      </c>
      <c r="D34" s="140">
        <v>1189669.98</v>
      </c>
      <c r="E34" s="140">
        <v>0</v>
      </c>
      <c r="F34" s="140">
        <v>1189669.98</v>
      </c>
      <c r="G34" s="140">
        <v>957271.63</v>
      </c>
      <c r="H34" s="140">
        <v>1189669.98</v>
      </c>
      <c r="I34" s="140">
        <v>0</v>
      </c>
      <c r="J34" s="140">
        <v>1189669.98</v>
      </c>
      <c r="K34" s="140">
        <v>957271</v>
      </c>
    </row>
    <row r="35" spans="1:11" x14ac:dyDescent="0.25">
      <c r="A35" s="100" t="s">
        <v>1015</v>
      </c>
      <c r="B35" s="100" t="s">
        <v>512</v>
      </c>
      <c r="C35" s="214" t="s">
        <v>489</v>
      </c>
      <c r="D35" s="131">
        <v>0</v>
      </c>
      <c r="E35" s="131">
        <v>0</v>
      </c>
      <c r="F35" s="131">
        <v>0</v>
      </c>
      <c r="G35" s="140">
        <v>0</v>
      </c>
      <c r="H35" s="131">
        <v>0</v>
      </c>
      <c r="I35" s="131">
        <v>0</v>
      </c>
      <c r="J35" s="131">
        <v>0</v>
      </c>
      <c r="K35" s="140">
        <v>0</v>
      </c>
    </row>
    <row r="36" spans="1:11" x14ac:dyDescent="0.25">
      <c r="A36" s="100" t="s">
        <v>253</v>
      </c>
      <c r="B36" s="100" t="s">
        <v>838</v>
      </c>
      <c r="C36" s="214" t="s">
        <v>456</v>
      </c>
      <c r="D36" s="131">
        <v>0</v>
      </c>
      <c r="E36" s="131">
        <v>0</v>
      </c>
      <c r="F36" s="131">
        <v>0</v>
      </c>
      <c r="G36" s="140">
        <v>0</v>
      </c>
      <c r="H36" s="131">
        <v>0</v>
      </c>
      <c r="I36" s="131">
        <v>0</v>
      </c>
      <c r="J36" s="131">
        <v>0</v>
      </c>
      <c r="K36" s="140">
        <v>0</v>
      </c>
    </row>
    <row r="37" spans="1:11" x14ac:dyDescent="0.25">
      <c r="A37" s="100" t="s">
        <v>884</v>
      </c>
      <c r="B37" s="100" t="s">
        <v>698</v>
      </c>
      <c r="C37" s="214" t="s">
        <v>467</v>
      </c>
      <c r="D37" s="131">
        <v>0</v>
      </c>
      <c r="E37" s="131">
        <v>0</v>
      </c>
      <c r="F37" s="131">
        <v>0</v>
      </c>
      <c r="G37" s="140">
        <v>0</v>
      </c>
      <c r="H37" s="131">
        <v>0</v>
      </c>
      <c r="I37" s="131">
        <v>0</v>
      </c>
      <c r="J37" s="131">
        <v>0</v>
      </c>
      <c r="K37" s="140">
        <v>0</v>
      </c>
    </row>
    <row r="38" spans="1:11" x14ac:dyDescent="0.25">
      <c r="A38" s="100" t="s">
        <v>204</v>
      </c>
      <c r="B38" s="100" t="s">
        <v>574</v>
      </c>
      <c r="C38" s="214" t="s">
        <v>585</v>
      </c>
      <c r="D38" s="131">
        <v>0</v>
      </c>
      <c r="E38" s="131">
        <v>0</v>
      </c>
      <c r="F38" s="131">
        <v>0</v>
      </c>
      <c r="G38" s="140">
        <v>0</v>
      </c>
      <c r="H38" s="131">
        <v>0</v>
      </c>
      <c r="I38" s="131">
        <v>0</v>
      </c>
      <c r="J38" s="131">
        <v>0</v>
      </c>
      <c r="K38" s="140">
        <v>0</v>
      </c>
    </row>
    <row r="39" spans="1:11" x14ac:dyDescent="0.25">
      <c r="A39" s="100" t="s">
        <v>373</v>
      </c>
      <c r="B39" s="100" t="s">
        <v>674</v>
      </c>
      <c r="C39" s="214" t="s">
        <v>181</v>
      </c>
      <c r="D39" s="131">
        <v>0</v>
      </c>
      <c r="E39" s="131">
        <v>0</v>
      </c>
      <c r="F39" s="131">
        <v>0</v>
      </c>
      <c r="G39" s="140">
        <v>0</v>
      </c>
      <c r="H39" s="131">
        <v>0</v>
      </c>
      <c r="I39" s="131">
        <v>0</v>
      </c>
      <c r="J39" s="131">
        <v>0</v>
      </c>
      <c r="K39" s="140">
        <v>0</v>
      </c>
    </row>
    <row r="40" spans="1:11" x14ac:dyDescent="0.25">
      <c r="A40" s="100" t="s">
        <v>447</v>
      </c>
      <c r="B40" s="100" t="s">
        <v>403</v>
      </c>
      <c r="C40" s="214" t="s">
        <v>17</v>
      </c>
      <c r="D40" s="131">
        <v>0</v>
      </c>
      <c r="E40" s="131">
        <v>0</v>
      </c>
      <c r="F40" s="131">
        <v>0</v>
      </c>
      <c r="G40" s="140">
        <v>0</v>
      </c>
      <c r="H40" s="131">
        <v>0</v>
      </c>
      <c r="I40" s="131">
        <v>0</v>
      </c>
      <c r="J40" s="131">
        <v>0</v>
      </c>
      <c r="K40" s="140">
        <v>0</v>
      </c>
    </row>
    <row r="41" spans="1:11" x14ac:dyDescent="0.25">
      <c r="A41" s="100" t="s">
        <v>887</v>
      </c>
      <c r="B41" s="100" t="s">
        <v>580</v>
      </c>
      <c r="C41" s="214" t="s">
        <v>783</v>
      </c>
      <c r="D41" s="131">
        <v>0</v>
      </c>
      <c r="E41" s="131">
        <v>0</v>
      </c>
      <c r="F41" s="131">
        <v>0</v>
      </c>
      <c r="G41" s="140">
        <v>0</v>
      </c>
      <c r="H41" s="131">
        <v>0</v>
      </c>
      <c r="I41" s="131">
        <v>0</v>
      </c>
      <c r="J41" s="131">
        <v>0</v>
      </c>
      <c r="K41" s="140">
        <v>0</v>
      </c>
    </row>
    <row r="42" spans="1:11" x14ac:dyDescent="0.25">
      <c r="A42" s="100" t="s">
        <v>346</v>
      </c>
      <c r="B42" s="100" t="s">
        <v>567</v>
      </c>
      <c r="C42" s="214" t="s">
        <v>207</v>
      </c>
      <c r="D42" s="131">
        <v>0</v>
      </c>
      <c r="E42" s="131">
        <v>0</v>
      </c>
      <c r="F42" s="131">
        <v>0</v>
      </c>
      <c r="G42" s="140">
        <v>0</v>
      </c>
      <c r="H42" s="131">
        <v>0</v>
      </c>
      <c r="I42" s="131">
        <v>0</v>
      </c>
      <c r="J42" s="131">
        <v>0</v>
      </c>
      <c r="K42" s="140">
        <v>0</v>
      </c>
    </row>
    <row r="43" spans="1:11" x14ac:dyDescent="0.25">
      <c r="A43" s="100" t="s">
        <v>321</v>
      </c>
      <c r="B43" s="100" t="s">
        <v>309</v>
      </c>
      <c r="C43" s="214" t="s">
        <v>547</v>
      </c>
      <c r="D43" s="131">
        <v>0</v>
      </c>
      <c r="E43" s="131">
        <v>0</v>
      </c>
      <c r="F43" s="131">
        <v>0</v>
      </c>
      <c r="G43" s="140">
        <v>0</v>
      </c>
      <c r="H43" s="131">
        <v>0</v>
      </c>
      <c r="I43" s="131">
        <v>0</v>
      </c>
      <c r="J43" s="131">
        <v>0</v>
      </c>
      <c r="K43" s="140">
        <v>0</v>
      </c>
    </row>
    <row r="44" spans="1:11" x14ac:dyDescent="0.25">
      <c r="A44" s="100" t="s">
        <v>713</v>
      </c>
      <c r="B44" s="100" t="s">
        <v>395</v>
      </c>
      <c r="C44" s="214" t="s">
        <v>1102</v>
      </c>
      <c r="D44" s="131">
        <v>0</v>
      </c>
      <c r="E44" s="131">
        <v>0</v>
      </c>
      <c r="F44" s="131">
        <v>0</v>
      </c>
      <c r="G44" s="140">
        <v>0</v>
      </c>
      <c r="H44" s="131">
        <v>0</v>
      </c>
      <c r="I44" s="131">
        <v>0</v>
      </c>
      <c r="J44" s="131">
        <v>0</v>
      </c>
      <c r="K44" s="140">
        <v>0</v>
      </c>
    </row>
    <row r="45" spans="1:11" x14ac:dyDescent="0.25">
      <c r="A45" s="100" t="s">
        <v>386</v>
      </c>
      <c r="B45" s="100" t="s">
        <v>995</v>
      </c>
      <c r="C45" s="214" t="s">
        <v>475</v>
      </c>
      <c r="D45" s="131">
        <v>0</v>
      </c>
      <c r="E45" s="131">
        <v>0</v>
      </c>
      <c r="F45" s="131">
        <v>0</v>
      </c>
      <c r="G45" s="140">
        <v>0</v>
      </c>
      <c r="H45" s="131">
        <v>0</v>
      </c>
      <c r="I45" s="131">
        <v>0</v>
      </c>
      <c r="J45" s="131">
        <v>0</v>
      </c>
      <c r="K45" s="140">
        <v>0</v>
      </c>
    </row>
    <row r="46" spans="1:11" x14ac:dyDescent="0.25">
      <c r="A46" s="100" t="s">
        <v>443</v>
      </c>
      <c r="B46" s="100" t="s">
        <v>165</v>
      </c>
      <c r="C46" s="214" t="s">
        <v>803</v>
      </c>
      <c r="D46" s="131">
        <v>0</v>
      </c>
      <c r="E46" s="131">
        <v>0</v>
      </c>
      <c r="F46" s="131">
        <v>0</v>
      </c>
      <c r="G46" s="140">
        <v>0</v>
      </c>
      <c r="H46" s="131">
        <v>0</v>
      </c>
      <c r="I46" s="131">
        <v>0</v>
      </c>
      <c r="J46" s="131">
        <v>0</v>
      </c>
      <c r="K46" s="140">
        <v>0</v>
      </c>
    </row>
    <row r="47" spans="1:11" x14ac:dyDescent="0.25">
      <c r="A47" s="100" t="s">
        <v>884</v>
      </c>
      <c r="B47" s="100" t="s">
        <v>732</v>
      </c>
      <c r="C47" s="214" t="s">
        <v>938</v>
      </c>
      <c r="D47" s="131">
        <v>0</v>
      </c>
      <c r="E47" s="131">
        <v>0</v>
      </c>
      <c r="F47" s="131">
        <v>0</v>
      </c>
      <c r="G47" s="140">
        <v>0</v>
      </c>
      <c r="H47" s="131">
        <v>0</v>
      </c>
      <c r="I47" s="131">
        <v>0</v>
      </c>
      <c r="J47" s="131">
        <v>0</v>
      </c>
      <c r="K47" s="140">
        <v>0</v>
      </c>
    </row>
    <row r="48" spans="1:11" x14ac:dyDescent="0.25">
      <c r="A48" s="100" t="s">
        <v>204</v>
      </c>
      <c r="B48" s="100" t="s">
        <v>973</v>
      </c>
      <c r="C48" s="214" t="s">
        <v>951</v>
      </c>
      <c r="D48" s="131">
        <v>0</v>
      </c>
      <c r="E48" s="131">
        <v>0</v>
      </c>
      <c r="F48" s="131">
        <v>0</v>
      </c>
      <c r="G48" s="140">
        <v>0</v>
      </c>
      <c r="H48" s="131">
        <v>0</v>
      </c>
      <c r="I48" s="131">
        <v>0</v>
      </c>
      <c r="J48" s="131">
        <v>0</v>
      </c>
      <c r="K48" s="140">
        <v>0</v>
      </c>
    </row>
    <row r="49" spans="1:11" x14ac:dyDescent="0.25">
      <c r="A49" s="100" t="s">
        <v>373</v>
      </c>
      <c r="B49" s="100" t="s">
        <v>537</v>
      </c>
      <c r="C49" s="214" t="s">
        <v>832</v>
      </c>
      <c r="D49" s="131">
        <v>0</v>
      </c>
      <c r="E49" s="131">
        <v>0</v>
      </c>
      <c r="F49" s="131">
        <v>0</v>
      </c>
      <c r="G49" s="140">
        <v>0</v>
      </c>
      <c r="H49" s="131">
        <v>0</v>
      </c>
      <c r="I49" s="131">
        <v>0</v>
      </c>
      <c r="J49" s="131">
        <v>0</v>
      </c>
      <c r="K49" s="140">
        <v>0</v>
      </c>
    </row>
    <row r="50" spans="1:11" x14ac:dyDescent="0.25">
      <c r="A50" s="100" t="s">
        <v>447</v>
      </c>
      <c r="B50" s="100" t="s">
        <v>146</v>
      </c>
      <c r="C50" s="214" t="s">
        <v>310</v>
      </c>
      <c r="D50" s="131">
        <v>0</v>
      </c>
      <c r="E50" s="131">
        <v>0</v>
      </c>
      <c r="F50" s="131">
        <v>0</v>
      </c>
      <c r="G50" s="140">
        <v>0</v>
      </c>
      <c r="H50" s="131">
        <v>0</v>
      </c>
      <c r="I50" s="131">
        <v>0</v>
      </c>
      <c r="J50" s="131">
        <v>0</v>
      </c>
      <c r="K50" s="140">
        <v>0</v>
      </c>
    </row>
    <row r="51" spans="1:11" x14ac:dyDescent="0.25">
      <c r="A51" s="100" t="s">
        <v>887</v>
      </c>
      <c r="B51" s="100" t="s">
        <v>338</v>
      </c>
      <c r="C51" s="214" t="s">
        <v>774</v>
      </c>
      <c r="D51" s="131">
        <v>0</v>
      </c>
      <c r="E51" s="131">
        <v>0</v>
      </c>
      <c r="F51" s="131">
        <v>0</v>
      </c>
      <c r="G51" s="140">
        <v>0</v>
      </c>
      <c r="H51" s="131">
        <v>0</v>
      </c>
      <c r="I51" s="131">
        <v>0</v>
      </c>
      <c r="J51" s="131">
        <v>0</v>
      </c>
      <c r="K51" s="140">
        <v>0</v>
      </c>
    </row>
    <row r="52" spans="1:11" x14ac:dyDescent="0.25">
      <c r="A52" s="100" t="s">
        <v>928</v>
      </c>
      <c r="B52" s="100" t="s">
        <v>974</v>
      </c>
      <c r="C52" s="214" t="s">
        <v>272</v>
      </c>
      <c r="D52" s="131">
        <v>0</v>
      </c>
      <c r="E52" s="131">
        <v>0</v>
      </c>
      <c r="F52" s="131">
        <v>0</v>
      </c>
      <c r="G52" s="140">
        <v>0</v>
      </c>
      <c r="H52" s="131">
        <v>0</v>
      </c>
      <c r="I52" s="131">
        <v>0</v>
      </c>
      <c r="J52" s="131">
        <v>0</v>
      </c>
      <c r="K52" s="140">
        <v>0</v>
      </c>
    </row>
    <row r="53" spans="1:11" x14ac:dyDescent="0.25">
      <c r="A53" s="100" t="s">
        <v>850</v>
      </c>
      <c r="B53" s="100" t="s">
        <v>31</v>
      </c>
      <c r="C53" s="214" t="s">
        <v>593</v>
      </c>
      <c r="D53" s="131">
        <v>0</v>
      </c>
      <c r="E53" s="131">
        <v>0</v>
      </c>
      <c r="F53" s="131">
        <v>0</v>
      </c>
      <c r="G53" s="140">
        <v>0</v>
      </c>
      <c r="H53" s="131">
        <v>0</v>
      </c>
      <c r="I53" s="131">
        <v>0</v>
      </c>
      <c r="J53" s="131">
        <v>0</v>
      </c>
      <c r="K53" s="140">
        <v>0</v>
      </c>
    </row>
    <row r="54" spans="1:11" x14ac:dyDescent="0.25">
      <c r="A54" s="100" t="s">
        <v>721</v>
      </c>
      <c r="B54" s="100" t="s">
        <v>242</v>
      </c>
      <c r="C54" s="214" t="s">
        <v>535</v>
      </c>
      <c r="D54" s="140">
        <v>1023307.92</v>
      </c>
      <c r="E54" s="140">
        <v>0</v>
      </c>
      <c r="F54" s="140">
        <v>1023307.92</v>
      </c>
      <c r="G54" s="140">
        <v>794848.49</v>
      </c>
      <c r="H54" s="140">
        <v>1023307.92</v>
      </c>
      <c r="I54" s="140">
        <v>0</v>
      </c>
      <c r="J54" s="140">
        <v>1023307.92</v>
      </c>
      <c r="K54" s="140">
        <v>794848</v>
      </c>
    </row>
    <row r="55" spans="1:11" x14ac:dyDescent="0.25">
      <c r="A55" s="100" t="s">
        <v>1115</v>
      </c>
      <c r="B55" s="100" t="s">
        <v>611</v>
      </c>
      <c r="C55" s="214" t="s">
        <v>331</v>
      </c>
      <c r="D55" s="140">
        <v>621025.54</v>
      </c>
      <c r="E55" s="140">
        <v>0</v>
      </c>
      <c r="F55" s="140">
        <v>621025.54</v>
      </c>
      <c r="G55" s="140">
        <v>409276.2</v>
      </c>
      <c r="H55" s="140">
        <v>621025.54</v>
      </c>
      <c r="I55" s="140">
        <v>0</v>
      </c>
      <c r="J55" s="140">
        <v>621025.54</v>
      </c>
      <c r="K55" s="140">
        <v>409276</v>
      </c>
    </row>
    <row r="56" spans="1:11" x14ac:dyDescent="0.25">
      <c r="A56" s="100" t="s">
        <v>713</v>
      </c>
      <c r="B56" s="100" t="s">
        <v>395</v>
      </c>
      <c r="C56" s="214" t="s">
        <v>949</v>
      </c>
      <c r="D56" s="131">
        <v>0</v>
      </c>
      <c r="E56" s="131">
        <v>0</v>
      </c>
      <c r="F56" s="131">
        <v>0</v>
      </c>
      <c r="G56" s="140">
        <v>0</v>
      </c>
      <c r="H56" s="131">
        <v>0</v>
      </c>
      <c r="I56" s="131">
        <v>0</v>
      </c>
      <c r="J56" s="131">
        <v>0</v>
      </c>
      <c r="K56" s="140">
        <v>0</v>
      </c>
    </row>
    <row r="57" spans="1:11" x14ac:dyDescent="0.25">
      <c r="A57" s="100" t="s">
        <v>386</v>
      </c>
      <c r="B57" s="100" t="s">
        <v>995</v>
      </c>
      <c r="C57" s="214" t="s">
        <v>306</v>
      </c>
      <c r="D57" s="131">
        <v>0</v>
      </c>
      <c r="E57" s="131">
        <v>0</v>
      </c>
      <c r="F57" s="131">
        <v>0</v>
      </c>
      <c r="G57" s="140">
        <v>0</v>
      </c>
      <c r="H57" s="131">
        <v>0</v>
      </c>
      <c r="I57" s="131">
        <v>0</v>
      </c>
      <c r="J57" s="131">
        <v>0</v>
      </c>
      <c r="K57" s="140">
        <v>0</v>
      </c>
    </row>
    <row r="58" spans="1:11" x14ac:dyDescent="0.25">
      <c r="A58" s="100" t="s">
        <v>443</v>
      </c>
      <c r="B58" s="100" t="s">
        <v>165</v>
      </c>
      <c r="C58" s="214" t="s">
        <v>1093</v>
      </c>
      <c r="D58" s="140">
        <v>621025.54</v>
      </c>
      <c r="E58" s="140">
        <v>0</v>
      </c>
      <c r="F58" s="140">
        <v>621025.54</v>
      </c>
      <c r="G58" s="140">
        <v>409276.2</v>
      </c>
      <c r="H58" s="140">
        <v>621025.54</v>
      </c>
      <c r="I58" s="140">
        <v>0</v>
      </c>
      <c r="J58" s="140">
        <v>621025.54</v>
      </c>
      <c r="K58" s="140">
        <v>409276</v>
      </c>
    </row>
    <row r="59" spans="1:11" x14ac:dyDescent="0.25">
      <c r="A59" s="100" t="s">
        <v>884</v>
      </c>
      <c r="B59" s="100" t="s">
        <v>732</v>
      </c>
      <c r="C59" s="214" t="s">
        <v>568</v>
      </c>
      <c r="D59" s="131">
        <v>0</v>
      </c>
      <c r="E59" s="131">
        <v>0</v>
      </c>
      <c r="F59" s="131">
        <v>0</v>
      </c>
      <c r="G59" s="140">
        <v>0</v>
      </c>
      <c r="H59" s="131">
        <v>0</v>
      </c>
      <c r="I59" s="131">
        <v>0</v>
      </c>
      <c r="J59" s="131">
        <v>0</v>
      </c>
      <c r="K59" s="140">
        <v>0</v>
      </c>
    </row>
    <row r="60" spans="1:11" x14ac:dyDescent="0.25">
      <c r="A60" s="100" t="s">
        <v>204</v>
      </c>
      <c r="B60" s="100" t="s">
        <v>973</v>
      </c>
      <c r="C60" s="214" t="s">
        <v>363</v>
      </c>
      <c r="D60" s="131">
        <v>0</v>
      </c>
      <c r="E60" s="131">
        <v>0</v>
      </c>
      <c r="F60" s="131">
        <v>0</v>
      </c>
      <c r="G60" s="140">
        <v>0</v>
      </c>
      <c r="H60" s="131">
        <v>0</v>
      </c>
      <c r="I60" s="131">
        <v>0</v>
      </c>
      <c r="J60" s="131">
        <v>0</v>
      </c>
      <c r="K60" s="140">
        <v>0</v>
      </c>
    </row>
    <row r="61" spans="1:11" x14ac:dyDescent="0.25">
      <c r="A61" s="100" t="s">
        <v>373</v>
      </c>
      <c r="B61" s="100" t="s">
        <v>537</v>
      </c>
      <c r="C61" s="214" t="s">
        <v>1020</v>
      </c>
      <c r="D61" s="131">
        <v>0</v>
      </c>
      <c r="E61" s="131">
        <v>0</v>
      </c>
      <c r="F61" s="131">
        <v>0</v>
      </c>
      <c r="G61" s="140">
        <v>0</v>
      </c>
      <c r="H61" s="131">
        <v>0</v>
      </c>
      <c r="I61" s="131">
        <v>0</v>
      </c>
      <c r="J61" s="131">
        <v>0</v>
      </c>
      <c r="K61" s="140">
        <v>0</v>
      </c>
    </row>
    <row r="62" spans="1:11" x14ac:dyDescent="0.25">
      <c r="A62" s="100" t="s">
        <v>447</v>
      </c>
      <c r="B62" s="100" t="s">
        <v>912</v>
      </c>
      <c r="C62" s="214" t="s">
        <v>906</v>
      </c>
      <c r="D62" s="131">
        <v>0</v>
      </c>
      <c r="E62" s="131">
        <v>0</v>
      </c>
      <c r="F62" s="131">
        <v>0</v>
      </c>
      <c r="G62" s="140">
        <v>0</v>
      </c>
      <c r="H62" s="131">
        <v>0</v>
      </c>
      <c r="I62" s="131">
        <v>0</v>
      </c>
      <c r="J62" s="131">
        <v>0</v>
      </c>
      <c r="K62" s="140">
        <v>0</v>
      </c>
    </row>
    <row r="63" spans="1:11" x14ac:dyDescent="0.25">
      <c r="A63" s="100" t="s">
        <v>887</v>
      </c>
      <c r="B63" s="100" t="s">
        <v>649</v>
      </c>
      <c r="C63" s="214" t="s">
        <v>193</v>
      </c>
      <c r="D63" s="131">
        <v>0</v>
      </c>
      <c r="E63" s="131">
        <v>0</v>
      </c>
      <c r="F63" s="131">
        <v>0</v>
      </c>
      <c r="G63" s="140">
        <v>0</v>
      </c>
      <c r="H63" s="131">
        <v>0</v>
      </c>
      <c r="I63" s="131">
        <v>0</v>
      </c>
      <c r="J63" s="131">
        <v>0</v>
      </c>
      <c r="K63" s="140">
        <v>0</v>
      </c>
    </row>
    <row r="64" spans="1:11" x14ac:dyDescent="0.25">
      <c r="A64" s="100" t="s">
        <v>928</v>
      </c>
      <c r="B64" s="100" t="s">
        <v>1006</v>
      </c>
      <c r="C64" s="214" t="s">
        <v>684</v>
      </c>
      <c r="D64" s="140">
        <v>0</v>
      </c>
      <c r="E64" s="131">
        <v>0</v>
      </c>
      <c r="F64" s="140">
        <v>0</v>
      </c>
      <c r="G64" s="140">
        <v>737.43</v>
      </c>
      <c r="H64" s="140">
        <v>0</v>
      </c>
      <c r="I64" s="131">
        <v>0</v>
      </c>
      <c r="J64" s="140">
        <v>0</v>
      </c>
      <c r="K64" s="140">
        <v>737</v>
      </c>
    </row>
    <row r="65" spans="1:11" x14ac:dyDescent="0.25">
      <c r="A65" s="100" t="s">
        <v>850</v>
      </c>
      <c r="B65" s="100" t="s">
        <v>338</v>
      </c>
      <c r="C65" s="214" t="s">
        <v>1044</v>
      </c>
      <c r="D65" s="131">
        <v>0</v>
      </c>
      <c r="E65" s="131">
        <v>0</v>
      </c>
      <c r="F65" s="131">
        <v>0</v>
      </c>
      <c r="G65" s="140">
        <v>0</v>
      </c>
      <c r="H65" s="131">
        <v>0</v>
      </c>
      <c r="I65" s="131">
        <v>0</v>
      </c>
      <c r="J65" s="131">
        <v>0</v>
      </c>
      <c r="K65" s="140">
        <v>0</v>
      </c>
    </row>
    <row r="66" spans="1:11" x14ac:dyDescent="0.25">
      <c r="A66" s="100" t="s">
        <v>35</v>
      </c>
      <c r="B66" s="100" t="s">
        <v>524</v>
      </c>
      <c r="C66" s="214" t="s">
        <v>16</v>
      </c>
      <c r="D66" s="140">
        <v>402282.38</v>
      </c>
      <c r="E66" s="131">
        <v>0</v>
      </c>
      <c r="F66" s="140">
        <v>402282.38</v>
      </c>
      <c r="G66" s="140">
        <v>384834.86</v>
      </c>
      <c r="H66" s="140">
        <v>402282.38</v>
      </c>
      <c r="I66" s="131">
        <v>0</v>
      </c>
      <c r="J66" s="140">
        <v>402282.38</v>
      </c>
      <c r="K66" s="140">
        <v>384835</v>
      </c>
    </row>
    <row r="67" spans="1:11" x14ac:dyDescent="0.25">
      <c r="A67" s="100" t="s">
        <v>98</v>
      </c>
      <c r="B67" s="100" t="s">
        <v>929</v>
      </c>
      <c r="C67" s="214" t="s">
        <v>1001</v>
      </c>
      <c r="D67" s="131">
        <v>0</v>
      </c>
      <c r="E67" s="140">
        <v>0</v>
      </c>
      <c r="F67" s="140">
        <v>0</v>
      </c>
      <c r="G67" s="140">
        <v>-174.61</v>
      </c>
      <c r="H67" s="131">
        <v>0</v>
      </c>
      <c r="I67" s="140">
        <v>0</v>
      </c>
      <c r="J67" s="140">
        <v>0</v>
      </c>
      <c r="K67" s="140">
        <v>-175</v>
      </c>
    </row>
    <row r="68" spans="1:11" x14ac:dyDescent="0.25">
      <c r="A68" s="100" t="s">
        <v>821</v>
      </c>
      <c r="B68" s="100" t="s">
        <v>28</v>
      </c>
      <c r="C68" s="214" t="s">
        <v>1003</v>
      </c>
      <c r="D68" s="131">
        <v>0</v>
      </c>
      <c r="E68" s="131">
        <v>0</v>
      </c>
      <c r="F68" s="131">
        <v>0</v>
      </c>
      <c r="G68" s="140">
        <v>0</v>
      </c>
      <c r="H68" s="131">
        <v>0</v>
      </c>
      <c r="I68" s="131">
        <v>0</v>
      </c>
      <c r="J68" s="131">
        <v>0</v>
      </c>
      <c r="K68" s="140">
        <v>0</v>
      </c>
    </row>
    <row r="69" spans="1:11" x14ac:dyDescent="0.25">
      <c r="A69" s="176" t="s">
        <v>884</v>
      </c>
      <c r="B69" s="176" t="s">
        <v>814</v>
      </c>
      <c r="C69" s="82" t="s">
        <v>432</v>
      </c>
      <c r="D69" s="6">
        <v>0</v>
      </c>
      <c r="E69" s="203">
        <v>0</v>
      </c>
      <c r="F69" s="203">
        <v>0</v>
      </c>
      <c r="G69" s="203">
        <v>-174.61</v>
      </c>
      <c r="H69" s="6">
        <v>0</v>
      </c>
      <c r="I69" s="203">
        <v>0</v>
      </c>
      <c r="J69" s="203">
        <v>0</v>
      </c>
      <c r="K69" s="203">
        <v>-175</v>
      </c>
    </row>
    <row r="70" spans="1:11" x14ac:dyDescent="0.25">
      <c r="A70" s="176" t="s">
        <v>204</v>
      </c>
      <c r="B70" s="176" t="s">
        <v>942</v>
      </c>
      <c r="C70" s="82" t="s">
        <v>768</v>
      </c>
      <c r="D70" s="6">
        <v>0</v>
      </c>
      <c r="E70" s="6">
        <v>0</v>
      </c>
      <c r="F70" s="6">
        <v>0</v>
      </c>
      <c r="G70" s="203">
        <v>0</v>
      </c>
      <c r="H70" s="6">
        <v>0</v>
      </c>
      <c r="I70" s="6">
        <v>0</v>
      </c>
      <c r="J70" s="6">
        <v>0</v>
      </c>
      <c r="K70" s="203">
        <v>0</v>
      </c>
    </row>
    <row r="71" spans="1:11" x14ac:dyDescent="0.25">
      <c r="A71" s="176" t="s">
        <v>373</v>
      </c>
      <c r="B71" s="176" t="s">
        <v>230</v>
      </c>
      <c r="C71" s="82" t="s">
        <v>324</v>
      </c>
      <c r="D71" s="6">
        <v>0</v>
      </c>
      <c r="E71" s="6">
        <v>0</v>
      </c>
      <c r="F71" s="6">
        <v>0</v>
      </c>
      <c r="G71" s="203">
        <v>0</v>
      </c>
      <c r="H71" s="6">
        <v>0</v>
      </c>
      <c r="I71" s="6">
        <v>0</v>
      </c>
      <c r="J71" s="6">
        <v>0</v>
      </c>
      <c r="K71" s="203">
        <v>0</v>
      </c>
    </row>
    <row r="72" spans="1:11" x14ac:dyDescent="0.25">
      <c r="A72" s="176" t="s">
        <v>15</v>
      </c>
      <c r="B72" s="176" t="s">
        <v>201</v>
      </c>
      <c r="C72" s="82" t="s">
        <v>1087</v>
      </c>
      <c r="D72" s="203">
        <v>166362.06</v>
      </c>
      <c r="E72" s="6">
        <v>0</v>
      </c>
      <c r="F72" s="203">
        <v>166362.06</v>
      </c>
      <c r="G72" s="203">
        <v>162597.75</v>
      </c>
      <c r="H72" s="203">
        <v>166362.06</v>
      </c>
      <c r="I72" s="6">
        <v>0</v>
      </c>
      <c r="J72" s="203">
        <v>166362.06</v>
      </c>
      <c r="K72" s="203">
        <v>162598</v>
      </c>
    </row>
    <row r="73" spans="1:11" x14ac:dyDescent="0.25">
      <c r="A73" s="176" t="s">
        <v>883</v>
      </c>
      <c r="B73" s="176" t="s">
        <v>776</v>
      </c>
      <c r="C73" s="82" t="s">
        <v>808</v>
      </c>
      <c r="D73" s="203">
        <v>98.8</v>
      </c>
      <c r="E73" s="6">
        <v>0</v>
      </c>
      <c r="F73" s="203">
        <v>98.8</v>
      </c>
      <c r="G73" s="203">
        <v>27598.799999999999</v>
      </c>
      <c r="H73" s="203">
        <v>98.8</v>
      </c>
      <c r="I73" s="6">
        <v>0</v>
      </c>
      <c r="J73" s="203">
        <v>98.8</v>
      </c>
      <c r="K73" s="203">
        <v>27599</v>
      </c>
    </row>
    <row r="74" spans="1:11" x14ac:dyDescent="0.25">
      <c r="A74" s="176" t="s">
        <v>884</v>
      </c>
      <c r="B74" s="176" t="s">
        <v>315</v>
      </c>
      <c r="C74" s="82" t="s">
        <v>573</v>
      </c>
      <c r="D74" s="203">
        <v>166263.26</v>
      </c>
      <c r="E74" s="6">
        <v>0</v>
      </c>
      <c r="F74" s="203">
        <v>166263.26</v>
      </c>
      <c r="G74" s="203">
        <v>134998.95000000001</v>
      </c>
      <c r="H74" s="203">
        <v>166263.26</v>
      </c>
      <c r="I74" s="6">
        <v>0</v>
      </c>
      <c r="J74" s="203">
        <v>166263.26</v>
      </c>
      <c r="K74" s="203">
        <v>134999</v>
      </c>
    </row>
    <row r="75" spans="1:11" x14ac:dyDescent="0.25">
      <c r="A75" s="176" t="s">
        <v>304</v>
      </c>
      <c r="B75" s="176" t="s">
        <v>541</v>
      </c>
      <c r="C75" s="82" t="s">
        <v>228</v>
      </c>
      <c r="D75" s="203">
        <v>1523.68</v>
      </c>
      <c r="E75" s="6">
        <v>0</v>
      </c>
      <c r="F75" s="203">
        <v>1523.68</v>
      </c>
      <c r="G75" s="203">
        <v>1523.68</v>
      </c>
      <c r="H75" s="203">
        <v>1523.68</v>
      </c>
      <c r="I75" s="6">
        <v>0</v>
      </c>
      <c r="J75" s="203">
        <v>1523.68</v>
      </c>
      <c r="K75" s="203">
        <v>1524</v>
      </c>
    </row>
    <row r="76" spans="1:11" x14ac:dyDescent="0.25">
      <c r="A76" s="176" t="s">
        <v>731</v>
      </c>
      <c r="B76" s="176" t="s">
        <v>236</v>
      </c>
      <c r="C76" s="82" t="s">
        <v>865</v>
      </c>
      <c r="D76" s="6">
        <v>0</v>
      </c>
      <c r="E76" s="6">
        <v>0</v>
      </c>
      <c r="F76" s="6">
        <v>0</v>
      </c>
      <c r="G76" s="203">
        <v>0</v>
      </c>
      <c r="H76" s="6">
        <v>0</v>
      </c>
      <c r="I76" s="6">
        <v>0</v>
      </c>
      <c r="J76" s="6">
        <v>0</v>
      </c>
      <c r="K76" s="203">
        <v>0</v>
      </c>
    </row>
    <row r="77" spans="1:11" x14ac:dyDescent="0.25">
      <c r="A77" s="176" t="s">
        <v>884</v>
      </c>
      <c r="B77" s="176" t="s">
        <v>679</v>
      </c>
      <c r="C77" s="82" t="s">
        <v>604</v>
      </c>
      <c r="D77" s="203">
        <v>1523.68</v>
      </c>
      <c r="E77" s="6">
        <v>0</v>
      </c>
      <c r="F77" s="203">
        <v>1523.68</v>
      </c>
      <c r="G77" s="203">
        <v>1523.68</v>
      </c>
      <c r="H77" s="203">
        <v>1523.68</v>
      </c>
      <c r="I77" s="6">
        <v>0</v>
      </c>
      <c r="J77" s="203">
        <v>1523.68</v>
      </c>
      <c r="K77" s="203">
        <v>1524</v>
      </c>
    </row>
    <row r="78" spans="1:11" x14ac:dyDescent="0.25">
      <c r="A78" s="176" t="s">
        <v>204</v>
      </c>
      <c r="B78" s="176" t="s">
        <v>1111</v>
      </c>
      <c r="C78" s="82" t="s">
        <v>700</v>
      </c>
      <c r="D78" s="6">
        <v>0</v>
      </c>
      <c r="E78" s="6">
        <v>0</v>
      </c>
      <c r="F78" s="6">
        <v>0</v>
      </c>
      <c r="G78" s="203">
        <v>0</v>
      </c>
      <c r="H78" s="6">
        <v>0</v>
      </c>
      <c r="I78" s="6">
        <v>0</v>
      </c>
      <c r="J78" s="6">
        <v>0</v>
      </c>
      <c r="K78" s="203">
        <v>0</v>
      </c>
    </row>
    <row r="79" spans="1:11" x14ac:dyDescent="0.25">
      <c r="A79" s="176" t="s">
        <v>373</v>
      </c>
      <c r="B79" s="176" t="s">
        <v>299</v>
      </c>
      <c r="C79" s="82" t="s">
        <v>864</v>
      </c>
      <c r="D79" s="6">
        <v>0</v>
      </c>
      <c r="E79" s="6">
        <v>0</v>
      </c>
      <c r="F79" s="6">
        <v>0</v>
      </c>
      <c r="G79" s="203">
        <v>0</v>
      </c>
      <c r="H79" s="6">
        <v>0</v>
      </c>
      <c r="I79" s="6">
        <v>0</v>
      </c>
      <c r="J79" s="6">
        <v>0</v>
      </c>
      <c r="K79" s="20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6" customWidth="1"/>
    <col min="2" max="4" width="11.28515625" style="76" customWidth="1"/>
    <col min="5" max="5" width="12.5703125" style="76" customWidth="1"/>
    <col min="6" max="10" width="11.28515625" style="76" customWidth="1"/>
    <col min="11" max="16384" width="9.140625" style="76"/>
  </cols>
  <sheetData>
    <row r="1" spans="1:33" ht="16.5" x14ac:dyDescent="0.3">
      <c r="A1" s="98" t="s">
        <v>531</v>
      </c>
    </row>
    <row r="2" spans="1:33" ht="17.25" thickBot="1" x14ac:dyDescent="0.35">
      <c r="A2" s="132" t="s">
        <v>225</v>
      </c>
    </row>
    <row r="3" spans="1:33" ht="16.5" customHeight="1" thickTop="1" thickBot="1" x14ac:dyDescent="0.3">
      <c r="A3" s="248" t="s">
        <v>496</v>
      </c>
      <c r="B3" s="242" t="s">
        <v>121</v>
      </c>
      <c r="C3" s="243"/>
      <c r="D3" s="243"/>
      <c r="E3" s="243"/>
      <c r="F3" s="243"/>
      <c r="G3" s="243"/>
      <c r="H3" s="243"/>
      <c r="I3" s="243"/>
      <c r="J3" s="24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62.25" customHeight="1" thickTop="1" thickBot="1" x14ac:dyDescent="0.3">
      <c r="A4" s="249"/>
      <c r="B4" s="236" t="s">
        <v>907</v>
      </c>
      <c r="C4" s="236" t="s">
        <v>430</v>
      </c>
      <c r="D4" s="236" t="s">
        <v>750</v>
      </c>
      <c r="E4" s="236" t="s">
        <v>104</v>
      </c>
      <c r="F4" s="236" t="s">
        <v>257</v>
      </c>
      <c r="G4" s="236" t="s">
        <v>1079</v>
      </c>
      <c r="H4" s="236" t="s">
        <v>37</v>
      </c>
      <c r="I4" s="236" t="s">
        <v>986</v>
      </c>
      <c r="J4" s="236" t="s">
        <v>872</v>
      </c>
    </row>
    <row r="5" spans="1:33" ht="15" customHeight="1" thickTop="1" thickBot="1" x14ac:dyDescent="0.3">
      <c r="A5" s="207" t="s">
        <v>1090</v>
      </c>
      <c r="B5" s="108"/>
      <c r="C5" s="108"/>
      <c r="D5" s="108"/>
      <c r="E5" s="108"/>
      <c r="F5" s="108"/>
      <c r="G5" s="108"/>
      <c r="H5" s="108"/>
      <c r="I5" s="108"/>
      <c r="J5" s="114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33" ht="24" thickTop="1" thickBot="1" x14ac:dyDescent="0.3">
      <c r="A6" s="209" t="s">
        <v>934</v>
      </c>
      <c r="B6" s="135">
        <f>SUMIF(HK!A:A,"031*",HK!C:C)-SUMIF(HK!A:A,"031*",HK!D:D)</f>
        <v>203519.17</v>
      </c>
      <c r="C6" s="135">
        <f>SUMIF(HK!A:A,"021*",HK!C:C)-SUMIF(HK!A:A,"021*",HK!D:D)</f>
        <v>2611209.4700000002</v>
      </c>
      <c r="D6" s="135">
        <f>SUMIF(HK!A:A,"022*",HK!C:C)-SUMIF(HK!A:A,"022*",HK!D:D)</f>
        <v>447798.19</v>
      </c>
      <c r="E6" s="135">
        <f>SUMIF(HK!A:A,"025*",HK!C:C)-SUMIF(HK!A:A,"025*",HK!D:D)</f>
        <v>0</v>
      </c>
      <c r="F6" s="135">
        <f>SUMIF(HK!A:A,"026*",HK!C:C)-SUMIF(HK!A:A,"026*",HK!D:D)</f>
        <v>0</v>
      </c>
      <c r="G6" s="135">
        <f>SUMIF(HK!A:A,"029*",HK!C:C)-SUMIF(HK!A:A,"029*",HK!D:D)</f>
        <v>0</v>
      </c>
      <c r="H6" s="135">
        <f>SUMIF(HK!A:A,"042*",HK!C:C)-SUMIF(HK!A:A,"042*",HK!D:D)</f>
        <v>139896.04</v>
      </c>
      <c r="I6" s="135">
        <f>SUMIF(HK!A:A,"052*",HK!C:C)-SUMIF(HK!A:A,"052*",HK!D:D)</f>
        <v>0</v>
      </c>
      <c r="J6" s="71">
        <f>SUM(B6:I6)</f>
        <v>3402422.87</v>
      </c>
      <c r="L6" s="38"/>
    </row>
    <row r="7" spans="1:33" ht="15" customHeight="1" thickBot="1" x14ac:dyDescent="0.3">
      <c r="A7" s="112" t="s">
        <v>1064</v>
      </c>
      <c r="B7" s="231"/>
      <c r="C7" s="231"/>
      <c r="D7" s="231"/>
      <c r="E7" s="231"/>
      <c r="F7" s="29"/>
      <c r="G7" s="231"/>
      <c r="H7" s="231"/>
      <c r="I7" s="231"/>
      <c r="J7" s="71">
        <f>SUM(B7:I7)</f>
        <v>0</v>
      </c>
    </row>
    <row r="8" spans="1:33" ht="15" customHeight="1" thickBot="1" x14ac:dyDescent="0.3">
      <c r="A8" s="112" t="s">
        <v>18</v>
      </c>
      <c r="B8" s="231"/>
      <c r="C8" s="231"/>
      <c r="D8" s="231"/>
      <c r="E8" s="231"/>
      <c r="F8" s="29"/>
      <c r="G8" s="231"/>
      <c r="H8" s="231"/>
      <c r="I8" s="231"/>
      <c r="J8" s="71">
        <f>SUM(B8:I8)</f>
        <v>0</v>
      </c>
    </row>
    <row r="9" spans="1:33" ht="15" customHeight="1" thickBot="1" x14ac:dyDescent="0.3">
      <c r="A9" s="112" t="s">
        <v>434</v>
      </c>
      <c r="B9" s="231"/>
      <c r="C9" s="231"/>
      <c r="D9" s="231"/>
      <c r="E9" s="231"/>
      <c r="F9" s="29"/>
      <c r="G9" s="231"/>
      <c r="H9" s="231"/>
      <c r="I9" s="231"/>
      <c r="J9" s="71">
        <f>SUM(B9:I9)</f>
        <v>0</v>
      </c>
    </row>
    <row r="10" spans="1:33" ht="15.75" thickBot="1" x14ac:dyDescent="0.3">
      <c r="A10" s="88" t="s">
        <v>84</v>
      </c>
      <c r="B10" s="135">
        <f>SUMIF(HK!A:A,"031*",HK!K:K)-SUMIF(HK!A:A,"031*",HK!L:L)</f>
        <v>203519.17</v>
      </c>
      <c r="C10" s="135">
        <f>SUMIF(HK!A:A,"021*",HK!K:K)-SUMIF(HK!A:A,"021*",HK!L:L)</f>
        <v>2611209.4700000002</v>
      </c>
      <c r="D10" s="135">
        <f>SUMIF(HK!A:A,"022*",HK!K:K)-SUMIF(HK!A:A,"022*",HK!L:L)</f>
        <v>437276.9</v>
      </c>
      <c r="E10" s="135">
        <f>SUMIF(HK!A:A,"025*",HK!K:K)-SUMIF(HK!A:A,"025*",HK!L:L)</f>
        <v>0</v>
      </c>
      <c r="F10" s="135">
        <f>SUMIF(HK!A:A,"026*",HK!K:K)-SUMIF(HK!A:A,"026*",HK!L:L)</f>
        <v>0</v>
      </c>
      <c r="G10" s="135">
        <f>SUMIF(HK!A:A,"029*",HK!K:K)-SUMIF(HK!A:A,"029*",HK!L:L)</f>
        <v>0</v>
      </c>
      <c r="H10" s="135">
        <f>SUMIF(HK!A:A,"042*",HK!K:K)-SUMIF(HK!A:A,"042*",HK!L:L)</f>
        <v>139896.04</v>
      </c>
      <c r="I10" s="135">
        <f>SUMIF(HK!A:A,"052*",HK!K:K)-SUMIF(HK!A:A,"052*",HK!L:L)</f>
        <v>0</v>
      </c>
      <c r="J10" s="147">
        <f>J6+J7-J8+J9</f>
        <v>3402422.87</v>
      </c>
      <c r="L10" s="38"/>
    </row>
    <row r="11" spans="1:33" ht="15" customHeight="1" thickTop="1" thickBot="1" x14ac:dyDescent="0.3">
      <c r="A11" s="5" t="s">
        <v>267</v>
      </c>
      <c r="B11" s="141"/>
      <c r="C11" s="141"/>
      <c r="D11" s="141"/>
      <c r="E11" s="141"/>
      <c r="F11" s="141"/>
      <c r="G11" s="141"/>
      <c r="H11" s="141"/>
      <c r="I11" s="141"/>
      <c r="J11" s="114"/>
    </row>
    <row r="12" spans="1:33" ht="23.25" thickBot="1" x14ac:dyDescent="0.3">
      <c r="A12" s="209" t="s">
        <v>57</v>
      </c>
      <c r="B12" s="231"/>
      <c r="C12" s="135">
        <f>SUMIF(HK!A:A,"081*",HK!D:D)-SUMIF(HK!A:A,"081*",HK!C:C)</f>
        <v>1373596.31</v>
      </c>
      <c r="D12" s="135">
        <f>SUMIF(HK!A:A,"082*",HK!D:D)-SUMIF(HK!A:A,"082*",HK!C:C)</f>
        <v>447798.18</v>
      </c>
      <c r="E12" s="135">
        <f>SUMIF(HK!A:A,"085*",HK!D:D)-SUMIF(HK!A:A,"085*",HK!C:C)</f>
        <v>0</v>
      </c>
      <c r="F12" s="135">
        <f>SUMIF(HK!A:A,"086*",HK!D:D)-SUMIF(HK!A:A,"086*",HK!C:C)</f>
        <v>0</v>
      </c>
      <c r="G12" s="135">
        <f>SUMIF(HK!A:A,"089*",HK!D:D)-SUMIF(HK!A:A,"089*",HK!C:C)</f>
        <v>0</v>
      </c>
      <c r="H12" s="231"/>
      <c r="I12" s="231"/>
      <c r="J12" s="71">
        <f>SUM(B12:I12)</f>
        <v>1821394.49</v>
      </c>
      <c r="L12" s="38"/>
    </row>
    <row r="13" spans="1:33" ht="15" customHeight="1" thickBot="1" x14ac:dyDescent="0.3">
      <c r="A13" s="112" t="s">
        <v>1064</v>
      </c>
      <c r="B13" s="231"/>
      <c r="C13" s="231"/>
      <c r="D13" s="231"/>
      <c r="E13" s="231"/>
      <c r="F13" s="231"/>
      <c r="G13" s="231"/>
      <c r="H13" s="231"/>
      <c r="I13" s="231"/>
      <c r="J13" s="71">
        <f>SUM(B13:I13)</f>
        <v>0</v>
      </c>
    </row>
    <row r="14" spans="1:33" ht="15" customHeight="1" thickBot="1" x14ac:dyDescent="0.3">
      <c r="A14" s="112" t="s">
        <v>18</v>
      </c>
      <c r="B14" s="231"/>
      <c r="C14" s="231"/>
      <c r="D14" s="231"/>
      <c r="E14" s="231"/>
      <c r="F14" s="231"/>
      <c r="G14" s="231"/>
      <c r="H14" s="231"/>
      <c r="I14" s="231"/>
      <c r="J14" s="71">
        <f>SUM(B14:I14)</f>
        <v>0</v>
      </c>
    </row>
    <row r="15" spans="1:33" ht="15" customHeight="1" thickBot="1" x14ac:dyDescent="0.3">
      <c r="A15" s="5" t="s">
        <v>434</v>
      </c>
      <c r="B15" s="167"/>
      <c r="C15" s="231"/>
      <c r="D15" s="231"/>
      <c r="E15" s="231"/>
      <c r="F15" s="231"/>
      <c r="G15" s="231"/>
      <c r="H15" s="167"/>
      <c r="I15" s="29"/>
      <c r="J15" s="29"/>
    </row>
    <row r="16" spans="1:33" ht="15.75" thickBot="1" x14ac:dyDescent="0.3">
      <c r="A16" s="72" t="s">
        <v>84</v>
      </c>
      <c r="B16" s="49"/>
      <c r="C16" s="135">
        <f>SUMIF(HK!A:A,"081*",HK!L:L)-SUMIF(HK!A:A,"081*",HK!K:K)</f>
        <v>1416817.64</v>
      </c>
      <c r="D16" s="135">
        <f>SUMIF(HK!A:A,"082*",HK!L:L)-SUMIF(HK!A:A,"082*",HK!K:K)</f>
        <v>437276.89</v>
      </c>
      <c r="E16" s="135">
        <f>SUMIF(HK!A:A,"085*",HK!L:L)-SUMIF(HK!A:A,"085*",HK!K:K)</f>
        <v>0</v>
      </c>
      <c r="F16" s="135">
        <f>SUMIF(HK!A:A,"086*",HK!L:L)-SUMIF(HK!A:A,"086*",HK!K:K)</f>
        <v>0</v>
      </c>
      <c r="G16" s="135">
        <f>SUMIF(HK!A:A,"089*",HK!L:L)-SUMIF(HK!A:A,"089*",HK!K:K)</f>
        <v>0</v>
      </c>
      <c r="H16" s="49"/>
      <c r="I16" s="49"/>
      <c r="J16" s="147">
        <f>J12+J13-J14</f>
        <v>1821394.49</v>
      </c>
      <c r="L16" s="38"/>
    </row>
    <row r="17" spans="1:33" ht="15" customHeight="1" thickTop="1" thickBot="1" x14ac:dyDescent="0.3">
      <c r="A17" s="207" t="s">
        <v>1077</v>
      </c>
      <c r="B17" s="141"/>
      <c r="C17" s="141"/>
      <c r="D17" s="141"/>
      <c r="E17" s="141"/>
      <c r="F17" s="141"/>
      <c r="G17" s="141"/>
      <c r="H17" s="141"/>
      <c r="I17" s="141"/>
      <c r="J17" s="114"/>
    </row>
    <row r="18" spans="1:33" ht="24" thickTop="1" thickBot="1" x14ac:dyDescent="0.3">
      <c r="A18" s="209" t="s">
        <v>57</v>
      </c>
      <c r="B18" s="231"/>
      <c r="C18" s="135"/>
      <c r="D18" s="135"/>
      <c r="E18" s="135"/>
      <c r="F18" s="135"/>
      <c r="G18" s="135"/>
      <c r="H18" s="135">
        <f>SUMIF(HK!A:A,"094*",HK!D:D)-SUMIF(HK!A:A,"094*",HK!C:C)</f>
        <v>0</v>
      </c>
      <c r="I18" s="135">
        <f>SUMIF(SUAM!C:C,"019",SUAM!E:E)</f>
        <v>0</v>
      </c>
      <c r="J18" s="71">
        <f>SUM(B18:I18)</f>
        <v>0</v>
      </c>
      <c r="L18" s="38"/>
      <c r="M18" s="38"/>
      <c r="N18" s="120"/>
    </row>
    <row r="19" spans="1:33" ht="15" customHeight="1" thickBot="1" x14ac:dyDescent="0.3">
      <c r="A19" s="112" t="s">
        <v>1064</v>
      </c>
      <c r="B19" s="231"/>
      <c r="C19" s="231"/>
      <c r="D19" s="231"/>
      <c r="E19" s="231"/>
      <c r="F19" s="231"/>
      <c r="G19" s="231"/>
      <c r="H19" s="231"/>
      <c r="I19" s="231"/>
      <c r="J19" s="71">
        <f>SUM(B19:I19)</f>
        <v>0</v>
      </c>
      <c r="N19" s="120"/>
    </row>
    <row r="20" spans="1:33" ht="15" customHeight="1" thickBot="1" x14ac:dyDescent="0.3">
      <c r="A20" s="112" t="s">
        <v>18</v>
      </c>
      <c r="B20" s="231"/>
      <c r="C20" s="231"/>
      <c r="D20" s="231"/>
      <c r="E20" s="231"/>
      <c r="F20" s="231"/>
      <c r="G20" s="231"/>
      <c r="H20" s="231"/>
      <c r="I20" s="231"/>
      <c r="J20" s="71">
        <f>SUM(B20:I20)</f>
        <v>0</v>
      </c>
      <c r="N20" s="120"/>
    </row>
    <row r="21" spans="1:33" ht="15" customHeight="1" thickBot="1" x14ac:dyDescent="0.3">
      <c r="A21" s="46" t="s">
        <v>434</v>
      </c>
      <c r="B21" s="29"/>
      <c r="C21" s="231"/>
      <c r="D21" s="231"/>
      <c r="E21" s="231"/>
      <c r="F21" s="231"/>
      <c r="G21" s="231"/>
      <c r="H21" s="231"/>
      <c r="I21" s="231"/>
      <c r="J21" s="167"/>
      <c r="N21" s="120"/>
    </row>
    <row r="22" spans="1:33" ht="15.75" thickBot="1" x14ac:dyDescent="0.3">
      <c r="A22" s="72" t="s">
        <v>84</v>
      </c>
      <c r="B22" s="49"/>
      <c r="C22" s="135"/>
      <c r="D22" s="135"/>
      <c r="E22" s="135"/>
      <c r="F22" s="135"/>
      <c r="G22" s="135"/>
      <c r="H22" s="135">
        <f>SUMIF(HK!A:A,"094*",HK!L:L)-SUMIF(HK!A:A,"094*",HK!K:K)</f>
        <v>0</v>
      </c>
      <c r="I22" s="135">
        <f>SUMIF(SUA!C:C,"019",SUA!E:E)</f>
        <v>0</v>
      </c>
      <c r="J22" s="147">
        <f>J18+J19-J20</f>
        <v>0</v>
      </c>
      <c r="L22" s="38"/>
      <c r="M22" s="38"/>
      <c r="N22" s="120"/>
    </row>
    <row r="23" spans="1:33" ht="15" customHeight="1" thickTop="1" thickBot="1" x14ac:dyDescent="0.3">
      <c r="A23" s="207" t="s">
        <v>591</v>
      </c>
      <c r="B23" s="141"/>
      <c r="C23" s="141"/>
      <c r="D23" s="141"/>
      <c r="E23" s="141"/>
      <c r="F23" s="141"/>
      <c r="G23" s="141"/>
      <c r="H23" s="141"/>
      <c r="I23" s="141"/>
      <c r="J23" s="114"/>
    </row>
    <row r="24" spans="1:33" ht="15" customHeight="1" thickTop="1" thickBot="1" x14ac:dyDescent="0.3">
      <c r="A24" s="209" t="s">
        <v>57</v>
      </c>
      <c r="B24" s="231"/>
      <c r="C24" s="231"/>
      <c r="D24" s="231"/>
      <c r="E24" s="231"/>
      <c r="F24" s="231"/>
      <c r="G24" s="231"/>
      <c r="H24" s="231"/>
      <c r="I24" s="231"/>
      <c r="J24" s="71">
        <f>J6-J12-J18</f>
        <v>1581028.3800000001</v>
      </c>
    </row>
    <row r="25" spans="1:33" ht="15" customHeight="1" thickBot="1" x14ac:dyDescent="0.3">
      <c r="A25" s="72" t="s">
        <v>84</v>
      </c>
      <c r="B25" s="49"/>
      <c r="C25" s="49"/>
      <c r="D25" s="49"/>
      <c r="E25" s="49"/>
      <c r="F25" s="49"/>
      <c r="G25" s="49"/>
      <c r="H25" s="49"/>
      <c r="I25" s="49"/>
      <c r="J25" s="147">
        <f>J10-J16-J22</f>
        <v>1581028.3800000001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6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48" t="s">
        <v>496</v>
      </c>
      <c r="B29" s="251" t="s">
        <v>734</v>
      </c>
      <c r="C29" s="252"/>
      <c r="D29" s="252"/>
      <c r="E29" s="252"/>
      <c r="F29" s="252"/>
      <c r="G29" s="252"/>
      <c r="H29" s="252"/>
      <c r="I29" s="252"/>
      <c r="J29" s="253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</row>
    <row r="30" spans="1:33" ht="62.25" customHeight="1" thickTop="1" thickBot="1" x14ac:dyDescent="0.3">
      <c r="A30" s="250"/>
      <c r="B30" s="236" t="s">
        <v>907</v>
      </c>
      <c r="C30" s="236" t="s">
        <v>430</v>
      </c>
      <c r="D30" s="236" t="s">
        <v>750</v>
      </c>
      <c r="E30" s="236" t="s">
        <v>104</v>
      </c>
      <c r="F30" s="236" t="s">
        <v>257</v>
      </c>
      <c r="G30" s="236" t="s">
        <v>1079</v>
      </c>
      <c r="H30" s="236" t="s">
        <v>37</v>
      </c>
      <c r="I30" s="236" t="s">
        <v>986</v>
      </c>
      <c r="J30" s="236" t="s">
        <v>872</v>
      </c>
    </row>
    <row r="31" spans="1:33" ht="15" customHeight="1" thickTop="1" thickBot="1" x14ac:dyDescent="0.3">
      <c r="A31" s="207" t="s">
        <v>1090</v>
      </c>
      <c r="B31" s="108"/>
      <c r="C31" s="108"/>
      <c r="D31" s="108"/>
      <c r="E31" s="108"/>
      <c r="F31" s="108"/>
      <c r="G31" s="108"/>
      <c r="H31" s="108"/>
      <c r="I31" s="108"/>
      <c r="J31" s="114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33" ht="24" thickTop="1" thickBot="1" x14ac:dyDescent="0.3">
      <c r="A32" s="209" t="s">
        <v>934</v>
      </c>
      <c r="B32" s="135">
        <f>SUMIF(HKM!A:A,"031*",HKM!C:C)-SUMIF(HKM!A:A,"031*",HKM!D:D)</f>
        <v>203519.17</v>
      </c>
      <c r="C32" s="135">
        <f>SUMIF(HKM!A:A,"021*",HKM!C:C)-SUMIF(HKM!A:A,"021*",HKM!D:D)</f>
        <v>2611209.4700000002</v>
      </c>
      <c r="D32" s="135">
        <f>SUMIF(HKM!A:A,"022*",HKM!C:C)-SUMIF(HKM!A:A,"022*",HKM!D:D)</f>
        <v>447798.19</v>
      </c>
      <c r="E32" s="135">
        <f>SUMIF(HKM!A:A,"025*",HKM!C:C)-SUMIF(HKM!A:A,"025*",HKM!D:D)</f>
        <v>0</v>
      </c>
      <c r="F32" s="135">
        <f>SUMIF(HKM!A:A,"026*",HKM!C:C)-SUMIF(HKM!A:A,"026*",HKM!D:D)</f>
        <v>0</v>
      </c>
      <c r="G32" s="135">
        <f>SUMIF(HKM!A:A,"029*",HKM!C:C)-SUMIF(HKM!A:A,"029*",HKM!D:D)</f>
        <v>0</v>
      </c>
      <c r="H32" s="135">
        <f>SUMIF(HKM!A:A,"042*",HKM!C:C)-SUMIF(HKM!A:A,"042*",HKM!D:D)</f>
        <v>139896.04</v>
      </c>
      <c r="I32" s="135">
        <f>SUMIF(HKM!A:A,"052*",HKM!C:C)-SUMIF(HKM!A:A,"052*",HKM!D:D)</f>
        <v>0</v>
      </c>
      <c r="J32" s="71">
        <f>SUM(B32:I32)</f>
        <v>3402422.87</v>
      </c>
      <c r="L32" s="38"/>
    </row>
    <row r="33" spans="1:14" ht="15" customHeight="1" thickBot="1" x14ac:dyDescent="0.3">
      <c r="A33" s="112" t="s">
        <v>1064</v>
      </c>
      <c r="B33" s="231"/>
      <c r="C33" s="231"/>
      <c r="D33" s="231"/>
      <c r="E33" s="231"/>
      <c r="F33" s="29"/>
      <c r="G33" s="231"/>
      <c r="H33" s="231"/>
      <c r="I33" s="231"/>
      <c r="J33" s="71">
        <f>SUM(B33:I33)</f>
        <v>0</v>
      </c>
    </row>
    <row r="34" spans="1:14" ht="15" customHeight="1" thickBot="1" x14ac:dyDescent="0.3">
      <c r="A34" s="112" t="s">
        <v>18</v>
      </c>
      <c r="B34" s="231"/>
      <c r="C34" s="231"/>
      <c r="D34" s="231"/>
      <c r="E34" s="231"/>
      <c r="F34" s="29"/>
      <c r="G34" s="231"/>
      <c r="H34" s="231"/>
      <c r="I34" s="231"/>
      <c r="J34" s="71">
        <f>SUM(B34:I34)</f>
        <v>0</v>
      </c>
    </row>
    <row r="35" spans="1:14" ht="15" customHeight="1" thickBot="1" x14ac:dyDescent="0.3">
      <c r="A35" s="112" t="s">
        <v>434</v>
      </c>
      <c r="B35" s="231"/>
      <c r="C35" s="231"/>
      <c r="D35" s="231"/>
      <c r="E35" s="231"/>
      <c r="F35" s="29"/>
      <c r="G35" s="231"/>
      <c r="H35" s="231"/>
      <c r="I35" s="231"/>
      <c r="J35" s="71">
        <f>SUM(B35:I35)</f>
        <v>0</v>
      </c>
    </row>
    <row r="36" spans="1:14" ht="15.75" thickBot="1" x14ac:dyDescent="0.3">
      <c r="A36" s="72" t="s">
        <v>84</v>
      </c>
      <c r="B36" s="135">
        <f>SUMIF(HKM!A:A,"031*",HKM!K:K)-SUMIF(HKM!A:A,"031*",HKM!L:L)</f>
        <v>203519.17</v>
      </c>
      <c r="C36" s="135">
        <f>SUMIF(HKM!A:A,"021*",HKM!K:K)-SUMIF(HKM!A:A,"021*",HKM!L:L)</f>
        <v>2611209.4700000002</v>
      </c>
      <c r="D36" s="135">
        <f>SUMIF(HKM!A:A,"022*",HKM!K:K)-SUMIF(HKM!A:A,"022*",HKM!L:L)</f>
        <v>447798.19</v>
      </c>
      <c r="E36" s="135">
        <f>SUMIF(HKM!A:A,"025*",HKM!K:K)-SUMIF(HKM!A:A,"025*",HKM!L:L)</f>
        <v>0</v>
      </c>
      <c r="F36" s="135">
        <f>SUMIF(HKM!A:A,"026*",HKM!K:K)-SUMIF(HKM!A:A,"026*",HKM!L:L)</f>
        <v>0</v>
      </c>
      <c r="G36" s="135">
        <f>SUMIF(HKM!A:A,"029*",HKM!K:K)-SUMIF(HKM!A:A,"029*",HKM!L:L)</f>
        <v>0</v>
      </c>
      <c r="H36" s="135">
        <f>SUMIF(HKM!A:A,"042*",HKM!K:K)-SUMIF(HKM!A:A,"042*",HKM!L:L)</f>
        <v>139896.04</v>
      </c>
      <c r="I36" s="135">
        <f>SUMIF(HKM!A:A,"052*",HKM!K:K)-SUMIF(HKM!A:A,"052*",HKM!L:L)</f>
        <v>0</v>
      </c>
      <c r="J36" s="147">
        <f>J32+J33-J34+J35</f>
        <v>3402422.87</v>
      </c>
      <c r="L36" s="38"/>
    </row>
    <row r="37" spans="1:14" ht="15" customHeight="1" thickTop="1" thickBot="1" x14ac:dyDescent="0.3">
      <c r="A37" s="207" t="s">
        <v>267</v>
      </c>
      <c r="B37" s="141"/>
      <c r="C37" s="141"/>
      <c r="D37" s="141"/>
      <c r="E37" s="141"/>
      <c r="F37" s="141"/>
      <c r="G37" s="141"/>
      <c r="H37" s="141"/>
      <c r="I37" s="141"/>
      <c r="J37" s="114"/>
    </row>
    <row r="38" spans="1:14" ht="24" thickTop="1" thickBot="1" x14ac:dyDescent="0.3">
      <c r="A38" s="209" t="s">
        <v>57</v>
      </c>
      <c r="B38" s="231"/>
      <c r="C38" s="135">
        <f>SUMIF(HKM!A:A,"081*",HKM!D:D)-SUMIF(HKM!A:A,"081*",HKM!C:C)</f>
        <v>1330696.31</v>
      </c>
      <c r="D38" s="135">
        <f>SUMIF(HKM!A:A,"082*",HKM!D:D)-SUMIF(HKM!A:A,"082*",HKM!C:C)</f>
        <v>447798.18</v>
      </c>
      <c r="E38" s="135">
        <f>SUMIF(HKM!A:A,"085*",HKM!D:D)-SUMIF(HKM!A:A,"085*",HKM!C:C)</f>
        <v>0</v>
      </c>
      <c r="F38" s="135">
        <f>SUMIF(HKM!A:A,"086*",HKM!D:D)-SUMIF(HKM!A:A,"086*",HKM!C:C)</f>
        <v>0</v>
      </c>
      <c r="G38" s="135">
        <f>SUMIF(HKM!A:A,"089*",HKM!D:D)-SUMIF(HKM!A:A,"089*",HKM!C:C)</f>
        <v>0</v>
      </c>
      <c r="H38" s="231"/>
      <c r="I38" s="231"/>
      <c r="J38" s="71">
        <f>SUM(B38:I38)</f>
        <v>1778494.49</v>
      </c>
      <c r="L38" s="38"/>
    </row>
    <row r="39" spans="1:14" ht="15" customHeight="1" thickBot="1" x14ac:dyDescent="0.3">
      <c r="A39" s="112" t="s">
        <v>1064</v>
      </c>
      <c r="B39" s="231"/>
      <c r="C39" s="231"/>
      <c r="D39" s="231"/>
      <c r="E39" s="231"/>
      <c r="F39" s="231"/>
      <c r="G39" s="231"/>
      <c r="H39" s="231"/>
      <c r="I39" s="231"/>
      <c r="J39" s="71">
        <f>SUM(B39:I39)</f>
        <v>0</v>
      </c>
    </row>
    <row r="40" spans="1:14" ht="15" customHeight="1" thickBot="1" x14ac:dyDescent="0.3">
      <c r="A40" s="112" t="s">
        <v>18</v>
      </c>
      <c r="B40" s="231"/>
      <c r="C40" s="231"/>
      <c r="D40" s="231"/>
      <c r="E40" s="231"/>
      <c r="F40" s="231"/>
      <c r="G40" s="231"/>
      <c r="H40" s="231"/>
      <c r="I40" s="231"/>
      <c r="J40" s="71">
        <f>SUM(B40:I40)</f>
        <v>0</v>
      </c>
    </row>
    <row r="41" spans="1:14" ht="15" customHeight="1" thickBot="1" x14ac:dyDescent="0.3">
      <c r="A41" s="46" t="s">
        <v>434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2" t="s">
        <v>84</v>
      </c>
      <c r="B42" s="49"/>
      <c r="C42" s="135">
        <f>SUMIF(HKM!A:A,"081*",HKM!L:L)-SUMIF(HKM!A:A,"081*",HKM!K:K)</f>
        <v>1373596.31</v>
      </c>
      <c r="D42" s="135">
        <f>SUMIF(HKM!A:A,"082*",HKM!L:L)-SUMIF(HKM!A:A,"082*",HKM!K:K)</f>
        <v>447798.18</v>
      </c>
      <c r="E42" s="135">
        <f>SUMIF(HKM!A:A,"085*",HKM!L:L)-SUMIF(HKM!A:A,"085*",HKM!K:K)</f>
        <v>0</v>
      </c>
      <c r="F42" s="135">
        <f>SUMIF(HKM!A:A,"086*",HKM!L:L)-SUMIF(HKM!A:A,"086*",HKM!K:K)</f>
        <v>0</v>
      </c>
      <c r="G42" s="135">
        <f>SUMIF(HKM!A:A,"089*",HKM!L:L)-SUMIF(HKM!A:A,"089*",HKM!K:K)</f>
        <v>0</v>
      </c>
      <c r="H42" s="49"/>
      <c r="I42" s="49"/>
      <c r="J42" s="147">
        <f>J38+J39-J40</f>
        <v>1778494.49</v>
      </c>
      <c r="L42" s="38"/>
    </row>
    <row r="43" spans="1:14" ht="15" customHeight="1" thickTop="1" thickBot="1" x14ac:dyDescent="0.3">
      <c r="A43" s="207" t="s">
        <v>1077</v>
      </c>
      <c r="B43" s="141"/>
      <c r="C43" s="141"/>
      <c r="D43" s="141"/>
      <c r="E43" s="141"/>
      <c r="F43" s="141"/>
      <c r="G43" s="141"/>
      <c r="H43" s="141"/>
      <c r="I43" s="141"/>
      <c r="J43" s="114"/>
    </row>
    <row r="44" spans="1:14" ht="24" thickTop="1" thickBot="1" x14ac:dyDescent="0.3">
      <c r="A44" s="209" t="s">
        <v>57</v>
      </c>
      <c r="B44" s="231"/>
      <c r="C44" s="135"/>
      <c r="D44" s="135"/>
      <c r="E44" s="135"/>
      <c r="F44" s="135"/>
      <c r="G44" s="135"/>
      <c r="H44" s="135">
        <f>SUMIF(HKM!A:A,"094*",HKM!D:D)-SUMIF(HKM!A:A,"094*",HKM!C:C)</f>
        <v>0</v>
      </c>
      <c r="I44" s="135"/>
      <c r="J44" s="71">
        <f>SUM(B44:I44)</f>
        <v>0</v>
      </c>
      <c r="L44" s="38"/>
      <c r="M44" s="206"/>
      <c r="N44" s="120"/>
    </row>
    <row r="45" spans="1:14" ht="15" customHeight="1" thickBot="1" x14ac:dyDescent="0.3">
      <c r="A45" s="112" t="s">
        <v>1064</v>
      </c>
      <c r="B45" s="231"/>
      <c r="C45" s="231"/>
      <c r="D45" s="231"/>
      <c r="E45" s="231"/>
      <c r="F45" s="231"/>
      <c r="G45" s="231"/>
      <c r="H45" s="231"/>
      <c r="I45" s="231"/>
      <c r="J45" s="71">
        <f>SUM(B45:I45)</f>
        <v>0</v>
      </c>
      <c r="N45" s="120"/>
    </row>
    <row r="46" spans="1:14" ht="15" customHeight="1" thickBot="1" x14ac:dyDescent="0.3">
      <c r="A46" s="112" t="s">
        <v>18</v>
      </c>
      <c r="B46" s="231"/>
      <c r="C46" s="231"/>
      <c r="D46" s="231"/>
      <c r="E46" s="231"/>
      <c r="F46" s="231"/>
      <c r="G46" s="231"/>
      <c r="H46" s="231"/>
      <c r="I46" s="231"/>
      <c r="J46" s="71">
        <f>SUM(B46:I46)</f>
        <v>0</v>
      </c>
      <c r="N46" s="120"/>
    </row>
    <row r="47" spans="1:14" ht="15" customHeight="1" thickBot="1" x14ac:dyDescent="0.3">
      <c r="A47" s="46" t="s">
        <v>434</v>
      </c>
      <c r="B47" s="29"/>
      <c r="C47" s="29"/>
      <c r="D47" s="29"/>
      <c r="E47" s="29"/>
      <c r="F47" s="29"/>
      <c r="G47" s="29"/>
      <c r="H47" s="29"/>
      <c r="I47" s="29"/>
      <c r="J47" s="29"/>
      <c r="N47" s="120"/>
    </row>
    <row r="48" spans="1:14" ht="15.75" thickBot="1" x14ac:dyDescent="0.3">
      <c r="A48" s="72" t="s">
        <v>84</v>
      </c>
      <c r="B48" s="49"/>
      <c r="C48" s="135"/>
      <c r="D48" s="135"/>
      <c r="E48" s="135"/>
      <c r="F48" s="135"/>
      <c r="G48" s="135"/>
      <c r="H48" s="135">
        <f>SUMIF(HKM!A:A,"094*",HKM!L:L)-SUMIF(HKM!A:A,"094*",HKM!K:K)</f>
        <v>0</v>
      </c>
      <c r="I48" s="135">
        <f>SUMIF(SUAM!C:C,"019",SUAM!E:E)</f>
        <v>0</v>
      </c>
      <c r="J48" s="147">
        <f>J44+J45-J46</f>
        <v>0</v>
      </c>
      <c r="L48" s="38"/>
      <c r="N48" s="120"/>
    </row>
    <row r="49" spans="1:10" ht="15" customHeight="1" thickTop="1" thickBot="1" x14ac:dyDescent="0.3">
      <c r="A49" s="207" t="s">
        <v>591</v>
      </c>
      <c r="B49" s="141"/>
      <c r="C49" s="141"/>
      <c r="D49" s="141"/>
      <c r="E49" s="141"/>
      <c r="F49" s="141"/>
      <c r="G49" s="141"/>
      <c r="H49" s="141"/>
      <c r="I49" s="141"/>
      <c r="J49" s="114"/>
    </row>
    <row r="50" spans="1:10" ht="15" customHeight="1" thickTop="1" thickBot="1" x14ac:dyDescent="0.3">
      <c r="A50" s="209" t="s">
        <v>57</v>
      </c>
      <c r="B50" s="231">
        <f t="shared" ref="B50:J50" si="0">B32-B38-B44</f>
        <v>203519.17</v>
      </c>
      <c r="C50" s="231">
        <f t="shared" si="0"/>
        <v>1280513.1600000001</v>
      </c>
      <c r="D50" s="231">
        <f t="shared" si="0"/>
        <v>1.0000000009313226E-2</v>
      </c>
      <c r="E50" s="231">
        <f t="shared" si="0"/>
        <v>0</v>
      </c>
      <c r="F50" s="231">
        <f t="shared" si="0"/>
        <v>0</v>
      </c>
      <c r="G50" s="231">
        <f t="shared" si="0"/>
        <v>0</v>
      </c>
      <c r="H50" s="231">
        <f t="shared" si="0"/>
        <v>139896.04</v>
      </c>
      <c r="I50" s="231">
        <f t="shared" si="0"/>
        <v>0</v>
      </c>
      <c r="J50" s="71">
        <f t="shared" si="0"/>
        <v>1623928.3800000001</v>
      </c>
    </row>
    <row r="51" spans="1:10" ht="15" customHeight="1" thickBot="1" x14ac:dyDescent="0.3">
      <c r="A51" s="72" t="s">
        <v>84</v>
      </c>
      <c r="B51" s="49">
        <f t="shared" ref="B51:J51" si="1">B36-B42-B48</f>
        <v>203519.17</v>
      </c>
      <c r="C51" s="49">
        <f t="shared" si="1"/>
        <v>1237613.1600000001</v>
      </c>
      <c r="D51" s="49">
        <f t="shared" si="1"/>
        <v>1.0000000009313226E-2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139896.04</v>
      </c>
      <c r="I51" s="49">
        <f t="shared" si="1"/>
        <v>0</v>
      </c>
      <c r="J51" s="147">
        <f t="shared" si="1"/>
        <v>1623928.3800000001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628</v>
      </c>
      <c r="B1" s="11" t="s">
        <v>222</v>
      </c>
      <c r="C1" s="51" t="s">
        <v>770</v>
      </c>
      <c r="D1" s="152" t="s">
        <v>1040</v>
      </c>
      <c r="E1" s="152" t="s">
        <v>376</v>
      </c>
      <c r="F1" s="152" t="s">
        <v>301</v>
      </c>
      <c r="G1" s="152" t="s">
        <v>442</v>
      </c>
    </row>
    <row r="2" spans="1:7" x14ac:dyDescent="0.25">
      <c r="A2" s="2" t="s">
        <v>937</v>
      </c>
      <c r="B2" s="2" t="s">
        <v>626</v>
      </c>
      <c r="C2" s="57" t="s">
        <v>382</v>
      </c>
      <c r="D2" s="171">
        <v>2971155.79</v>
      </c>
      <c r="E2" s="171">
        <v>2781978.77</v>
      </c>
      <c r="F2" s="171">
        <v>2971155.79</v>
      </c>
      <c r="G2" s="171">
        <v>2781978</v>
      </c>
    </row>
    <row r="3" spans="1:7" x14ac:dyDescent="0.25">
      <c r="A3" s="2" t="s">
        <v>809</v>
      </c>
      <c r="B3" s="2" t="s">
        <v>1052</v>
      </c>
      <c r="C3" s="57" t="s">
        <v>148</v>
      </c>
      <c r="D3" s="140">
        <v>2432432.42</v>
      </c>
      <c r="E3" s="140">
        <v>2828419.22</v>
      </c>
      <c r="F3" s="140">
        <v>2432432.42</v>
      </c>
      <c r="G3" s="140">
        <v>2828419</v>
      </c>
    </row>
    <row r="4" spans="1:7" x14ac:dyDescent="0.25">
      <c r="A4" s="2" t="s">
        <v>990</v>
      </c>
      <c r="B4" s="2" t="s">
        <v>34</v>
      </c>
      <c r="C4" s="57" t="s">
        <v>689</v>
      </c>
      <c r="D4" s="171">
        <v>1998275</v>
      </c>
      <c r="E4" s="171">
        <v>1998275</v>
      </c>
      <c r="F4" s="171">
        <v>1998275</v>
      </c>
      <c r="G4" s="171">
        <v>1998275</v>
      </c>
    </row>
    <row r="5" spans="1:7" x14ac:dyDescent="0.25">
      <c r="A5" s="2" t="s">
        <v>384</v>
      </c>
      <c r="B5" s="2" t="s">
        <v>290</v>
      </c>
      <c r="C5" s="57" t="s">
        <v>1039</v>
      </c>
      <c r="D5" s="171">
        <v>1998275</v>
      </c>
      <c r="E5" s="171">
        <v>1998275</v>
      </c>
      <c r="F5" s="171">
        <v>1998275</v>
      </c>
      <c r="G5" s="171">
        <v>1998275</v>
      </c>
    </row>
    <row r="6" spans="1:7" x14ac:dyDescent="0.25">
      <c r="A6" s="2" t="s">
        <v>884</v>
      </c>
      <c r="B6" s="2" t="s">
        <v>762</v>
      </c>
      <c r="C6" s="57" t="s">
        <v>123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204</v>
      </c>
      <c r="B7" s="2" t="s">
        <v>775</v>
      </c>
      <c r="C7" s="57" t="s">
        <v>240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77</v>
      </c>
      <c r="B8" s="2" t="s">
        <v>794</v>
      </c>
      <c r="C8" s="57" t="s">
        <v>603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923</v>
      </c>
      <c r="B9" s="2" t="s">
        <v>650</v>
      </c>
      <c r="C9" s="57" t="s">
        <v>705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733</v>
      </c>
      <c r="B10" s="2" t="s">
        <v>131</v>
      </c>
      <c r="C10" s="57" t="s">
        <v>691</v>
      </c>
      <c r="D10" s="171">
        <v>19970.919999999998</v>
      </c>
      <c r="E10" s="171">
        <v>19970.919999999998</v>
      </c>
      <c r="F10" s="171">
        <v>19970.919999999998</v>
      </c>
      <c r="G10" s="171">
        <v>19971</v>
      </c>
    </row>
    <row r="11" spans="1:7" x14ac:dyDescent="0.25">
      <c r="A11" s="2" t="s">
        <v>211</v>
      </c>
      <c r="B11" s="2" t="s">
        <v>352</v>
      </c>
      <c r="C11" s="57" t="s">
        <v>379</v>
      </c>
      <c r="D11" s="171">
        <v>19970.919999999998</v>
      </c>
      <c r="E11" s="171">
        <v>19970.919999999998</v>
      </c>
      <c r="F11" s="171">
        <v>19970.919999999998</v>
      </c>
      <c r="G11" s="171">
        <v>19971</v>
      </c>
    </row>
    <row r="12" spans="1:7" x14ac:dyDescent="0.25">
      <c r="A12" s="2" t="s">
        <v>884</v>
      </c>
      <c r="B12" s="2" t="s">
        <v>630</v>
      </c>
      <c r="C12" s="57" t="s">
        <v>25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773</v>
      </c>
      <c r="B13" s="2" t="s">
        <v>396</v>
      </c>
      <c r="C13" s="57" t="s">
        <v>1024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203</v>
      </c>
      <c r="B14" s="2" t="s">
        <v>167</v>
      </c>
      <c r="C14" s="57" t="s">
        <v>828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189</v>
      </c>
      <c r="B15" s="2" t="s">
        <v>779</v>
      </c>
      <c r="C15" s="57" t="s">
        <v>890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1053</v>
      </c>
      <c r="B16" s="2" t="s">
        <v>658</v>
      </c>
      <c r="C16" s="57" t="s">
        <v>993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740</v>
      </c>
      <c r="B17" s="2" t="s">
        <v>529</v>
      </c>
      <c r="C17" s="57" t="s">
        <v>308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884</v>
      </c>
      <c r="B18" s="2" t="s">
        <v>717</v>
      </c>
      <c r="C18" s="57" t="s">
        <v>463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204</v>
      </c>
      <c r="B19" s="2" t="s">
        <v>36</v>
      </c>
      <c r="C19" s="57" t="s">
        <v>981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851</v>
      </c>
      <c r="B20" s="2" t="s">
        <v>1065</v>
      </c>
      <c r="C20" s="57" t="s">
        <v>846</v>
      </c>
      <c r="D20" s="171">
        <v>468655.77</v>
      </c>
      <c r="E20" s="171">
        <v>868811.14</v>
      </c>
      <c r="F20" s="171">
        <v>468655.77</v>
      </c>
      <c r="G20" s="171">
        <v>868811</v>
      </c>
    </row>
    <row r="21" spans="1:7" x14ac:dyDescent="0.25">
      <c r="A21" s="2" t="s">
        <v>976</v>
      </c>
      <c r="B21" s="2" t="s">
        <v>1125</v>
      </c>
      <c r="C21" s="57" t="s">
        <v>643</v>
      </c>
      <c r="D21" s="171">
        <v>468655.77</v>
      </c>
      <c r="E21" s="171">
        <v>1696128.49</v>
      </c>
      <c r="F21" s="171">
        <v>468655.77</v>
      </c>
      <c r="G21" s="171">
        <v>1696128</v>
      </c>
    </row>
    <row r="22" spans="1:7" x14ac:dyDescent="0.25">
      <c r="A22" s="2" t="s">
        <v>884</v>
      </c>
      <c r="B22" s="2" t="s">
        <v>40</v>
      </c>
      <c r="C22" s="57" t="s">
        <v>576</v>
      </c>
      <c r="D22" s="171">
        <v>0</v>
      </c>
      <c r="E22" s="171">
        <v>-827317.35</v>
      </c>
      <c r="F22" s="171">
        <v>0</v>
      </c>
      <c r="G22" s="171">
        <v>-827317</v>
      </c>
    </row>
    <row r="23" spans="1:7" x14ac:dyDescent="0.25">
      <c r="A23" s="2" t="s">
        <v>281</v>
      </c>
      <c r="B23" s="2" t="s">
        <v>652</v>
      </c>
      <c r="C23" s="57" t="s">
        <v>335</v>
      </c>
      <c r="D23" s="171">
        <v>-54469.27</v>
      </c>
      <c r="E23" s="171">
        <v>-58637.84</v>
      </c>
      <c r="F23" s="171">
        <v>-54469.27</v>
      </c>
      <c r="G23" s="171">
        <v>-58638</v>
      </c>
    </row>
    <row r="24" spans="1:7" x14ac:dyDescent="0.25">
      <c r="A24" s="2" t="s">
        <v>318</v>
      </c>
      <c r="B24" s="2" t="s">
        <v>347</v>
      </c>
      <c r="C24" s="57" t="s">
        <v>268</v>
      </c>
      <c r="D24" s="171">
        <v>254723.37</v>
      </c>
      <c r="E24" s="171">
        <v>-46440.45</v>
      </c>
      <c r="F24" s="171">
        <v>254723.37</v>
      </c>
      <c r="G24" s="171">
        <v>-46441</v>
      </c>
    </row>
    <row r="25" spans="1:7" x14ac:dyDescent="0.25">
      <c r="A25" s="2" t="s">
        <v>325</v>
      </c>
      <c r="B25" s="2" t="s">
        <v>372</v>
      </c>
      <c r="C25" s="57" t="s">
        <v>1008</v>
      </c>
      <c r="D25" s="171">
        <v>4808.08</v>
      </c>
      <c r="E25" s="171">
        <v>290.55</v>
      </c>
      <c r="F25" s="171">
        <v>4808.08</v>
      </c>
      <c r="G25" s="171">
        <v>291</v>
      </c>
    </row>
    <row r="26" spans="1:7" x14ac:dyDescent="0.25">
      <c r="A26" s="2" t="s">
        <v>253</v>
      </c>
      <c r="B26" s="2" t="s">
        <v>23</v>
      </c>
      <c r="C26" s="57" t="s">
        <v>83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713</v>
      </c>
      <c r="B27" s="2" t="s">
        <v>1042</v>
      </c>
      <c r="C27" s="57" t="s">
        <v>1025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386</v>
      </c>
      <c r="B28" s="2" t="s">
        <v>522</v>
      </c>
      <c r="C28" s="57" t="s">
        <v>903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443</v>
      </c>
      <c r="B29" s="2" t="s">
        <v>428</v>
      </c>
      <c r="C29" s="57" t="s">
        <v>137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884</v>
      </c>
      <c r="B30" s="2" t="s">
        <v>732</v>
      </c>
      <c r="C30" s="57" t="s">
        <v>746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204</v>
      </c>
      <c r="B31" s="2" t="s">
        <v>159</v>
      </c>
      <c r="C31" s="57" t="s">
        <v>953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373</v>
      </c>
      <c r="B32" s="2" t="s">
        <v>166</v>
      </c>
      <c r="C32" s="57" t="s">
        <v>1007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447</v>
      </c>
      <c r="B33" s="2" t="s">
        <v>785</v>
      </c>
      <c r="C33" s="57" t="s">
        <v>866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887</v>
      </c>
      <c r="B34" s="2" t="s">
        <v>967</v>
      </c>
      <c r="C34" s="57" t="s">
        <v>788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928</v>
      </c>
      <c r="B35" s="2" t="s">
        <v>904</v>
      </c>
      <c r="C35" s="57" t="s">
        <v>681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850</v>
      </c>
      <c r="B36" s="2" t="s">
        <v>886</v>
      </c>
      <c r="C36" s="57" t="s">
        <v>718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35</v>
      </c>
      <c r="B37" s="2" t="s">
        <v>1066</v>
      </c>
      <c r="C37" s="57" t="s">
        <v>600</v>
      </c>
      <c r="D37" s="171">
        <v>4808.08</v>
      </c>
      <c r="E37" s="171">
        <v>290.55</v>
      </c>
      <c r="F37" s="171">
        <v>4808.08</v>
      </c>
      <c r="G37" s="171">
        <v>291</v>
      </c>
    </row>
    <row r="38" spans="1:7" x14ac:dyDescent="0.25">
      <c r="A38" s="2" t="s">
        <v>668</v>
      </c>
      <c r="B38" s="2" t="s">
        <v>1129</v>
      </c>
      <c r="C38" s="57" t="s">
        <v>759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800</v>
      </c>
      <c r="B39" s="2" t="s">
        <v>548</v>
      </c>
      <c r="C39" s="57" t="s">
        <v>848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296</v>
      </c>
      <c r="B40" s="2" t="s">
        <v>161</v>
      </c>
      <c r="C40" s="57" t="s">
        <v>702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346</v>
      </c>
      <c r="B41" s="2" t="s">
        <v>33</v>
      </c>
      <c r="C41" s="57" t="s">
        <v>921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321</v>
      </c>
      <c r="B42" s="2" t="s">
        <v>484</v>
      </c>
      <c r="C42" s="57" t="s">
        <v>1056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884</v>
      </c>
      <c r="B43" s="2" t="s">
        <v>354</v>
      </c>
      <c r="C43" s="57" t="s">
        <v>562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721</v>
      </c>
      <c r="B44" s="2" t="s">
        <v>751</v>
      </c>
      <c r="C44" s="57" t="s">
        <v>433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98</v>
      </c>
      <c r="B45" s="2" t="s">
        <v>847</v>
      </c>
      <c r="C45" s="57" t="s">
        <v>1019</v>
      </c>
      <c r="D45" s="171">
        <v>249915.29</v>
      </c>
      <c r="E45" s="171">
        <v>-46731</v>
      </c>
      <c r="F45" s="171">
        <v>249915.29</v>
      </c>
      <c r="G45" s="171">
        <v>-46732</v>
      </c>
    </row>
    <row r="46" spans="1:7" x14ac:dyDescent="0.25">
      <c r="A46" s="2" t="s">
        <v>142</v>
      </c>
      <c r="B46" s="2" t="s">
        <v>926</v>
      </c>
      <c r="C46" s="57" t="s">
        <v>112</v>
      </c>
      <c r="D46" s="171">
        <v>252057.45</v>
      </c>
      <c r="E46" s="171">
        <v>0</v>
      </c>
      <c r="F46" s="171">
        <v>252057.45</v>
      </c>
      <c r="G46" s="171">
        <v>0</v>
      </c>
    </row>
    <row r="47" spans="1:7" x14ac:dyDescent="0.25">
      <c r="A47" s="2" t="s">
        <v>713</v>
      </c>
      <c r="B47" s="2" t="s">
        <v>1103</v>
      </c>
      <c r="C47" s="57" t="s">
        <v>897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386</v>
      </c>
      <c r="B48" s="2" t="s">
        <v>498</v>
      </c>
      <c r="C48" s="57" t="s">
        <v>4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443</v>
      </c>
      <c r="B49" s="2" t="s">
        <v>172</v>
      </c>
      <c r="C49" s="57" t="s">
        <v>829</v>
      </c>
      <c r="D49" s="171">
        <v>252057.45</v>
      </c>
      <c r="E49" s="171">
        <v>0</v>
      </c>
      <c r="F49" s="171">
        <v>252057.45</v>
      </c>
      <c r="G49" s="171">
        <v>0</v>
      </c>
    </row>
    <row r="50" spans="1:7" x14ac:dyDescent="0.25">
      <c r="A50" s="2" t="s">
        <v>884</v>
      </c>
      <c r="B50" s="2" t="s">
        <v>732</v>
      </c>
      <c r="C50" s="57" t="s">
        <v>900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204</v>
      </c>
      <c r="B51" s="2" t="s">
        <v>799</v>
      </c>
      <c r="C51" s="57" t="s">
        <v>101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373</v>
      </c>
      <c r="B52" s="2" t="s">
        <v>340</v>
      </c>
      <c r="C52" s="57" t="s">
        <v>965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447</v>
      </c>
      <c r="B53" s="2" t="s">
        <v>916</v>
      </c>
      <c r="C53" s="57" t="s">
        <v>0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887</v>
      </c>
      <c r="B54" s="2" t="s">
        <v>977</v>
      </c>
      <c r="C54" s="57" t="s">
        <v>458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928</v>
      </c>
      <c r="B55" s="2" t="s">
        <v>438</v>
      </c>
      <c r="C55" s="57" t="s">
        <v>437</v>
      </c>
      <c r="D55" s="157">
        <v>0</v>
      </c>
      <c r="E55" s="171">
        <v>0</v>
      </c>
      <c r="F55" s="157">
        <v>0</v>
      </c>
      <c r="G55" s="171">
        <v>0</v>
      </c>
    </row>
    <row r="56" spans="1:7" x14ac:dyDescent="0.25">
      <c r="A56" s="2" t="s">
        <v>850</v>
      </c>
      <c r="B56" s="2" t="s">
        <v>197</v>
      </c>
      <c r="C56" s="57" t="s">
        <v>968</v>
      </c>
      <c r="D56" s="171">
        <v>960</v>
      </c>
      <c r="E56" s="171">
        <v>6622.24</v>
      </c>
      <c r="F56" s="171">
        <v>960</v>
      </c>
      <c r="G56" s="171">
        <v>6622</v>
      </c>
    </row>
    <row r="57" spans="1:7" x14ac:dyDescent="0.25">
      <c r="A57" s="2" t="s">
        <v>35</v>
      </c>
      <c r="B57" s="2" t="s">
        <v>599</v>
      </c>
      <c r="C57" s="57" t="s">
        <v>102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668</v>
      </c>
      <c r="B58" s="2" t="s">
        <v>749</v>
      </c>
      <c r="C58" s="57" t="s">
        <v>622</v>
      </c>
      <c r="D58" s="171">
        <v>-3102.16</v>
      </c>
      <c r="E58" s="171">
        <v>-53353.24</v>
      </c>
      <c r="F58" s="171">
        <v>-3102.16</v>
      </c>
      <c r="G58" s="171">
        <v>-53353</v>
      </c>
    </row>
    <row r="59" spans="1:7" x14ac:dyDescent="0.25">
      <c r="A59" s="2" t="s">
        <v>15</v>
      </c>
      <c r="B59" s="2" t="s">
        <v>553</v>
      </c>
      <c r="C59" s="57" t="s">
        <v>1107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883</v>
      </c>
      <c r="B60" s="2" t="s">
        <v>960</v>
      </c>
      <c r="C60" s="57" t="s">
        <v>266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884</v>
      </c>
      <c r="B61" s="2" t="s">
        <v>59</v>
      </c>
      <c r="C61" s="57" t="s">
        <v>530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1084</v>
      </c>
      <c r="B62" s="2" t="s">
        <v>355</v>
      </c>
      <c r="C62" s="57" t="s">
        <v>725</v>
      </c>
      <c r="D62" s="157">
        <v>0</v>
      </c>
      <c r="E62" s="171">
        <v>0</v>
      </c>
      <c r="F62" s="157">
        <v>0</v>
      </c>
      <c r="G62" s="171">
        <v>0</v>
      </c>
    </row>
    <row r="63" spans="1:7" x14ac:dyDescent="0.25">
      <c r="A63" s="2" t="s">
        <v>1009</v>
      </c>
      <c r="B63" s="2" t="s">
        <v>526</v>
      </c>
      <c r="C63" s="57" t="s">
        <v>578</v>
      </c>
      <c r="D63" s="157">
        <v>0</v>
      </c>
      <c r="E63" s="171">
        <v>0</v>
      </c>
      <c r="F63" s="157">
        <v>0</v>
      </c>
      <c r="G63" s="171">
        <v>0</v>
      </c>
    </row>
    <row r="64" spans="1:7" x14ac:dyDescent="0.25">
      <c r="A64" s="2" t="s">
        <v>304</v>
      </c>
      <c r="B64" s="2" t="s">
        <v>425</v>
      </c>
      <c r="C64" s="57" t="s">
        <v>119</v>
      </c>
      <c r="D64" s="171">
        <v>284000</v>
      </c>
      <c r="E64" s="171">
        <v>0</v>
      </c>
      <c r="F64" s="171">
        <v>284000</v>
      </c>
      <c r="G64" s="171">
        <v>0</v>
      </c>
    </row>
    <row r="65" spans="1:7" x14ac:dyDescent="0.25">
      <c r="A65" s="2" t="s">
        <v>60</v>
      </c>
      <c r="B65" s="2" t="s">
        <v>212</v>
      </c>
      <c r="C65" s="57" t="s">
        <v>1002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884</v>
      </c>
      <c r="B66" s="2" t="s">
        <v>289</v>
      </c>
      <c r="C66" s="57" t="s">
        <v>479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204</v>
      </c>
      <c r="B67" s="2" t="s">
        <v>50</v>
      </c>
      <c r="C67" s="57" t="s">
        <v>279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373</v>
      </c>
      <c r="B68" s="2" t="s">
        <v>950</v>
      </c>
      <c r="C68" s="57" t="s">
        <v>124</v>
      </c>
      <c r="D68" s="171">
        <v>284000</v>
      </c>
      <c r="E68" s="171">
        <v>0</v>
      </c>
      <c r="F68" s="171">
        <v>284000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7" customWidth="1"/>
    <col min="4" max="11" width="15.28515625" style="157" customWidth="1"/>
  </cols>
  <sheetData>
    <row r="1" spans="1:11" ht="22.5" x14ac:dyDescent="0.25">
      <c r="A1" s="11" t="s">
        <v>628</v>
      </c>
      <c r="B1" s="11" t="s">
        <v>461</v>
      </c>
      <c r="C1" s="51" t="s">
        <v>770</v>
      </c>
      <c r="D1" s="152" t="s">
        <v>1067</v>
      </c>
      <c r="E1" s="152" t="s">
        <v>1061</v>
      </c>
      <c r="F1" s="152" t="s">
        <v>282</v>
      </c>
      <c r="G1" s="152" t="s">
        <v>615</v>
      </c>
      <c r="H1" s="152" t="s">
        <v>297</v>
      </c>
      <c r="I1" s="152" t="s">
        <v>466</v>
      </c>
      <c r="J1" s="152" t="s">
        <v>629</v>
      </c>
      <c r="K1" s="152" t="s">
        <v>442</v>
      </c>
    </row>
    <row r="2" spans="1:11" x14ac:dyDescent="0.25">
      <c r="A2" s="2" t="s">
        <v>937</v>
      </c>
      <c r="B2" s="2" t="s">
        <v>1055</v>
      </c>
      <c r="C2" s="57" t="s">
        <v>910</v>
      </c>
      <c r="D2" s="171">
        <v>4715859.7</v>
      </c>
      <c r="E2" s="171">
        <v>1933880.93</v>
      </c>
      <c r="F2" s="171">
        <v>2781978.77</v>
      </c>
      <c r="G2" s="171">
        <v>2907025.58</v>
      </c>
      <c r="H2" s="171">
        <v>4715859.7</v>
      </c>
      <c r="I2" s="171">
        <v>1933880.93</v>
      </c>
      <c r="J2" s="171">
        <v>2781978.77</v>
      </c>
      <c r="K2" s="171">
        <v>2907026</v>
      </c>
    </row>
    <row r="3" spans="1:11" x14ac:dyDescent="0.25">
      <c r="A3" s="2" t="s">
        <v>809</v>
      </c>
      <c r="B3" s="2" t="s">
        <v>1032</v>
      </c>
      <c r="C3" s="57" t="s">
        <v>390</v>
      </c>
      <c r="D3" s="140">
        <v>3644577.95</v>
      </c>
      <c r="E3" s="140">
        <v>1821394.49</v>
      </c>
      <c r="F3" s="140">
        <v>1823183.46</v>
      </c>
      <c r="G3" s="140">
        <v>1866083.46</v>
      </c>
      <c r="H3" s="140">
        <v>3644577.95</v>
      </c>
      <c r="I3" s="140">
        <v>1821394.49</v>
      </c>
      <c r="J3" s="140">
        <v>1823183.46</v>
      </c>
      <c r="K3" s="140">
        <v>1866083</v>
      </c>
    </row>
    <row r="4" spans="1:11" x14ac:dyDescent="0.25">
      <c r="A4" s="2" t="s">
        <v>990</v>
      </c>
      <c r="B4" s="2" t="s">
        <v>579</v>
      </c>
      <c r="C4" s="57" t="s">
        <v>70</v>
      </c>
      <c r="D4" s="157">
        <v>0</v>
      </c>
      <c r="E4" s="157">
        <v>0</v>
      </c>
      <c r="F4" s="157">
        <v>0</v>
      </c>
      <c r="G4" s="171">
        <v>0</v>
      </c>
      <c r="H4" s="157">
        <v>0</v>
      </c>
      <c r="I4" s="157">
        <v>0</v>
      </c>
      <c r="J4" s="157">
        <v>0</v>
      </c>
      <c r="K4" s="171">
        <v>0</v>
      </c>
    </row>
    <row r="5" spans="1:11" x14ac:dyDescent="0.25">
      <c r="A5" s="2" t="s">
        <v>640</v>
      </c>
      <c r="B5" s="2" t="s">
        <v>716</v>
      </c>
      <c r="C5" s="57" t="s">
        <v>129</v>
      </c>
      <c r="D5" s="157">
        <v>0</v>
      </c>
      <c r="E5" s="157">
        <v>0</v>
      </c>
      <c r="F5" s="157">
        <v>0</v>
      </c>
      <c r="G5" s="171">
        <v>0</v>
      </c>
      <c r="H5" s="157">
        <v>0</v>
      </c>
      <c r="I5" s="157">
        <v>0</v>
      </c>
      <c r="J5" s="157">
        <v>0</v>
      </c>
      <c r="K5" s="171">
        <v>0</v>
      </c>
    </row>
    <row r="6" spans="1:11" x14ac:dyDescent="0.25">
      <c r="A6" s="2" t="s">
        <v>884</v>
      </c>
      <c r="B6" s="2" t="s">
        <v>672</v>
      </c>
      <c r="C6" s="57" t="s">
        <v>452</v>
      </c>
      <c r="D6" s="157">
        <v>0</v>
      </c>
      <c r="E6" s="157">
        <v>0</v>
      </c>
      <c r="F6" s="157">
        <v>0</v>
      </c>
      <c r="G6" s="171">
        <v>0</v>
      </c>
      <c r="H6" s="157">
        <v>0</v>
      </c>
      <c r="I6" s="157">
        <v>0</v>
      </c>
      <c r="J6" s="157">
        <v>0</v>
      </c>
      <c r="K6" s="171">
        <v>0</v>
      </c>
    </row>
    <row r="7" spans="1:11" x14ac:dyDescent="0.25">
      <c r="A7" s="2" t="s">
        <v>204</v>
      </c>
      <c r="B7" s="2" t="s">
        <v>657</v>
      </c>
      <c r="C7" s="57" t="s">
        <v>645</v>
      </c>
      <c r="D7" s="157">
        <v>0</v>
      </c>
      <c r="E7" s="157">
        <v>0</v>
      </c>
      <c r="F7" s="157">
        <v>0</v>
      </c>
      <c r="G7" s="171">
        <v>0</v>
      </c>
      <c r="H7" s="157">
        <v>0</v>
      </c>
      <c r="I7" s="157">
        <v>0</v>
      </c>
      <c r="J7" s="157">
        <v>0</v>
      </c>
      <c r="K7" s="171">
        <v>0</v>
      </c>
    </row>
    <row r="8" spans="1:11" x14ac:dyDescent="0.25">
      <c r="A8" s="2" t="s">
        <v>373</v>
      </c>
      <c r="B8" s="2" t="s">
        <v>727</v>
      </c>
      <c r="C8" s="57" t="s">
        <v>724</v>
      </c>
      <c r="D8" s="157">
        <v>0</v>
      </c>
      <c r="E8" s="157">
        <v>0</v>
      </c>
      <c r="F8" s="157">
        <v>0</v>
      </c>
      <c r="G8" s="171">
        <v>0</v>
      </c>
      <c r="H8" s="157">
        <v>0</v>
      </c>
      <c r="I8" s="157">
        <v>0</v>
      </c>
      <c r="J8" s="157">
        <v>0</v>
      </c>
      <c r="K8" s="171">
        <v>0</v>
      </c>
    </row>
    <row r="9" spans="1:11" x14ac:dyDescent="0.25">
      <c r="A9" s="2" t="s">
        <v>447</v>
      </c>
      <c r="B9" s="2" t="s">
        <v>481</v>
      </c>
      <c r="C9" s="57" t="s">
        <v>873</v>
      </c>
      <c r="D9" s="157">
        <v>0</v>
      </c>
      <c r="E9" s="157">
        <v>0</v>
      </c>
      <c r="F9" s="157">
        <v>0</v>
      </c>
      <c r="G9" s="171">
        <v>0</v>
      </c>
      <c r="H9" s="157">
        <v>0</v>
      </c>
      <c r="I9" s="157">
        <v>0</v>
      </c>
      <c r="J9" s="157">
        <v>0</v>
      </c>
      <c r="K9" s="171">
        <v>0</v>
      </c>
    </row>
    <row r="10" spans="1:11" x14ac:dyDescent="0.25">
      <c r="A10" s="2" t="s">
        <v>887</v>
      </c>
      <c r="B10" s="2" t="s">
        <v>411</v>
      </c>
      <c r="C10" s="57" t="s">
        <v>534</v>
      </c>
      <c r="D10" s="157">
        <v>0</v>
      </c>
      <c r="E10" s="157">
        <v>0</v>
      </c>
      <c r="F10" s="157">
        <v>0</v>
      </c>
      <c r="G10" s="171">
        <v>0</v>
      </c>
      <c r="H10" s="157">
        <v>0</v>
      </c>
      <c r="I10" s="157">
        <v>0</v>
      </c>
      <c r="J10" s="157">
        <v>0</v>
      </c>
      <c r="K10" s="171">
        <v>0</v>
      </c>
    </row>
    <row r="11" spans="1:11" x14ac:dyDescent="0.25">
      <c r="A11" s="2" t="s">
        <v>928</v>
      </c>
      <c r="B11" s="2" t="s">
        <v>500</v>
      </c>
      <c r="C11" s="57" t="s">
        <v>896</v>
      </c>
      <c r="D11" s="157">
        <v>0</v>
      </c>
      <c r="E11" s="157">
        <v>0</v>
      </c>
      <c r="F11" s="157">
        <v>0</v>
      </c>
      <c r="G11" s="171">
        <v>0</v>
      </c>
      <c r="H11" s="157">
        <v>0</v>
      </c>
      <c r="I11" s="157">
        <v>0</v>
      </c>
      <c r="J11" s="157">
        <v>0</v>
      </c>
      <c r="K11" s="171">
        <v>0</v>
      </c>
    </row>
    <row r="12" spans="1:11" x14ac:dyDescent="0.25">
      <c r="A12" s="2" t="s">
        <v>77</v>
      </c>
      <c r="B12" s="2" t="s">
        <v>875</v>
      </c>
      <c r="C12" s="57" t="s">
        <v>882</v>
      </c>
      <c r="D12" s="171">
        <v>3409942.95</v>
      </c>
      <c r="E12" s="171">
        <v>1821394.49</v>
      </c>
      <c r="F12" s="171">
        <v>1588548.46</v>
      </c>
      <c r="G12" s="171">
        <v>1631448.46</v>
      </c>
      <c r="H12" s="171">
        <v>3409942.95</v>
      </c>
      <c r="I12" s="171">
        <v>1821394.49</v>
      </c>
      <c r="J12" s="171">
        <v>1588548.46</v>
      </c>
      <c r="K12" s="171">
        <v>1631448</v>
      </c>
    </row>
    <row r="13" spans="1:11" x14ac:dyDescent="0.25">
      <c r="A13" s="2" t="s">
        <v>465</v>
      </c>
      <c r="B13" s="2" t="s">
        <v>27</v>
      </c>
      <c r="C13" s="57" t="s">
        <v>343</v>
      </c>
      <c r="D13" s="171">
        <v>203519.17</v>
      </c>
      <c r="E13" s="157">
        <v>0</v>
      </c>
      <c r="F13" s="171">
        <v>203519.17</v>
      </c>
      <c r="G13" s="171">
        <v>203519.17</v>
      </c>
      <c r="H13" s="171">
        <v>203519.17</v>
      </c>
      <c r="I13" s="157">
        <v>0</v>
      </c>
      <c r="J13" s="171">
        <v>203519.17</v>
      </c>
      <c r="K13" s="171">
        <v>203519</v>
      </c>
    </row>
    <row r="14" spans="1:11" x14ac:dyDescent="0.25">
      <c r="A14" s="2" t="s">
        <v>884</v>
      </c>
      <c r="B14" s="2" t="s">
        <v>471</v>
      </c>
      <c r="C14" s="57" t="s">
        <v>133</v>
      </c>
      <c r="D14" s="171">
        <v>2611209.4700000002</v>
      </c>
      <c r="E14" s="171">
        <v>1373596.31</v>
      </c>
      <c r="F14" s="171">
        <v>1237613.1599999999</v>
      </c>
      <c r="G14" s="171">
        <v>1280513.1599999999</v>
      </c>
      <c r="H14" s="171">
        <v>2611209.4700000002</v>
      </c>
      <c r="I14" s="171">
        <v>1373596.31</v>
      </c>
      <c r="J14" s="171">
        <v>1237613.1599999999</v>
      </c>
      <c r="K14" s="171">
        <v>1280513</v>
      </c>
    </row>
    <row r="15" spans="1:11" x14ac:dyDescent="0.25">
      <c r="A15" s="2" t="s">
        <v>204</v>
      </c>
      <c r="B15" s="2" t="s">
        <v>695</v>
      </c>
      <c r="C15" s="57" t="s">
        <v>117</v>
      </c>
      <c r="D15" s="171">
        <v>447798.19</v>
      </c>
      <c r="E15" s="171">
        <v>447798.18</v>
      </c>
      <c r="F15" s="171">
        <v>0.01</v>
      </c>
      <c r="G15" s="171">
        <v>0.01</v>
      </c>
      <c r="H15" s="171">
        <v>447798.19</v>
      </c>
      <c r="I15" s="171">
        <v>447798.18</v>
      </c>
      <c r="J15" s="171">
        <v>0.01</v>
      </c>
      <c r="K15" s="171">
        <v>0</v>
      </c>
    </row>
    <row r="16" spans="1:11" x14ac:dyDescent="0.25">
      <c r="A16" s="2" t="s">
        <v>373</v>
      </c>
      <c r="B16" s="2" t="s">
        <v>1050</v>
      </c>
      <c r="C16" s="57" t="s">
        <v>506</v>
      </c>
      <c r="D16" s="157">
        <v>0</v>
      </c>
      <c r="E16" s="157">
        <v>0</v>
      </c>
      <c r="F16" s="157">
        <v>0</v>
      </c>
      <c r="G16" s="171">
        <v>0</v>
      </c>
      <c r="H16" s="157">
        <v>0</v>
      </c>
      <c r="I16" s="157">
        <v>0</v>
      </c>
      <c r="J16" s="157">
        <v>0</v>
      </c>
      <c r="K16" s="171">
        <v>0</v>
      </c>
    </row>
    <row r="17" spans="1:11" x14ac:dyDescent="0.25">
      <c r="A17" s="2" t="s">
        <v>447</v>
      </c>
      <c r="B17" s="2" t="s">
        <v>920</v>
      </c>
      <c r="C17" s="57" t="s">
        <v>539</v>
      </c>
      <c r="D17" s="157">
        <v>0</v>
      </c>
      <c r="E17" s="157">
        <v>0</v>
      </c>
      <c r="F17" s="157">
        <v>0</v>
      </c>
      <c r="G17" s="171">
        <v>0</v>
      </c>
      <c r="H17" s="157">
        <v>0</v>
      </c>
      <c r="I17" s="157">
        <v>0</v>
      </c>
      <c r="J17" s="157">
        <v>0</v>
      </c>
      <c r="K17" s="171">
        <v>0</v>
      </c>
    </row>
    <row r="18" spans="1:11" x14ac:dyDescent="0.25">
      <c r="A18" s="2" t="s">
        <v>887</v>
      </c>
      <c r="B18" s="2" t="s">
        <v>256</v>
      </c>
      <c r="C18" s="57" t="s">
        <v>418</v>
      </c>
      <c r="D18" s="171">
        <v>7520.08</v>
      </c>
      <c r="E18" s="157">
        <v>0</v>
      </c>
      <c r="F18" s="171">
        <v>7520.08</v>
      </c>
      <c r="G18" s="171">
        <v>7520.08</v>
      </c>
      <c r="H18" s="171">
        <v>7520.08</v>
      </c>
      <c r="I18" s="157">
        <v>0</v>
      </c>
      <c r="J18" s="171">
        <v>7520.08</v>
      </c>
      <c r="K18" s="171">
        <v>7520</v>
      </c>
    </row>
    <row r="19" spans="1:11" x14ac:dyDescent="0.25">
      <c r="A19" s="2" t="s">
        <v>928</v>
      </c>
      <c r="B19" s="2" t="s">
        <v>1128</v>
      </c>
      <c r="C19" s="57" t="s">
        <v>22</v>
      </c>
      <c r="D19" s="171">
        <v>139896.04</v>
      </c>
      <c r="E19" s="157">
        <v>0</v>
      </c>
      <c r="F19" s="171">
        <v>139896.04</v>
      </c>
      <c r="G19" s="171">
        <v>139896.04</v>
      </c>
      <c r="H19" s="171">
        <v>139896.04</v>
      </c>
      <c r="I19" s="157">
        <v>0</v>
      </c>
      <c r="J19" s="171">
        <v>139896.04</v>
      </c>
      <c r="K19" s="171">
        <v>139896</v>
      </c>
    </row>
    <row r="20" spans="1:11" x14ac:dyDescent="0.25">
      <c r="A20" s="2" t="s">
        <v>850</v>
      </c>
      <c r="B20" s="2" t="s">
        <v>227</v>
      </c>
      <c r="C20" s="57" t="s">
        <v>1023</v>
      </c>
      <c r="D20" s="157">
        <v>0</v>
      </c>
      <c r="E20" s="157">
        <v>0</v>
      </c>
      <c r="F20" s="157">
        <v>0</v>
      </c>
      <c r="G20" s="171">
        <v>0</v>
      </c>
      <c r="H20" s="157">
        <v>0</v>
      </c>
      <c r="I20" s="157">
        <v>0</v>
      </c>
      <c r="J20" s="157">
        <v>0</v>
      </c>
      <c r="K20" s="171">
        <v>0</v>
      </c>
    </row>
    <row r="21" spans="1:11" x14ac:dyDescent="0.25">
      <c r="A21" s="2" t="s">
        <v>35</v>
      </c>
      <c r="B21" s="2" t="s">
        <v>984</v>
      </c>
      <c r="C21" s="57" t="s">
        <v>280</v>
      </c>
      <c r="D21" s="157">
        <v>0</v>
      </c>
      <c r="E21" s="157">
        <v>0</v>
      </c>
      <c r="F21" s="157">
        <v>0</v>
      </c>
      <c r="G21" s="171">
        <v>0</v>
      </c>
      <c r="H21" s="157">
        <v>0</v>
      </c>
      <c r="I21" s="157">
        <v>0</v>
      </c>
      <c r="J21" s="157">
        <v>0</v>
      </c>
      <c r="K21" s="171">
        <v>0</v>
      </c>
    </row>
    <row r="22" spans="1:11" x14ac:dyDescent="0.25">
      <c r="A22" s="2" t="s">
        <v>1059</v>
      </c>
      <c r="B22" s="2" t="s">
        <v>288</v>
      </c>
      <c r="C22" s="57" t="s">
        <v>12</v>
      </c>
      <c r="D22" s="171">
        <v>234635</v>
      </c>
      <c r="E22" s="157">
        <v>0</v>
      </c>
      <c r="F22" s="171">
        <v>234635</v>
      </c>
      <c r="G22" s="171">
        <v>234635</v>
      </c>
      <c r="H22" s="171">
        <v>234635</v>
      </c>
      <c r="I22" s="157">
        <v>0</v>
      </c>
      <c r="J22" s="171">
        <v>234635</v>
      </c>
      <c r="K22" s="171">
        <v>234635</v>
      </c>
    </row>
    <row r="23" spans="1:11" x14ac:dyDescent="0.25">
      <c r="A23" s="2" t="s">
        <v>520</v>
      </c>
      <c r="B23" s="2" t="s">
        <v>892</v>
      </c>
      <c r="C23" s="57" t="s">
        <v>834</v>
      </c>
      <c r="D23" s="171">
        <v>234635</v>
      </c>
      <c r="E23" s="157">
        <v>0</v>
      </c>
      <c r="F23" s="171">
        <v>234635</v>
      </c>
      <c r="G23" s="171">
        <v>234635</v>
      </c>
      <c r="H23" s="171">
        <v>234635</v>
      </c>
      <c r="I23" s="157">
        <v>0</v>
      </c>
      <c r="J23" s="171">
        <v>234635</v>
      </c>
      <c r="K23" s="171">
        <v>234635</v>
      </c>
    </row>
    <row r="24" spans="1:11" x14ac:dyDescent="0.25">
      <c r="A24" s="2" t="s">
        <v>884</v>
      </c>
      <c r="B24" s="2" t="s">
        <v>307</v>
      </c>
      <c r="C24" s="57" t="s">
        <v>997</v>
      </c>
      <c r="D24" s="157">
        <v>0</v>
      </c>
      <c r="E24" s="157">
        <v>0</v>
      </c>
      <c r="F24" s="157">
        <v>0</v>
      </c>
      <c r="G24" s="171">
        <v>0</v>
      </c>
      <c r="H24" s="157">
        <v>0</v>
      </c>
      <c r="I24" s="157">
        <v>0</v>
      </c>
      <c r="J24" s="157">
        <v>0</v>
      </c>
      <c r="K24" s="171">
        <v>0</v>
      </c>
    </row>
    <row r="25" spans="1:11" x14ac:dyDescent="0.25">
      <c r="A25" s="2" t="s">
        <v>204</v>
      </c>
      <c r="B25" s="2" t="s">
        <v>41</v>
      </c>
      <c r="C25" s="57" t="s">
        <v>525</v>
      </c>
      <c r="D25" s="157">
        <v>0</v>
      </c>
      <c r="E25" s="157">
        <v>0</v>
      </c>
      <c r="F25" s="157">
        <v>0</v>
      </c>
      <c r="G25" s="171">
        <v>0</v>
      </c>
      <c r="H25" s="157">
        <v>0</v>
      </c>
      <c r="I25" s="157">
        <v>0</v>
      </c>
      <c r="J25" s="157">
        <v>0</v>
      </c>
      <c r="K25" s="171">
        <v>0</v>
      </c>
    </row>
    <row r="26" spans="1:11" x14ac:dyDescent="0.25">
      <c r="A26" s="2" t="s">
        <v>373</v>
      </c>
      <c r="B26" s="2" t="s">
        <v>118</v>
      </c>
      <c r="C26" s="57" t="s">
        <v>542</v>
      </c>
      <c r="D26" s="157">
        <v>0</v>
      </c>
      <c r="E26" s="157">
        <v>0</v>
      </c>
      <c r="F26" s="157">
        <v>0</v>
      </c>
      <c r="G26" s="171">
        <v>0</v>
      </c>
      <c r="H26" s="157">
        <v>0</v>
      </c>
      <c r="I26" s="157">
        <v>0</v>
      </c>
      <c r="J26" s="157">
        <v>0</v>
      </c>
      <c r="K26" s="171">
        <v>0</v>
      </c>
    </row>
    <row r="27" spans="1:11" x14ac:dyDescent="0.25">
      <c r="A27" s="2" t="s">
        <v>447</v>
      </c>
      <c r="B27" s="2" t="s">
        <v>767</v>
      </c>
      <c r="C27" s="57" t="s">
        <v>55</v>
      </c>
      <c r="D27" s="157">
        <v>0</v>
      </c>
      <c r="E27" s="157">
        <v>0</v>
      </c>
      <c r="F27" s="157">
        <v>0</v>
      </c>
      <c r="G27" s="171">
        <v>0</v>
      </c>
      <c r="H27" s="157">
        <v>0</v>
      </c>
      <c r="I27" s="157">
        <v>0</v>
      </c>
      <c r="J27" s="157">
        <v>0</v>
      </c>
      <c r="K27" s="171">
        <v>0</v>
      </c>
    </row>
    <row r="28" spans="1:11" x14ac:dyDescent="0.25">
      <c r="A28" s="2" t="s">
        <v>887</v>
      </c>
      <c r="B28" s="2" t="s">
        <v>787</v>
      </c>
      <c r="C28" s="57" t="s">
        <v>744</v>
      </c>
      <c r="D28" s="157">
        <v>0</v>
      </c>
      <c r="E28" s="157">
        <v>0</v>
      </c>
      <c r="F28" s="157">
        <v>0</v>
      </c>
      <c r="G28" s="171">
        <v>0</v>
      </c>
      <c r="H28" s="157">
        <v>0</v>
      </c>
      <c r="I28" s="157">
        <v>0</v>
      </c>
      <c r="J28" s="157">
        <v>0</v>
      </c>
      <c r="K28" s="171">
        <v>0</v>
      </c>
    </row>
    <row r="29" spans="1:11" x14ac:dyDescent="0.25">
      <c r="A29" s="2" t="s">
        <v>928</v>
      </c>
      <c r="B29" s="2" t="s">
        <v>656</v>
      </c>
      <c r="C29" s="57" t="s">
        <v>1072</v>
      </c>
      <c r="D29" s="157">
        <v>0</v>
      </c>
      <c r="E29" s="157">
        <v>0</v>
      </c>
      <c r="F29" s="157">
        <v>0</v>
      </c>
      <c r="G29" s="171">
        <v>0</v>
      </c>
      <c r="H29" s="157">
        <v>0</v>
      </c>
      <c r="I29" s="157">
        <v>0</v>
      </c>
      <c r="J29" s="157">
        <v>0</v>
      </c>
      <c r="K29" s="171">
        <v>0</v>
      </c>
    </row>
    <row r="30" spans="1:11" x14ac:dyDescent="0.25">
      <c r="A30" s="2" t="s">
        <v>850</v>
      </c>
      <c r="B30" s="2" t="s">
        <v>1106</v>
      </c>
      <c r="C30" s="57" t="s">
        <v>1117</v>
      </c>
      <c r="D30" s="157">
        <v>0</v>
      </c>
      <c r="E30" s="157">
        <v>0</v>
      </c>
      <c r="F30" s="157">
        <v>0</v>
      </c>
      <c r="G30" s="171">
        <v>0</v>
      </c>
      <c r="H30" s="157">
        <v>0</v>
      </c>
      <c r="I30" s="157">
        <v>0</v>
      </c>
      <c r="J30" s="157">
        <v>0</v>
      </c>
      <c r="K30" s="171">
        <v>0</v>
      </c>
    </row>
    <row r="31" spans="1:11" x14ac:dyDescent="0.25">
      <c r="A31" s="2" t="s">
        <v>35</v>
      </c>
      <c r="B31" s="2" t="s">
        <v>758</v>
      </c>
      <c r="C31" s="57" t="s">
        <v>284</v>
      </c>
      <c r="D31" s="157">
        <v>0</v>
      </c>
      <c r="E31" s="157">
        <v>0</v>
      </c>
      <c r="F31" s="157">
        <v>0</v>
      </c>
      <c r="G31" s="171">
        <v>0</v>
      </c>
      <c r="H31" s="157">
        <v>0</v>
      </c>
      <c r="I31" s="157">
        <v>0</v>
      </c>
      <c r="J31" s="157">
        <v>0</v>
      </c>
      <c r="K31" s="171">
        <v>0</v>
      </c>
    </row>
    <row r="32" spans="1:11" x14ac:dyDescent="0.25">
      <c r="A32" s="2" t="s">
        <v>668</v>
      </c>
      <c r="B32" s="2" t="s">
        <v>108</v>
      </c>
      <c r="C32" s="57" t="s">
        <v>996</v>
      </c>
      <c r="D32" s="157">
        <v>0</v>
      </c>
      <c r="E32" s="157">
        <v>0</v>
      </c>
      <c r="F32" s="157">
        <v>0</v>
      </c>
      <c r="G32" s="171">
        <v>0</v>
      </c>
      <c r="H32" s="157">
        <v>0</v>
      </c>
      <c r="I32" s="157">
        <v>0</v>
      </c>
      <c r="J32" s="157">
        <v>0</v>
      </c>
      <c r="K32" s="171">
        <v>0</v>
      </c>
    </row>
    <row r="33" spans="1:11" x14ac:dyDescent="0.25">
      <c r="A33" s="2" t="s">
        <v>800</v>
      </c>
      <c r="B33" s="2" t="s">
        <v>1069</v>
      </c>
      <c r="C33" s="57" t="s">
        <v>330</v>
      </c>
      <c r="D33" s="157">
        <v>0</v>
      </c>
      <c r="E33" s="157">
        <v>0</v>
      </c>
      <c r="F33" s="157">
        <v>0</v>
      </c>
      <c r="G33" s="171">
        <v>0</v>
      </c>
      <c r="H33" s="157">
        <v>0</v>
      </c>
      <c r="I33" s="157">
        <v>0</v>
      </c>
      <c r="J33" s="157">
        <v>0</v>
      </c>
      <c r="K33" s="171">
        <v>0</v>
      </c>
    </row>
    <row r="34" spans="1:11" x14ac:dyDescent="0.25">
      <c r="A34" s="2" t="s">
        <v>318</v>
      </c>
      <c r="B34" s="2" t="s">
        <v>311</v>
      </c>
      <c r="C34" s="57" t="s">
        <v>621</v>
      </c>
      <c r="D34" s="171">
        <v>1069758.07</v>
      </c>
      <c r="E34" s="171">
        <v>112486.44</v>
      </c>
      <c r="F34" s="171">
        <v>957271.63</v>
      </c>
      <c r="G34" s="171">
        <v>1039418.44</v>
      </c>
      <c r="H34" s="171">
        <v>1069758.07</v>
      </c>
      <c r="I34" s="171">
        <v>112486.44</v>
      </c>
      <c r="J34" s="171">
        <v>957271.63</v>
      </c>
      <c r="K34" s="171">
        <v>1039419</v>
      </c>
    </row>
    <row r="35" spans="1:11" x14ac:dyDescent="0.25">
      <c r="A35" s="2" t="s">
        <v>1015</v>
      </c>
      <c r="B35" s="2" t="s">
        <v>512</v>
      </c>
      <c r="C35" s="57" t="s">
        <v>489</v>
      </c>
      <c r="D35" s="157">
        <v>0</v>
      </c>
      <c r="E35" s="157">
        <v>0</v>
      </c>
      <c r="F35" s="157">
        <v>0</v>
      </c>
      <c r="G35" s="171">
        <v>0</v>
      </c>
      <c r="H35" s="157">
        <v>0</v>
      </c>
      <c r="I35" s="157">
        <v>0</v>
      </c>
      <c r="J35" s="157">
        <v>0</v>
      </c>
      <c r="K35" s="171">
        <v>0</v>
      </c>
    </row>
    <row r="36" spans="1:11" x14ac:dyDescent="0.25">
      <c r="A36" s="2" t="s">
        <v>253</v>
      </c>
      <c r="B36" s="2" t="s">
        <v>838</v>
      </c>
      <c r="C36" s="57" t="s">
        <v>456</v>
      </c>
      <c r="D36" s="157">
        <v>0</v>
      </c>
      <c r="E36" s="157">
        <v>0</v>
      </c>
      <c r="F36" s="157">
        <v>0</v>
      </c>
      <c r="G36" s="171">
        <v>0</v>
      </c>
      <c r="H36" s="157">
        <v>0</v>
      </c>
      <c r="I36" s="157">
        <v>0</v>
      </c>
      <c r="J36" s="157">
        <v>0</v>
      </c>
      <c r="K36" s="171">
        <v>0</v>
      </c>
    </row>
    <row r="37" spans="1:11" x14ac:dyDescent="0.25">
      <c r="A37" s="2" t="s">
        <v>884</v>
      </c>
      <c r="B37" s="2" t="s">
        <v>698</v>
      </c>
      <c r="C37" s="57" t="s">
        <v>467</v>
      </c>
      <c r="D37" s="157">
        <v>0</v>
      </c>
      <c r="E37" s="157">
        <v>0</v>
      </c>
      <c r="F37" s="157">
        <v>0</v>
      </c>
      <c r="G37" s="171">
        <v>0</v>
      </c>
      <c r="H37" s="157">
        <v>0</v>
      </c>
      <c r="I37" s="157">
        <v>0</v>
      </c>
      <c r="J37" s="157">
        <v>0</v>
      </c>
      <c r="K37" s="171">
        <v>0</v>
      </c>
    </row>
    <row r="38" spans="1:11" x14ac:dyDescent="0.25">
      <c r="A38" s="2" t="s">
        <v>204</v>
      </c>
      <c r="B38" s="2" t="s">
        <v>574</v>
      </c>
      <c r="C38" s="57" t="s">
        <v>585</v>
      </c>
      <c r="D38" s="157">
        <v>0</v>
      </c>
      <c r="E38" s="157">
        <v>0</v>
      </c>
      <c r="F38" s="157">
        <v>0</v>
      </c>
      <c r="G38" s="171">
        <v>0</v>
      </c>
      <c r="H38" s="157">
        <v>0</v>
      </c>
      <c r="I38" s="157">
        <v>0</v>
      </c>
      <c r="J38" s="157">
        <v>0</v>
      </c>
      <c r="K38" s="171">
        <v>0</v>
      </c>
    </row>
    <row r="39" spans="1:11" x14ac:dyDescent="0.25">
      <c r="A39" s="2" t="s">
        <v>373</v>
      </c>
      <c r="B39" s="2" t="s">
        <v>674</v>
      </c>
      <c r="C39" s="57" t="s">
        <v>181</v>
      </c>
      <c r="D39" s="157">
        <v>0</v>
      </c>
      <c r="E39" s="157">
        <v>0</v>
      </c>
      <c r="F39" s="157">
        <v>0</v>
      </c>
      <c r="G39" s="171">
        <v>0</v>
      </c>
      <c r="H39" s="157">
        <v>0</v>
      </c>
      <c r="I39" s="157">
        <v>0</v>
      </c>
      <c r="J39" s="157">
        <v>0</v>
      </c>
      <c r="K39" s="171">
        <v>0</v>
      </c>
    </row>
    <row r="40" spans="1:11" x14ac:dyDescent="0.25">
      <c r="A40" s="2" t="s">
        <v>447</v>
      </c>
      <c r="B40" s="2" t="s">
        <v>403</v>
      </c>
      <c r="C40" s="57" t="s">
        <v>17</v>
      </c>
      <c r="D40" s="157">
        <v>0</v>
      </c>
      <c r="E40" s="157">
        <v>0</v>
      </c>
      <c r="F40" s="157">
        <v>0</v>
      </c>
      <c r="G40" s="171">
        <v>0</v>
      </c>
      <c r="H40" s="157">
        <v>0</v>
      </c>
      <c r="I40" s="157">
        <v>0</v>
      </c>
      <c r="J40" s="157">
        <v>0</v>
      </c>
      <c r="K40" s="171">
        <v>0</v>
      </c>
    </row>
    <row r="41" spans="1:11" x14ac:dyDescent="0.25">
      <c r="A41" s="2" t="s">
        <v>887</v>
      </c>
      <c r="B41" s="2" t="s">
        <v>580</v>
      </c>
      <c r="C41" s="57" t="s">
        <v>783</v>
      </c>
      <c r="D41" s="157">
        <v>0</v>
      </c>
      <c r="E41" s="157">
        <v>0</v>
      </c>
      <c r="F41" s="157">
        <v>0</v>
      </c>
      <c r="G41" s="171">
        <v>0</v>
      </c>
      <c r="H41" s="157">
        <v>0</v>
      </c>
      <c r="I41" s="157">
        <v>0</v>
      </c>
      <c r="J41" s="157">
        <v>0</v>
      </c>
      <c r="K41" s="171">
        <v>0</v>
      </c>
    </row>
    <row r="42" spans="1:11" x14ac:dyDescent="0.25">
      <c r="A42" s="2" t="s">
        <v>346</v>
      </c>
      <c r="B42" s="2" t="s">
        <v>567</v>
      </c>
      <c r="C42" s="57" t="s">
        <v>207</v>
      </c>
      <c r="D42" s="157">
        <v>0</v>
      </c>
      <c r="E42" s="157">
        <v>0</v>
      </c>
      <c r="F42" s="157">
        <v>0</v>
      </c>
      <c r="G42" s="171">
        <v>0</v>
      </c>
      <c r="H42" s="157">
        <v>0</v>
      </c>
      <c r="I42" s="157">
        <v>0</v>
      </c>
      <c r="J42" s="157">
        <v>0</v>
      </c>
      <c r="K42" s="171">
        <v>0</v>
      </c>
    </row>
    <row r="43" spans="1:11" x14ac:dyDescent="0.25">
      <c r="A43" s="2" t="s">
        <v>321</v>
      </c>
      <c r="B43" s="2" t="s">
        <v>309</v>
      </c>
      <c r="C43" s="57" t="s">
        <v>547</v>
      </c>
      <c r="D43" s="157">
        <v>0</v>
      </c>
      <c r="E43" s="157">
        <v>0</v>
      </c>
      <c r="F43" s="157">
        <v>0</v>
      </c>
      <c r="G43" s="171">
        <v>0</v>
      </c>
      <c r="H43" s="157">
        <v>0</v>
      </c>
      <c r="I43" s="157">
        <v>0</v>
      </c>
      <c r="J43" s="157">
        <v>0</v>
      </c>
      <c r="K43" s="171">
        <v>0</v>
      </c>
    </row>
    <row r="44" spans="1:11" x14ac:dyDescent="0.25">
      <c r="A44" s="2" t="s">
        <v>713</v>
      </c>
      <c r="B44" s="2" t="s">
        <v>395</v>
      </c>
      <c r="C44" s="57" t="s">
        <v>1102</v>
      </c>
      <c r="D44" s="157">
        <v>0</v>
      </c>
      <c r="E44" s="157">
        <v>0</v>
      </c>
      <c r="F44" s="157">
        <v>0</v>
      </c>
      <c r="G44" s="171">
        <v>0</v>
      </c>
      <c r="H44" s="157">
        <v>0</v>
      </c>
      <c r="I44" s="157">
        <v>0</v>
      </c>
      <c r="J44" s="157">
        <v>0</v>
      </c>
      <c r="K44" s="171">
        <v>0</v>
      </c>
    </row>
    <row r="45" spans="1:11" x14ac:dyDescent="0.25">
      <c r="A45" s="2" t="s">
        <v>386</v>
      </c>
      <c r="B45" s="2" t="s">
        <v>995</v>
      </c>
      <c r="C45" s="57" t="s">
        <v>475</v>
      </c>
      <c r="D45" s="157">
        <v>0</v>
      </c>
      <c r="E45" s="157">
        <v>0</v>
      </c>
      <c r="F45" s="157">
        <v>0</v>
      </c>
      <c r="G45" s="171">
        <v>0</v>
      </c>
      <c r="H45" s="157">
        <v>0</v>
      </c>
      <c r="I45" s="157">
        <v>0</v>
      </c>
      <c r="J45" s="157">
        <v>0</v>
      </c>
      <c r="K45" s="171">
        <v>0</v>
      </c>
    </row>
    <row r="46" spans="1:11" x14ac:dyDescent="0.25">
      <c r="A46" s="2" t="s">
        <v>443</v>
      </c>
      <c r="B46" s="2" t="s">
        <v>165</v>
      </c>
      <c r="C46" s="57" t="s">
        <v>803</v>
      </c>
      <c r="D46" s="157">
        <v>0</v>
      </c>
      <c r="E46" s="157">
        <v>0</v>
      </c>
      <c r="F46" s="157">
        <v>0</v>
      </c>
      <c r="G46" s="171">
        <v>0</v>
      </c>
      <c r="H46" s="157">
        <v>0</v>
      </c>
      <c r="I46" s="157">
        <v>0</v>
      </c>
      <c r="J46" s="157">
        <v>0</v>
      </c>
      <c r="K46" s="171">
        <v>0</v>
      </c>
    </row>
    <row r="47" spans="1:11" x14ac:dyDescent="0.25">
      <c r="A47" s="2" t="s">
        <v>884</v>
      </c>
      <c r="B47" s="2" t="s">
        <v>732</v>
      </c>
      <c r="C47" s="57" t="s">
        <v>938</v>
      </c>
      <c r="D47" s="157">
        <v>0</v>
      </c>
      <c r="E47" s="157">
        <v>0</v>
      </c>
      <c r="F47" s="157">
        <v>0</v>
      </c>
      <c r="G47" s="171">
        <v>0</v>
      </c>
      <c r="H47" s="157">
        <v>0</v>
      </c>
      <c r="I47" s="157">
        <v>0</v>
      </c>
      <c r="J47" s="157">
        <v>0</v>
      </c>
      <c r="K47" s="171">
        <v>0</v>
      </c>
    </row>
    <row r="48" spans="1:11" x14ac:dyDescent="0.25">
      <c r="A48" s="2" t="s">
        <v>204</v>
      </c>
      <c r="B48" s="2" t="s">
        <v>973</v>
      </c>
      <c r="C48" s="57" t="s">
        <v>951</v>
      </c>
      <c r="D48" s="157">
        <v>0</v>
      </c>
      <c r="E48" s="157">
        <v>0</v>
      </c>
      <c r="F48" s="157">
        <v>0</v>
      </c>
      <c r="G48" s="171">
        <v>0</v>
      </c>
      <c r="H48" s="157">
        <v>0</v>
      </c>
      <c r="I48" s="157">
        <v>0</v>
      </c>
      <c r="J48" s="157">
        <v>0</v>
      </c>
      <c r="K48" s="171">
        <v>0</v>
      </c>
    </row>
    <row r="49" spans="1:11" x14ac:dyDescent="0.25">
      <c r="A49" s="2" t="s">
        <v>373</v>
      </c>
      <c r="B49" s="2" t="s">
        <v>537</v>
      </c>
      <c r="C49" s="57" t="s">
        <v>832</v>
      </c>
      <c r="D49" s="157">
        <v>0</v>
      </c>
      <c r="E49" s="157">
        <v>0</v>
      </c>
      <c r="F49" s="157">
        <v>0</v>
      </c>
      <c r="G49" s="171">
        <v>0</v>
      </c>
      <c r="H49" s="157">
        <v>0</v>
      </c>
      <c r="I49" s="157">
        <v>0</v>
      </c>
      <c r="J49" s="157">
        <v>0</v>
      </c>
      <c r="K49" s="171">
        <v>0</v>
      </c>
    </row>
    <row r="50" spans="1:11" x14ac:dyDescent="0.25">
      <c r="A50" s="2" t="s">
        <v>447</v>
      </c>
      <c r="B50" s="2" t="s">
        <v>146</v>
      </c>
      <c r="C50" s="57" t="s">
        <v>310</v>
      </c>
      <c r="D50" s="157">
        <v>0</v>
      </c>
      <c r="E50" s="157">
        <v>0</v>
      </c>
      <c r="F50" s="157">
        <v>0</v>
      </c>
      <c r="G50" s="171">
        <v>0</v>
      </c>
      <c r="H50" s="157">
        <v>0</v>
      </c>
      <c r="I50" s="157">
        <v>0</v>
      </c>
      <c r="J50" s="157">
        <v>0</v>
      </c>
      <c r="K50" s="171">
        <v>0</v>
      </c>
    </row>
    <row r="51" spans="1:11" x14ac:dyDescent="0.25">
      <c r="A51" s="2" t="s">
        <v>887</v>
      </c>
      <c r="B51" s="2" t="s">
        <v>338</v>
      </c>
      <c r="C51" s="57" t="s">
        <v>774</v>
      </c>
      <c r="D51" s="157">
        <v>0</v>
      </c>
      <c r="E51" s="157">
        <v>0</v>
      </c>
      <c r="F51" s="157">
        <v>0</v>
      </c>
      <c r="G51" s="171">
        <v>0</v>
      </c>
      <c r="H51" s="157">
        <v>0</v>
      </c>
      <c r="I51" s="157">
        <v>0</v>
      </c>
      <c r="J51" s="157">
        <v>0</v>
      </c>
      <c r="K51" s="171">
        <v>0</v>
      </c>
    </row>
    <row r="52" spans="1:11" x14ac:dyDescent="0.25">
      <c r="A52" s="2" t="s">
        <v>928</v>
      </c>
      <c r="B52" s="2" t="s">
        <v>974</v>
      </c>
      <c r="C52" s="57" t="s">
        <v>272</v>
      </c>
      <c r="D52" s="157">
        <v>0</v>
      </c>
      <c r="E52" s="157">
        <v>0</v>
      </c>
      <c r="F52" s="157">
        <v>0</v>
      </c>
      <c r="G52" s="171">
        <v>0</v>
      </c>
      <c r="H52" s="157">
        <v>0</v>
      </c>
      <c r="I52" s="157">
        <v>0</v>
      </c>
      <c r="J52" s="157">
        <v>0</v>
      </c>
      <c r="K52" s="171">
        <v>0</v>
      </c>
    </row>
    <row r="53" spans="1:11" x14ac:dyDescent="0.25">
      <c r="A53" s="2" t="s">
        <v>850</v>
      </c>
      <c r="B53" s="2" t="s">
        <v>31</v>
      </c>
      <c r="C53" s="57" t="s">
        <v>593</v>
      </c>
      <c r="D53" s="157">
        <v>0</v>
      </c>
      <c r="E53" s="157">
        <v>0</v>
      </c>
      <c r="F53" s="157">
        <v>0</v>
      </c>
      <c r="G53" s="171">
        <v>0</v>
      </c>
      <c r="H53" s="157">
        <v>0</v>
      </c>
      <c r="I53" s="157">
        <v>0</v>
      </c>
      <c r="J53" s="157">
        <v>0</v>
      </c>
      <c r="K53" s="171">
        <v>0</v>
      </c>
    </row>
    <row r="54" spans="1:11" x14ac:dyDescent="0.25">
      <c r="A54" s="2" t="s">
        <v>721</v>
      </c>
      <c r="B54" s="2" t="s">
        <v>242</v>
      </c>
      <c r="C54" s="57" t="s">
        <v>535</v>
      </c>
      <c r="D54" s="171">
        <v>907160.32</v>
      </c>
      <c r="E54" s="171">
        <v>112311.83</v>
      </c>
      <c r="F54" s="171">
        <v>794848.49</v>
      </c>
      <c r="G54" s="171">
        <v>1008779.98</v>
      </c>
      <c r="H54" s="171">
        <v>907160.32</v>
      </c>
      <c r="I54" s="171">
        <v>112311.83</v>
      </c>
      <c r="J54" s="171">
        <v>794848.49</v>
      </c>
      <c r="K54" s="171">
        <v>1008780</v>
      </c>
    </row>
    <row r="55" spans="1:11" x14ac:dyDescent="0.25">
      <c r="A55" s="2" t="s">
        <v>1115</v>
      </c>
      <c r="B55" s="2" t="s">
        <v>611</v>
      </c>
      <c r="C55" s="57" t="s">
        <v>331</v>
      </c>
      <c r="D55" s="171">
        <v>521588.03</v>
      </c>
      <c r="E55" s="171">
        <v>112311.83</v>
      </c>
      <c r="F55" s="171">
        <v>409276.2</v>
      </c>
      <c r="G55" s="171">
        <v>419224.41</v>
      </c>
      <c r="H55" s="171">
        <v>521588.03</v>
      </c>
      <c r="I55" s="171">
        <v>112311.83</v>
      </c>
      <c r="J55" s="171">
        <v>409276.2</v>
      </c>
      <c r="K55" s="171">
        <v>419224</v>
      </c>
    </row>
    <row r="56" spans="1:11" x14ac:dyDescent="0.25">
      <c r="A56" s="2" t="s">
        <v>713</v>
      </c>
      <c r="B56" s="2" t="s">
        <v>395</v>
      </c>
      <c r="C56" s="57" t="s">
        <v>949</v>
      </c>
      <c r="D56" s="157">
        <v>0</v>
      </c>
      <c r="E56" s="157">
        <v>0</v>
      </c>
      <c r="F56" s="157">
        <v>0</v>
      </c>
      <c r="G56" s="171">
        <v>0</v>
      </c>
      <c r="H56" s="157">
        <v>0</v>
      </c>
      <c r="I56" s="157">
        <v>0</v>
      </c>
      <c r="J56" s="157">
        <v>0</v>
      </c>
      <c r="K56" s="171">
        <v>0</v>
      </c>
    </row>
    <row r="57" spans="1:11" x14ac:dyDescent="0.25">
      <c r="A57" s="2" t="s">
        <v>386</v>
      </c>
      <c r="B57" s="2" t="s">
        <v>995</v>
      </c>
      <c r="C57" s="57" t="s">
        <v>306</v>
      </c>
      <c r="D57" s="157">
        <v>0</v>
      </c>
      <c r="E57" s="157">
        <v>0</v>
      </c>
      <c r="F57" s="157">
        <v>0</v>
      </c>
      <c r="G57" s="171">
        <v>0</v>
      </c>
      <c r="H57" s="157">
        <v>0</v>
      </c>
      <c r="I57" s="157">
        <v>0</v>
      </c>
      <c r="J57" s="157">
        <v>0</v>
      </c>
      <c r="K57" s="171">
        <v>0</v>
      </c>
    </row>
    <row r="58" spans="1:11" x14ac:dyDescent="0.25">
      <c r="A58" s="2" t="s">
        <v>443</v>
      </c>
      <c r="B58" s="2" t="s">
        <v>165</v>
      </c>
      <c r="C58" s="57" t="s">
        <v>1093</v>
      </c>
      <c r="D58" s="171">
        <v>521588.03</v>
      </c>
      <c r="E58" s="171">
        <v>112311.83</v>
      </c>
      <c r="F58" s="171">
        <v>409276.2</v>
      </c>
      <c r="G58" s="171">
        <v>419224.41</v>
      </c>
      <c r="H58" s="171">
        <v>521588.03</v>
      </c>
      <c r="I58" s="171">
        <v>112311.83</v>
      </c>
      <c r="J58" s="171">
        <v>409276.2</v>
      </c>
      <c r="K58" s="171">
        <v>419224</v>
      </c>
    </row>
    <row r="59" spans="1:11" x14ac:dyDescent="0.25">
      <c r="A59" s="2" t="s">
        <v>884</v>
      </c>
      <c r="B59" s="2" t="s">
        <v>732</v>
      </c>
      <c r="C59" s="57" t="s">
        <v>568</v>
      </c>
      <c r="D59" s="157">
        <v>0</v>
      </c>
      <c r="E59" s="157">
        <v>0</v>
      </c>
      <c r="F59" s="157">
        <v>0</v>
      </c>
      <c r="G59" s="171">
        <v>0</v>
      </c>
      <c r="H59" s="157">
        <v>0</v>
      </c>
      <c r="I59" s="157">
        <v>0</v>
      </c>
      <c r="J59" s="157">
        <v>0</v>
      </c>
      <c r="K59" s="171">
        <v>0</v>
      </c>
    </row>
    <row r="60" spans="1:11" x14ac:dyDescent="0.25">
      <c r="A60" s="2" t="s">
        <v>204</v>
      </c>
      <c r="B60" s="2" t="s">
        <v>973</v>
      </c>
      <c r="C60" s="57" t="s">
        <v>363</v>
      </c>
      <c r="D60" s="157">
        <v>0</v>
      </c>
      <c r="E60" s="157">
        <v>0</v>
      </c>
      <c r="F60" s="157">
        <v>0</v>
      </c>
      <c r="G60" s="171">
        <v>0</v>
      </c>
      <c r="H60" s="157">
        <v>0</v>
      </c>
      <c r="I60" s="157">
        <v>0</v>
      </c>
      <c r="J60" s="157">
        <v>0</v>
      </c>
      <c r="K60" s="171">
        <v>0</v>
      </c>
    </row>
    <row r="61" spans="1:11" x14ac:dyDescent="0.25">
      <c r="A61" s="2" t="s">
        <v>373</v>
      </c>
      <c r="B61" s="2" t="s">
        <v>537</v>
      </c>
      <c r="C61" s="57" t="s">
        <v>1020</v>
      </c>
      <c r="D61" s="157">
        <v>0</v>
      </c>
      <c r="E61" s="157">
        <v>0</v>
      </c>
      <c r="F61" s="157">
        <v>0</v>
      </c>
      <c r="G61" s="171">
        <v>0</v>
      </c>
      <c r="H61" s="157">
        <v>0</v>
      </c>
      <c r="I61" s="157">
        <v>0</v>
      </c>
      <c r="J61" s="157">
        <v>0</v>
      </c>
      <c r="K61" s="171">
        <v>0</v>
      </c>
    </row>
    <row r="62" spans="1:11" x14ac:dyDescent="0.25">
      <c r="A62" s="2" t="s">
        <v>447</v>
      </c>
      <c r="B62" s="2" t="s">
        <v>912</v>
      </c>
      <c r="C62" s="57" t="s">
        <v>906</v>
      </c>
      <c r="D62" s="157">
        <v>0</v>
      </c>
      <c r="E62" s="157">
        <v>0</v>
      </c>
      <c r="F62" s="157">
        <v>0</v>
      </c>
      <c r="G62" s="171">
        <v>0</v>
      </c>
      <c r="H62" s="157">
        <v>0</v>
      </c>
      <c r="I62" s="157">
        <v>0</v>
      </c>
      <c r="J62" s="157">
        <v>0</v>
      </c>
      <c r="K62" s="171">
        <v>0</v>
      </c>
    </row>
    <row r="63" spans="1:11" x14ac:dyDescent="0.25">
      <c r="A63" s="2" t="s">
        <v>887</v>
      </c>
      <c r="B63" s="2" t="s">
        <v>649</v>
      </c>
      <c r="C63" s="57" t="s">
        <v>193</v>
      </c>
      <c r="D63" s="157">
        <v>0</v>
      </c>
      <c r="E63" s="157">
        <v>0</v>
      </c>
      <c r="F63" s="157">
        <v>0</v>
      </c>
      <c r="G63" s="171">
        <v>0</v>
      </c>
      <c r="H63" s="157">
        <v>0</v>
      </c>
      <c r="I63" s="157">
        <v>0</v>
      </c>
      <c r="J63" s="157">
        <v>0</v>
      </c>
      <c r="K63" s="171">
        <v>0</v>
      </c>
    </row>
    <row r="64" spans="1:11" x14ac:dyDescent="0.25">
      <c r="A64" s="2" t="s">
        <v>928</v>
      </c>
      <c r="B64" s="2" t="s">
        <v>1006</v>
      </c>
      <c r="C64" s="57" t="s">
        <v>684</v>
      </c>
      <c r="D64" s="171">
        <v>737.43</v>
      </c>
      <c r="E64" s="157">
        <v>0</v>
      </c>
      <c r="F64" s="171">
        <v>737.43</v>
      </c>
      <c r="G64" s="171">
        <v>745.89</v>
      </c>
      <c r="H64" s="171">
        <v>737.43</v>
      </c>
      <c r="I64" s="157">
        <v>0</v>
      </c>
      <c r="J64" s="171">
        <v>737.43</v>
      </c>
      <c r="K64" s="171">
        <v>746</v>
      </c>
    </row>
    <row r="65" spans="1:11" x14ac:dyDescent="0.25">
      <c r="A65" s="2" t="s">
        <v>850</v>
      </c>
      <c r="B65" s="2" t="s">
        <v>338</v>
      </c>
      <c r="C65" s="57" t="s">
        <v>1044</v>
      </c>
      <c r="D65" s="157">
        <v>0</v>
      </c>
      <c r="E65" s="157">
        <v>0</v>
      </c>
      <c r="F65" s="157">
        <v>0</v>
      </c>
      <c r="G65" s="171">
        <v>0</v>
      </c>
      <c r="H65" s="157">
        <v>0</v>
      </c>
      <c r="I65" s="157">
        <v>0</v>
      </c>
      <c r="J65" s="157">
        <v>0</v>
      </c>
      <c r="K65" s="171">
        <v>0</v>
      </c>
    </row>
    <row r="66" spans="1:11" x14ac:dyDescent="0.25">
      <c r="A66" s="2" t="s">
        <v>35</v>
      </c>
      <c r="B66" s="2" t="s">
        <v>524</v>
      </c>
      <c r="C66" s="57" t="s">
        <v>16</v>
      </c>
      <c r="D66" s="171">
        <v>384834.86</v>
      </c>
      <c r="E66" s="157">
        <v>0</v>
      </c>
      <c r="F66" s="171">
        <v>384834.86</v>
      </c>
      <c r="G66" s="171">
        <v>588809.68000000005</v>
      </c>
      <c r="H66" s="171">
        <v>384834.86</v>
      </c>
      <c r="I66" s="157">
        <v>0</v>
      </c>
      <c r="J66" s="171">
        <v>384834.86</v>
      </c>
      <c r="K66" s="171">
        <v>588810</v>
      </c>
    </row>
    <row r="67" spans="1:11" x14ac:dyDescent="0.25">
      <c r="A67" s="2" t="s">
        <v>98</v>
      </c>
      <c r="B67" s="2" t="s">
        <v>929</v>
      </c>
      <c r="C67" s="57" t="s">
        <v>1001</v>
      </c>
      <c r="D67" s="157">
        <v>0</v>
      </c>
      <c r="E67" s="171">
        <v>174.61</v>
      </c>
      <c r="F67" s="171">
        <v>-174.61</v>
      </c>
      <c r="G67" s="171">
        <v>0</v>
      </c>
      <c r="H67" s="157">
        <v>0</v>
      </c>
      <c r="I67" s="171">
        <v>174.61</v>
      </c>
      <c r="J67" s="171">
        <v>-174.61</v>
      </c>
      <c r="K67" s="171">
        <v>0</v>
      </c>
    </row>
    <row r="68" spans="1:11" x14ac:dyDescent="0.25">
      <c r="A68" s="2" t="s">
        <v>821</v>
      </c>
      <c r="B68" s="2" t="s">
        <v>28</v>
      </c>
      <c r="C68" s="57" t="s">
        <v>1003</v>
      </c>
      <c r="D68" s="157">
        <v>0</v>
      </c>
      <c r="E68" s="157">
        <v>0</v>
      </c>
      <c r="F68" s="157">
        <v>0</v>
      </c>
      <c r="G68" s="171">
        <v>0</v>
      </c>
      <c r="H68" s="157">
        <v>0</v>
      </c>
      <c r="I68" s="157">
        <v>0</v>
      </c>
      <c r="J68" s="157">
        <v>0</v>
      </c>
      <c r="K68" s="171">
        <v>0</v>
      </c>
    </row>
    <row r="69" spans="1:11" x14ac:dyDescent="0.25">
      <c r="A69" s="2" t="s">
        <v>884</v>
      </c>
      <c r="B69" s="2" t="s">
        <v>814</v>
      </c>
      <c r="C69" s="57" t="s">
        <v>432</v>
      </c>
      <c r="D69" s="157">
        <v>0</v>
      </c>
      <c r="E69" s="171">
        <v>174.61</v>
      </c>
      <c r="F69" s="171">
        <v>-174.61</v>
      </c>
      <c r="G69" s="171">
        <v>0</v>
      </c>
      <c r="H69" s="157">
        <v>0</v>
      </c>
      <c r="I69" s="171">
        <v>174.61</v>
      </c>
      <c r="J69" s="171">
        <v>-174.61</v>
      </c>
      <c r="K69" s="171">
        <v>0</v>
      </c>
    </row>
    <row r="70" spans="1:11" x14ac:dyDescent="0.25">
      <c r="A70" s="2" t="s">
        <v>204</v>
      </c>
      <c r="B70" s="2" t="s">
        <v>942</v>
      </c>
      <c r="C70" s="57" t="s">
        <v>768</v>
      </c>
      <c r="D70" s="157">
        <v>0</v>
      </c>
      <c r="E70" s="157">
        <v>0</v>
      </c>
      <c r="F70" s="157">
        <v>0</v>
      </c>
      <c r="G70" s="171">
        <v>0</v>
      </c>
      <c r="H70" s="157">
        <v>0</v>
      </c>
      <c r="I70" s="157">
        <v>0</v>
      </c>
      <c r="J70" s="157">
        <v>0</v>
      </c>
      <c r="K70" s="171">
        <v>0</v>
      </c>
    </row>
    <row r="71" spans="1:11" x14ac:dyDescent="0.25">
      <c r="A71" s="2" t="s">
        <v>373</v>
      </c>
      <c r="B71" s="2" t="s">
        <v>230</v>
      </c>
      <c r="C71" s="57" t="s">
        <v>324</v>
      </c>
      <c r="D71" s="157">
        <v>0</v>
      </c>
      <c r="E71" s="157">
        <v>0</v>
      </c>
      <c r="F71" s="157">
        <v>0</v>
      </c>
      <c r="G71" s="171">
        <v>0</v>
      </c>
      <c r="H71" s="157">
        <v>0</v>
      </c>
      <c r="I71" s="157">
        <v>0</v>
      </c>
      <c r="J71" s="157">
        <v>0</v>
      </c>
      <c r="K71" s="171">
        <v>0</v>
      </c>
    </row>
    <row r="72" spans="1:11" x14ac:dyDescent="0.25">
      <c r="A72" s="2" t="s">
        <v>15</v>
      </c>
      <c r="B72" s="2" t="s">
        <v>201</v>
      </c>
      <c r="C72" s="57" t="s">
        <v>1087</v>
      </c>
      <c r="D72" s="171">
        <v>162597.75</v>
      </c>
      <c r="E72" s="157">
        <v>0</v>
      </c>
      <c r="F72" s="171">
        <v>162597.75</v>
      </c>
      <c r="G72" s="171">
        <v>30638.46</v>
      </c>
      <c r="H72" s="171">
        <v>162597.75</v>
      </c>
      <c r="I72" s="157">
        <v>0</v>
      </c>
      <c r="J72" s="171">
        <v>162597.75</v>
      </c>
      <c r="K72" s="171">
        <v>30639</v>
      </c>
    </row>
    <row r="73" spans="1:11" x14ac:dyDescent="0.25">
      <c r="A73" s="2" t="s">
        <v>883</v>
      </c>
      <c r="B73" s="2" t="s">
        <v>776</v>
      </c>
      <c r="C73" s="57" t="s">
        <v>808</v>
      </c>
      <c r="D73" s="171">
        <v>27598.799999999999</v>
      </c>
      <c r="E73" s="157">
        <v>0</v>
      </c>
      <c r="F73" s="171">
        <v>27598.799999999999</v>
      </c>
      <c r="G73" s="171">
        <v>17598.8</v>
      </c>
      <c r="H73" s="171">
        <v>27598.799999999999</v>
      </c>
      <c r="I73" s="157">
        <v>0</v>
      </c>
      <c r="J73" s="171">
        <v>27598.799999999999</v>
      </c>
      <c r="K73" s="171">
        <v>17599</v>
      </c>
    </row>
    <row r="74" spans="1:11" x14ac:dyDescent="0.25">
      <c r="A74" s="2" t="s">
        <v>884</v>
      </c>
      <c r="B74" s="2" t="s">
        <v>315</v>
      </c>
      <c r="C74" s="57" t="s">
        <v>573</v>
      </c>
      <c r="D74" s="171">
        <v>134998.95000000001</v>
      </c>
      <c r="E74" s="157">
        <v>0</v>
      </c>
      <c r="F74" s="171">
        <v>134998.95000000001</v>
      </c>
      <c r="G74" s="171">
        <v>13039.66</v>
      </c>
      <c r="H74" s="171">
        <v>134998.95000000001</v>
      </c>
      <c r="I74" s="157">
        <v>0</v>
      </c>
      <c r="J74" s="171">
        <v>134998.95000000001</v>
      </c>
      <c r="K74" s="171">
        <v>13040</v>
      </c>
    </row>
    <row r="75" spans="1:11" x14ac:dyDescent="0.25">
      <c r="A75" s="2" t="s">
        <v>304</v>
      </c>
      <c r="B75" s="2" t="s">
        <v>541</v>
      </c>
      <c r="C75" s="57" t="s">
        <v>228</v>
      </c>
      <c r="D75" s="171">
        <v>1523.68</v>
      </c>
      <c r="E75" s="157">
        <v>0</v>
      </c>
      <c r="F75" s="171">
        <v>1523.68</v>
      </c>
      <c r="G75" s="171">
        <v>1523.68</v>
      </c>
      <c r="H75" s="171">
        <v>1523.68</v>
      </c>
      <c r="I75" s="157">
        <v>0</v>
      </c>
      <c r="J75" s="171">
        <v>1523.68</v>
      </c>
      <c r="K75" s="171">
        <v>1524</v>
      </c>
    </row>
    <row r="76" spans="1:11" x14ac:dyDescent="0.25">
      <c r="A76" s="2" t="s">
        <v>731</v>
      </c>
      <c r="B76" s="2" t="s">
        <v>236</v>
      </c>
      <c r="C76" s="57" t="s">
        <v>865</v>
      </c>
      <c r="D76" s="157">
        <v>0</v>
      </c>
      <c r="E76" s="157">
        <v>0</v>
      </c>
      <c r="F76" s="157">
        <v>0</v>
      </c>
      <c r="G76" s="171">
        <v>0</v>
      </c>
      <c r="H76" s="157">
        <v>0</v>
      </c>
      <c r="I76" s="157">
        <v>0</v>
      </c>
      <c r="J76" s="157">
        <v>0</v>
      </c>
      <c r="K76" s="171">
        <v>0</v>
      </c>
    </row>
    <row r="77" spans="1:11" x14ac:dyDescent="0.25">
      <c r="A77" s="2" t="s">
        <v>884</v>
      </c>
      <c r="B77" s="2" t="s">
        <v>679</v>
      </c>
      <c r="C77" s="57" t="s">
        <v>604</v>
      </c>
      <c r="D77" s="171">
        <v>1523.68</v>
      </c>
      <c r="E77" s="157">
        <v>0</v>
      </c>
      <c r="F77" s="171">
        <v>1523.68</v>
      </c>
      <c r="G77" s="171">
        <v>1523.68</v>
      </c>
      <c r="H77" s="171">
        <v>1523.68</v>
      </c>
      <c r="I77" s="157">
        <v>0</v>
      </c>
      <c r="J77" s="171">
        <v>1523.68</v>
      </c>
      <c r="K77" s="171">
        <v>1524</v>
      </c>
    </row>
    <row r="78" spans="1:11" x14ac:dyDescent="0.25">
      <c r="A78" s="2" t="s">
        <v>204</v>
      </c>
      <c r="B78" s="2" t="s">
        <v>1111</v>
      </c>
      <c r="C78" s="57" t="s">
        <v>700</v>
      </c>
      <c r="D78" s="157">
        <v>0</v>
      </c>
      <c r="E78" s="157">
        <v>0</v>
      </c>
      <c r="F78" s="157">
        <v>0</v>
      </c>
      <c r="G78" s="171">
        <v>0</v>
      </c>
      <c r="H78" s="157">
        <v>0</v>
      </c>
      <c r="I78" s="157">
        <v>0</v>
      </c>
      <c r="J78" s="157">
        <v>0</v>
      </c>
      <c r="K78" s="171">
        <v>0</v>
      </c>
    </row>
    <row r="79" spans="1:11" x14ac:dyDescent="0.25">
      <c r="A79" s="2" t="s">
        <v>373</v>
      </c>
      <c r="B79" s="2" t="s">
        <v>299</v>
      </c>
      <c r="C79" s="57" t="s">
        <v>864</v>
      </c>
      <c r="D79" s="157">
        <v>0</v>
      </c>
      <c r="E79" s="157">
        <v>0</v>
      </c>
      <c r="F79" s="157">
        <v>0</v>
      </c>
      <c r="G79" s="171">
        <v>0</v>
      </c>
      <c r="H79" s="157">
        <v>0</v>
      </c>
      <c r="I79" s="157">
        <v>0</v>
      </c>
      <c r="J79" s="157">
        <v>0</v>
      </c>
      <c r="K79" s="171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628</v>
      </c>
      <c r="B1" s="11" t="s">
        <v>222</v>
      </c>
      <c r="C1" s="51" t="s">
        <v>770</v>
      </c>
      <c r="D1" s="152" t="s">
        <v>1040</v>
      </c>
      <c r="E1" s="152" t="s">
        <v>376</v>
      </c>
      <c r="F1" s="152" t="s">
        <v>301</v>
      </c>
      <c r="G1" s="152" t="s">
        <v>442</v>
      </c>
    </row>
    <row r="2" spans="1:7" x14ac:dyDescent="0.25">
      <c r="A2" s="2" t="s">
        <v>937</v>
      </c>
      <c r="B2" s="2" t="s">
        <v>626</v>
      </c>
      <c r="C2" s="57" t="s">
        <v>382</v>
      </c>
      <c r="D2" s="171">
        <v>2781978.77</v>
      </c>
      <c r="E2" s="171">
        <v>2907025.58</v>
      </c>
      <c r="F2" s="171">
        <v>2781978.77</v>
      </c>
      <c r="G2" s="171">
        <v>2907026</v>
      </c>
    </row>
    <row r="3" spans="1:7" x14ac:dyDescent="0.25">
      <c r="A3" s="2" t="s">
        <v>809</v>
      </c>
      <c r="B3" s="2" t="s">
        <v>1052</v>
      </c>
      <c r="C3" s="57" t="s">
        <v>148</v>
      </c>
      <c r="D3" s="140">
        <v>2828419.22</v>
      </c>
      <c r="E3" s="140">
        <v>2887057.06</v>
      </c>
      <c r="F3" s="140">
        <v>2828419.22</v>
      </c>
      <c r="G3" s="140">
        <v>2887057</v>
      </c>
    </row>
    <row r="4" spans="1:7" x14ac:dyDescent="0.25">
      <c r="A4" s="2" t="s">
        <v>990</v>
      </c>
      <c r="B4" s="2" t="s">
        <v>34</v>
      </c>
      <c r="C4" s="57" t="s">
        <v>689</v>
      </c>
      <c r="D4" s="171">
        <v>1998275</v>
      </c>
      <c r="E4" s="171">
        <v>1998275</v>
      </c>
      <c r="F4" s="171">
        <v>1998275</v>
      </c>
      <c r="G4" s="171">
        <v>1998275</v>
      </c>
    </row>
    <row r="5" spans="1:7" x14ac:dyDescent="0.25">
      <c r="A5" s="2" t="s">
        <v>384</v>
      </c>
      <c r="B5" s="2" t="s">
        <v>290</v>
      </c>
      <c r="C5" s="57" t="s">
        <v>1039</v>
      </c>
      <c r="D5" s="171">
        <v>1998275</v>
      </c>
      <c r="E5" s="171">
        <v>1998275</v>
      </c>
      <c r="F5" s="171">
        <v>1998275</v>
      </c>
      <c r="G5" s="171">
        <v>1998275</v>
      </c>
    </row>
    <row r="6" spans="1:7" x14ac:dyDescent="0.25">
      <c r="A6" s="2" t="s">
        <v>884</v>
      </c>
      <c r="B6" s="2" t="s">
        <v>762</v>
      </c>
      <c r="C6" s="57" t="s">
        <v>123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204</v>
      </c>
      <c r="B7" s="2" t="s">
        <v>775</v>
      </c>
      <c r="C7" s="57" t="s">
        <v>240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77</v>
      </c>
      <c r="B8" s="2" t="s">
        <v>794</v>
      </c>
      <c r="C8" s="57" t="s">
        <v>603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923</v>
      </c>
      <c r="B9" s="2" t="s">
        <v>650</v>
      </c>
      <c r="C9" s="57" t="s">
        <v>705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733</v>
      </c>
      <c r="B10" s="2" t="s">
        <v>131</v>
      </c>
      <c r="C10" s="57" t="s">
        <v>691</v>
      </c>
      <c r="D10" s="171">
        <v>19970.919999999998</v>
      </c>
      <c r="E10" s="171">
        <v>19970.919999999998</v>
      </c>
      <c r="F10" s="171">
        <v>19970.919999999998</v>
      </c>
      <c r="G10" s="171">
        <v>19971</v>
      </c>
    </row>
    <row r="11" spans="1:7" x14ac:dyDescent="0.25">
      <c r="A11" s="2" t="s">
        <v>211</v>
      </c>
      <c r="B11" s="2" t="s">
        <v>352</v>
      </c>
      <c r="C11" s="57" t="s">
        <v>379</v>
      </c>
      <c r="D11" s="171">
        <v>19970.919999999998</v>
      </c>
      <c r="E11" s="171">
        <v>19970.919999999998</v>
      </c>
      <c r="F11" s="171">
        <v>19970.919999999998</v>
      </c>
      <c r="G11" s="171">
        <v>19971</v>
      </c>
    </row>
    <row r="12" spans="1:7" x14ac:dyDescent="0.25">
      <c r="A12" s="2" t="s">
        <v>884</v>
      </c>
      <c r="B12" s="2" t="s">
        <v>630</v>
      </c>
      <c r="C12" s="57" t="s">
        <v>25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773</v>
      </c>
      <c r="B13" s="2" t="s">
        <v>396</v>
      </c>
      <c r="C13" s="57" t="s">
        <v>1024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203</v>
      </c>
      <c r="B14" s="2" t="s">
        <v>167</v>
      </c>
      <c r="C14" s="57" t="s">
        <v>828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189</v>
      </c>
      <c r="B15" s="2" t="s">
        <v>779</v>
      </c>
      <c r="C15" s="57" t="s">
        <v>890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1053</v>
      </c>
      <c r="B16" s="2" t="s">
        <v>658</v>
      </c>
      <c r="C16" s="57" t="s">
        <v>993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740</v>
      </c>
      <c r="B17" s="2" t="s">
        <v>529</v>
      </c>
      <c r="C17" s="57" t="s">
        <v>308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884</v>
      </c>
      <c r="B18" s="2" t="s">
        <v>717</v>
      </c>
      <c r="C18" s="57" t="s">
        <v>463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204</v>
      </c>
      <c r="B19" s="2" t="s">
        <v>36</v>
      </c>
      <c r="C19" s="57" t="s">
        <v>981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851</v>
      </c>
      <c r="B20" s="2" t="s">
        <v>1065</v>
      </c>
      <c r="C20" s="57" t="s">
        <v>846</v>
      </c>
      <c r="D20" s="171">
        <v>868811.14</v>
      </c>
      <c r="E20" s="171">
        <v>916156.2</v>
      </c>
      <c r="F20" s="171">
        <v>868811.14</v>
      </c>
      <c r="G20" s="171">
        <v>916156</v>
      </c>
    </row>
    <row r="21" spans="1:7" x14ac:dyDescent="0.25">
      <c r="A21" s="2" t="s">
        <v>976</v>
      </c>
      <c r="B21" s="2" t="s">
        <v>1125</v>
      </c>
      <c r="C21" s="57" t="s">
        <v>643</v>
      </c>
      <c r="D21" s="171">
        <v>1696128.49</v>
      </c>
      <c r="E21" s="171">
        <v>1696128.49</v>
      </c>
      <c r="F21" s="171">
        <v>1696128.49</v>
      </c>
      <c r="G21" s="171">
        <v>1696128</v>
      </c>
    </row>
    <row r="22" spans="1:7" x14ac:dyDescent="0.25">
      <c r="A22" s="2" t="s">
        <v>884</v>
      </c>
      <c r="B22" s="2" t="s">
        <v>40</v>
      </c>
      <c r="C22" s="57" t="s">
        <v>576</v>
      </c>
      <c r="D22" s="171">
        <v>-827317.35</v>
      </c>
      <c r="E22" s="171">
        <v>-779972.29</v>
      </c>
      <c r="F22" s="171">
        <v>-827317.35</v>
      </c>
      <c r="G22" s="171">
        <v>-779972</v>
      </c>
    </row>
    <row r="23" spans="1:7" x14ac:dyDescent="0.25">
      <c r="A23" s="2" t="s">
        <v>281</v>
      </c>
      <c r="B23" s="2" t="s">
        <v>652</v>
      </c>
      <c r="C23" s="57" t="s">
        <v>335</v>
      </c>
      <c r="D23" s="171">
        <v>-58637.84</v>
      </c>
      <c r="E23" s="171">
        <v>-47345.06</v>
      </c>
      <c r="F23" s="171">
        <v>-58637.84</v>
      </c>
      <c r="G23" s="171">
        <v>-47345</v>
      </c>
    </row>
    <row r="24" spans="1:7" x14ac:dyDescent="0.25">
      <c r="A24" s="2" t="s">
        <v>318</v>
      </c>
      <c r="B24" s="2" t="s">
        <v>347</v>
      </c>
      <c r="C24" s="57" t="s">
        <v>268</v>
      </c>
      <c r="D24" s="171">
        <v>-46440.45</v>
      </c>
      <c r="E24" s="171">
        <v>19968.52</v>
      </c>
      <c r="F24" s="171">
        <v>-46440.45</v>
      </c>
      <c r="G24" s="171">
        <v>19969</v>
      </c>
    </row>
    <row r="25" spans="1:7" x14ac:dyDescent="0.25">
      <c r="A25" s="2" t="s">
        <v>325</v>
      </c>
      <c r="B25" s="2" t="s">
        <v>372</v>
      </c>
      <c r="C25" s="57" t="s">
        <v>1008</v>
      </c>
      <c r="D25" s="171">
        <v>290.55</v>
      </c>
      <c r="E25" s="171">
        <v>290.55</v>
      </c>
      <c r="F25" s="171">
        <v>290.55</v>
      </c>
      <c r="G25" s="171">
        <v>291</v>
      </c>
    </row>
    <row r="26" spans="1:7" x14ac:dyDescent="0.25">
      <c r="A26" s="2" t="s">
        <v>253</v>
      </c>
      <c r="B26" s="2" t="s">
        <v>23</v>
      </c>
      <c r="C26" s="57" t="s">
        <v>83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713</v>
      </c>
      <c r="B27" s="2" t="s">
        <v>1042</v>
      </c>
      <c r="C27" s="57" t="s">
        <v>1025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386</v>
      </c>
      <c r="B28" s="2" t="s">
        <v>522</v>
      </c>
      <c r="C28" s="57" t="s">
        <v>903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443</v>
      </c>
      <c r="B29" s="2" t="s">
        <v>428</v>
      </c>
      <c r="C29" s="57" t="s">
        <v>137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884</v>
      </c>
      <c r="B30" s="2" t="s">
        <v>732</v>
      </c>
      <c r="C30" s="57" t="s">
        <v>746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204</v>
      </c>
      <c r="B31" s="2" t="s">
        <v>159</v>
      </c>
      <c r="C31" s="57" t="s">
        <v>953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373</v>
      </c>
      <c r="B32" s="2" t="s">
        <v>166</v>
      </c>
      <c r="C32" s="57" t="s">
        <v>1007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447</v>
      </c>
      <c r="B33" s="2" t="s">
        <v>785</v>
      </c>
      <c r="C33" s="57" t="s">
        <v>866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887</v>
      </c>
      <c r="B34" s="2" t="s">
        <v>967</v>
      </c>
      <c r="C34" s="57" t="s">
        <v>788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928</v>
      </c>
      <c r="B35" s="2" t="s">
        <v>904</v>
      </c>
      <c r="C35" s="57" t="s">
        <v>681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850</v>
      </c>
      <c r="B36" s="2" t="s">
        <v>886</v>
      </c>
      <c r="C36" s="57" t="s">
        <v>718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35</v>
      </c>
      <c r="B37" s="2" t="s">
        <v>1066</v>
      </c>
      <c r="C37" s="57" t="s">
        <v>600</v>
      </c>
      <c r="D37" s="171">
        <v>290.55</v>
      </c>
      <c r="E37" s="171">
        <v>290.55</v>
      </c>
      <c r="F37" s="171">
        <v>290.55</v>
      </c>
      <c r="G37" s="171">
        <v>291</v>
      </c>
    </row>
    <row r="38" spans="1:7" x14ac:dyDescent="0.25">
      <c r="A38" s="2" t="s">
        <v>668</v>
      </c>
      <c r="B38" s="2" t="s">
        <v>1129</v>
      </c>
      <c r="C38" s="57" t="s">
        <v>759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800</v>
      </c>
      <c r="B39" s="2" t="s">
        <v>548</v>
      </c>
      <c r="C39" s="57" t="s">
        <v>848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296</v>
      </c>
      <c r="B40" s="2" t="s">
        <v>161</v>
      </c>
      <c r="C40" s="57" t="s">
        <v>702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346</v>
      </c>
      <c r="B41" s="2" t="s">
        <v>33</v>
      </c>
      <c r="C41" s="57" t="s">
        <v>921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321</v>
      </c>
      <c r="B42" s="2" t="s">
        <v>484</v>
      </c>
      <c r="C42" s="57" t="s">
        <v>1056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884</v>
      </c>
      <c r="B43" s="2" t="s">
        <v>354</v>
      </c>
      <c r="C43" s="57" t="s">
        <v>562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721</v>
      </c>
      <c r="B44" s="2" t="s">
        <v>751</v>
      </c>
      <c r="C44" s="57" t="s">
        <v>433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98</v>
      </c>
      <c r="B45" s="2" t="s">
        <v>847</v>
      </c>
      <c r="C45" s="57" t="s">
        <v>1019</v>
      </c>
      <c r="D45" s="171">
        <v>-46731</v>
      </c>
      <c r="E45" s="171">
        <v>19677.97</v>
      </c>
      <c r="F45" s="171">
        <v>-46731</v>
      </c>
      <c r="G45" s="171">
        <v>19678</v>
      </c>
    </row>
    <row r="46" spans="1:7" x14ac:dyDescent="0.25">
      <c r="A46" s="2" t="s">
        <v>142</v>
      </c>
      <c r="B46" s="2" t="s">
        <v>926</v>
      </c>
      <c r="C46" s="57" t="s">
        <v>112</v>
      </c>
      <c r="D46" s="157">
        <v>0</v>
      </c>
      <c r="E46" s="171">
        <v>0</v>
      </c>
      <c r="F46" s="157">
        <v>0</v>
      </c>
      <c r="G46" s="171">
        <v>0</v>
      </c>
    </row>
    <row r="47" spans="1:7" x14ac:dyDescent="0.25">
      <c r="A47" s="2" t="s">
        <v>713</v>
      </c>
      <c r="B47" s="2" t="s">
        <v>1103</v>
      </c>
      <c r="C47" s="57" t="s">
        <v>897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386</v>
      </c>
      <c r="B48" s="2" t="s">
        <v>498</v>
      </c>
      <c r="C48" s="57" t="s">
        <v>4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443</v>
      </c>
      <c r="B49" s="2" t="s">
        <v>172</v>
      </c>
      <c r="C49" s="57" t="s">
        <v>829</v>
      </c>
      <c r="D49" s="157">
        <v>0</v>
      </c>
      <c r="E49" s="171">
        <v>0</v>
      </c>
      <c r="F49" s="157">
        <v>0</v>
      </c>
      <c r="G49" s="171">
        <v>0</v>
      </c>
    </row>
    <row r="50" spans="1:7" x14ac:dyDescent="0.25">
      <c r="A50" s="2" t="s">
        <v>884</v>
      </c>
      <c r="B50" s="2" t="s">
        <v>732</v>
      </c>
      <c r="C50" s="57" t="s">
        <v>900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204</v>
      </c>
      <c r="B51" s="2" t="s">
        <v>799</v>
      </c>
      <c r="C51" s="57" t="s">
        <v>101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373</v>
      </c>
      <c r="B52" s="2" t="s">
        <v>340</v>
      </c>
      <c r="C52" s="57" t="s">
        <v>965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447</v>
      </c>
      <c r="B53" s="2" t="s">
        <v>916</v>
      </c>
      <c r="C53" s="57" t="s">
        <v>0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887</v>
      </c>
      <c r="B54" s="2" t="s">
        <v>977</v>
      </c>
      <c r="C54" s="57" t="s">
        <v>458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928</v>
      </c>
      <c r="B55" s="2" t="s">
        <v>438</v>
      </c>
      <c r="C55" s="57" t="s">
        <v>437</v>
      </c>
      <c r="D55" s="157">
        <v>0</v>
      </c>
      <c r="E55" s="171">
        <v>0</v>
      </c>
      <c r="F55" s="157">
        <v>0</v>
      </c>
      <c r="G55" s="171">
        <v>0</v>
      </c>
    </row>
    <row r="56" spans="1:7" x14ac:dyDescent="0.25">
      <c r="A56" s="2" t="s">
        <v>850</v>
      </c>
      <c r="B56" s="2" t="s">
        <v>197</v>
      </c>
      <c r="C56" s="57" t="s">
        <v>968</v>
      </c>
      <c r="D56" s="171">
        <v>6622.24</v>
      </c>
      <c r="E56" s="171">
        <v>6826.89</v>
      </c>
      <c r="F56" s="171">
        <v>6622.24</v>
      </c>
      <c r="G56" s="171">
        <v>6827</v>
      </c>
    </row>
    <row r="57" spans="1:7" x14ac:dyDescent="0.25">
      <c r="A57" s="2" t="s">
        <v>35</v>
      </c>
      <c r="B57" s="2" t="s">
        <v>599</v>
      </c>
      <c r="C57" s="57" t="s">
        <v>102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668</v>
      </c>
      <c r="B58" s="2" t="s">
        <v>749</v>
      </c>
      <c r="C58" s="57" t="s">
        <v>622</v>
      </c>
      <c r="D58" s="171">
        <v>-53353.24</v>
      </c>
      <c r="E58" s="171">
        <v>12851.08</v>
      </c>
      <c r="F58" s="171">
        <v>-53353.24</v>
      </c>
      <c r="G58" s="171">
        <v>12851</v>
      </c>
    </row>
    <row r="59" spans="1:7" x14ac:dyDescent="0.25">
      <c r="A59" s="2" t="s">
        <v>15</v>
      </c>
      <c r="B59" s="2" t="s">
        <v>553</v>
      </c>
      <c r="C59" s="57" t="s">
        <v>1107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883</v>
      </c>
      <c r="B60" s="2" t="s">
        <v>960</v>
      </c>
      <c r="C60" s="57" t="s">
        <v>266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884</v>
      </c>
      <c r="B61" s="2" t="s">
        <v>59</v>
      </c>
      <c r="C61" s="57" t="s">
        <v>530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1084</v>
      </c>
      <c r="B62" s="2" t="s">
        <v>355</v>
      </c>
      <c r="C62" s="57" t="s">
        <v>725</v>
      </c>
      <c r="D62" s="157">
        <v>0</v>
      </c>
      <c r="E62" s="171">
        <v>0</v>
      </c>
      <c r="F62" s="157">
        <v>0</v>
      </c>
      <c r="G62" s="171">
        <v>0</v>
      </c>
    </row>
    <row r="63" spans="1:7" x14ac:dyDescent="0.25">
      <c r="A63" s="2" t="s">
        <v>1009</v>
      </c>
      <c r="B63" s="2" t="s">
        <v>526</v>
      </c>
      <c r="C63" s="57" t="s">
        <v>578</v>
      </c>
      <c r="D63" s="157">
        <v>0</v>
      </c>
      <c r="E63" s="171">
        <v>0</v>
      </c>
      <c r="F63" s="157">
        <v>0</v>
      </c>
      <c r="G63" s="171">
        <v>0</v>
      </c>
    </row>
    <row r="64" spans="1:7" x14ac:dyDescent="0.25">
      <c r="A64" s="2" t="s">
        <v>304</v>
      </c>
      <c r="B64" s="2" t="s">
        <v>425</v>
      </c>
      <c r="C64" s="57" t="s">
        <v>119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60</v>
      </c>
      <c r="B65" s="2" t="s">
        <v>212</v>
      </c>
      <c r="C65" s="57" t="s">
        <v>1002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884</v>
      </c>
      <c r="B66" s="2" t="s">
        <v>289</v>
      </c>
      <c r="C66" s="57" t="s">
        <v>479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204</v>
      </c>
      <c r="B67" s="2" t="s">
        <v>50</v>
      </c>
      <c r="C67" s="57" t="s">
        <v>279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373</v>
      </c>
      <c r="B68" s="2" t="s">
        <v>950</v>
      </c>
      <c r="C68" s="57" t="s">
        <v>124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RowHeight="15" x14ac:dyDescent="0.25"/>
  <cols>
    <col min="1" max="1" width="63.140625" style="2" customWidth="1"/>
    <col min="2" max="2" width="24.85546875" style="2" customWidth="1"/>
  </cols>
  <sheetData>
    <row r="1" spans="1:2" x14ac:dyDescent="0.25">
      <c r="A1" s="187" t="s">
        <v>516</v>
      </c>
      <c r="B1" s="187" t="s">
        <v>216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244</v>
      </c>
    </row>
    <row r="2" spans="1:2" ht="21" customHeight="1" thickTop="1" thickBot="1" x14ac:dyDescent="0.3">
      <c r="A2" s="191" t="s">
        <v>496</v>
      </c>
      <c r="B2" s="32" t="s">
        <v>856</v>
      </c>
    </row>
    <row r="3" spans="1:2" ht="30" customHeight="1" thickTop="1" thickBot="1" x14ac:dyDescent="0.3">
      <c r="A3" s="190" t="s">
        <v>789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527</v>
      </c>
    </row>
    <row r="2" spans="1:33" ht="17.25" thickBot="1" x14ac:dyDescent="0.35">
      <c r="A2" s="239" t="s">
        <v>225</v>
      </c>
    </row>
    <row r="3" spans="1:33" ht="16.5" customHeight="1" thickTop="1" thickBot="1" x14ac:dyDescent="0.3">
      <c r="A3" s="240" t="s">
        <v>839</v>
      </c>
      <c r="B3" s="245" t="s">
        <v>121</v>
      </c>
      <c r="C3" s="246"/>
      <c r="D3" s="246"/>
      <c r="E3" s="246"/>
      <c r="F3" s="246"/>
      <c r="G3" s="246"/>
      <c r="H3" s="246"/>
      <c r="I3" s="246"/>
      <c r="J3" s="247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</row>
    <row r="4" spans="1:33" ht="66.75" customHeight="1" thickTop="1" thickBot="1" x14ac:dyDescent="0.3">
      <c r="A4" s="241"/>
      <c r="B4" s="191" t="s">
        <v>1051</v>
      </c>
      <c r="C4" s="32" t="s">
        <v>908</v>
      </c>
      <c r="D4" s="191" t="s">
        <v>53</v>
      </c>
      <c r="E4" s="32" t="s">
        <v>286</v>
      </c>
      <c r="F4" s="191" t="s">
        <v>790</v>
      </c>
      <c r="G4" s="191" t="s">
        <v>162</v>
      </c>
      <c r="H4" s="32" t="s">
        <v>397</v>
      </c>
      <c r="I4" s="191" t="s">
        <v>519</v>
      </c>
      <c r="J4" s="191" t="s">
        <v>872</v>
      </c>
    </row>
    <row r="5" spans="1:33" ht="15" customHeight="1" thickTop="1" thickBot="1" x14ac:dyDescent="0.3">
      <c r="A5" s="15" t="s">
        <v>1090</v>
      </c>
      <c r="B5" s="158"/>
      <c r="C5" s="158"/>
      <c r="D5" s="158"/>
      <c r="E5" s="158"/>
      <c r="F5" s="158"/>
      <c r="G5" s="158"/>
      <c r="H5" s="158"/>
      <c r="I5" s="158"/>
      <c r="J5" s="174"/>
      <c r="K5" s="68"/>
      <c r="L5" s="68"/>
      <c r="M5" s="68"/>
      <c r="N5" s="68"/>
      <c r="O5" s="68"/>
      <c r="P5" s="68"/>
      <c r="Q5" s="68"/>
      <c r="R5" s="68"/>
      <c r="S5" s="168"/>
      <c r="T5" s="168"/>
      <c r="U5" s="168"/>
      <c r="V5" s="168"/>
      <c r="W5" s="168"/>
      <c r="X5" s="168"/>
      <c r="Y5" s="168"/>
    </row>
    <row r="6" spans="1:33" ht="24" thickTop="1" thickBot="1" x14ac:dyDescent="0.3">
      <c r="A6" s="18" t="s">
        <v>934</v>
      </c>
      <c r="B6" s="135">
        <f>SUMIF(HK!A:A,"061*",HK!C:C)-SUMIF(HK!A:A,"061*",HK!D:D)</f>
        <v>234635</v>
      </c>
      <c r="C6" s="135">
        <f>SUMIF(HK!A:A,"062*",HK!C:C)-SUMIF(HK!A:A,"062*",HK!D:D)</f>
        <v>0</v>
      </c>
      <c r="D6" s="135">
        <f>SUMIF(HK!A:A,"063*",HK!C:C)-SUMIF(HK!A:A,"063*",HK!D:D)</f>
        <v>0</v>
      </c>
      <c r="E6" s="135">
        <f>SUMIF(HK!A:A,"066*",HK!C:C)-SUMIF(HK!A:A,"066*",HK!D:D)</f>
        <v>0</v>
      </c>
      <c r="F6" s="135">
        <f>SUMIF(HK!A:A,"067*",HK!C:C)-SUMIF(HK!A:A,"067*",HK!D:D)</f>
        <v>0</v>
      </c>
      <c r="G6" s="231"/>
      <c r="H6" s="135">
        <f>SUMIF(HK!A:A,"043*",HK!C:C)-SUMIF(HK!A:A,"043*",HK!D:D)</f>
        <v>0</v>
      </c>
      <c r="I6" s="135">
        <f>SUMIF(HK!A:A,"053*",HK!C:C)-SUMIF(HK!A:A,"053*",HK!D:D)</f>
        <v>0</v>
      </c>
      <c r="J6" s="124">
        <f>SUM(B6:I6)</f>
        <v>234635</v>
      </c>
      <c r="K6" s="76"/>
      <c r="L6" s="38"/>
      <c r="M6" s="76"/>
      <c r="N6" s="76"/>
      <c r="O6" s="76"/>
      <c r="P6" s="76"/>
      <c r="Q6" s="76"/>
      <c r="R6" s="76"/>
    </row>
    <row r="7" spans="1:33" ht="15" customHeight="1" thickBot="1" x14ac:dyDescent="0.3">
      <c r="A7" s="169" t="s">
        <v>1064</v>
      </c>
      <c r="B7" s="231"/>
      <c r="C7" s="231"/>
      <c r="D7" s="231"/>
      <c r="E7" s="231"/>
      <c r="F7" s="29"/>
      <c r="G7" s="231"/>
      <c r="H7" s="231"/>
      <c r="I7" s="231"/>
      <c r="J7" s="124">
        <f>SUM(B7:I7)</f>
        <v>0</v>
      </c>
      <c r="K7" s="76"/>
      <c r="L7" s="76"/>
      <c r="M7" s="76"/>
      <c r="N7" s="76"/>
      <c r="O7" s="76"/>
      <c r="P7" s="76"/>
      <c r="Q7" s="76"/>
      <c r="R7" s="76"/>
    </row>
    <row r="8" spans="1:33" ht="15" customHeight="1" thickBot="1" x14ac:dyDescent="0.3">
      <c r="A8" s="169" t="s">
        <v>18</v>
      </c>
      <c r="B8" s="231"/>
      <c r="C8" s="231"/>
      <c r="D8" s="231"/>
      <c r="E8" s="231"/>
      <c r="F8" s="29"/>
      <c r="G8" s="231"/>
      <c r="H8" s="231"/>
      <c r="I8" s="231"/>
      <c r="J8" s="124">
        <f>SUM(B8:I8)</f>
        <v>0</v>
      </c>
      <c r="K8" s="76"/>
      <c r="L8" s="76"/>
      <c r="M8" s="76"/>
      <c r="N8" s="76"/>
      <c r="O8" s="76"/>
      <c r="P8" s="76"/>
      <c r="Q8" s="76"/>
      <c r="R8" s="76"/>
    </row>
    <row r="9" spans="1:33" ht="15" customHeight="1" thickBot="1" x14ac:dyDescent="0.3">
      <c r="A9" s="169" t="s">
        <v>434</v>
      </c>
      <c r="B9" s="231"/>
      <c r="C9" s="231"/>
      <c r="D9" s="231"/>
      <c r="E9" s="231"/>
      <c r="F9" s="29"/>
      <c r="G9" s="231"/>
      <c r="H9" s="231"/>
      <c r="I9" s="231"/>
      <c r="J9" s="124">
        <f>SUM(B9:I9)</f>
        <v>0</v>
      </c>
      <c r="K9" s="76"/>
      <c r="L9" s="76"/>
      <c r="M9" s="76"/>
      <c r="N9" s="76"/>
      <c r="O9" s="76"/>
      <c r="P9" s="76"/>
      <c r="Q9" s="76"/>
      <c r="R9" s="76"/>
    </row>
    <row r="10" spans="1:33" ht="15.75" thickBot="1" x14ac:dyDescent="0.3">
      <c r="A10" s="125" t="s">
        <v>84</v>
      </c>
      <c r="B10" s="135">
        <f>SUMIF(HK!A:A,"061*",HK!K:K)-SUMIF(HK!A:A,"061*",HK!L:L)</f>
        <v>234635</v>
      </c>
      <c r="C10" s="135">
        <f>SUMIF(HK!A:A,"062*",HK!K:K)-SUMIF(HK!A:A,"062*",HK!L:L)</f>
        <v>0</v>
      </c>
      <c r="D10" s="135">
        <f>SUMIF(HK!A:A,"063*",HK!K:K)-SUMIF(HK!A:A,"063*",HK!L:L)</f>
        <v>0</v>
      </c>
      <c r="E10" s="135">
        <f>SUMIF(HK!A:A,"066*",HK!K:K)-SUMIF(HK!A:A,"066*",HK!L:L)</f>
        <v>0</v>
      </c>
      <c r="F10" s="135">
        <f>SUMIF(HK!A:A,"067*",HK!K:K)-SUMIF(HK!A:A,"067*",HK!L:L)</f>
        <v>0</v>
      </c>
      <c r="G10" s="231"/>
      <c r="H10" s="135">
        <f>SUMIF(HK!A:A,"043*",HK!K:K)-SUMIF(HK!A:A,"043*",HK!L:L)</f>
        <v>0</v>
      </c>
      <c r="I10" s="135">
        <f>SUMIF(HK!A:A,"053*",HK!K:K)-SUMIF(HK!A:A,"053*",HK!L:L)</f>
        <v>0</v>
      </c>
      <c r="J10" s="211">
        <f>J6+J7-J8+J9</f>
        <v>234635</v>
      </c>
      <c r="K10" s="76"/>
      <c r="L10" s="38"/>
      <c r="M10" s="76"/>
      <c r="N10" s="76"/>
      <c r="O10" s="76"/>
      <c r="P10" s="76"/>
      <c r="Q10" s="76"/>
      <c r="R10" s="76"/>
    </row>
    <row r="11" spans="1:33" ht="15" customHeight="1" thickTop="1" thickBot="1" x14ac:dyDescent="0.3">
      <c r="A11" s="15" t="s">
        <v>1077</v>
      </c>
      <c r="B11" s="141"/>
      <c r="C11" s="141"/>
      <c r="D11" s="141"/>
      <c r="E11" s="141"/>
      <c r="F11" s="141"/>
      <c r="G11" s="141"/>
      <c r="H11" s="141"/>
      <c r="I11" s="141"/>
      <c r="J11" s="174"/>
      <c r="K11" s="76"/>
      <c r="L11" s="76"/>
      <c r="M11" s="76"/>
      <c r="N11" s="76"/>
      <c r="O11" s="76"/>
      <c r="P11" s="76"/>
      <c r="Q11" s="76"/>
      <c r="R11" s="76"/>
    </row>
    <row r="12" spans="1:33" ht="24" thickTop="1" thickBot="1" x14ac:dyDescent="0.3">
      <c r="A12" s="18" t="s">
        <v>57</v>
      </c>
      <c r="B12" s="135"/>
      <c r="C12" s="135"/>
      <c r="D12" s="135"/>
      <c r="E12" s="135"/>
      <c r="F12" s="135"/>
      <c r="G12" s="135"/>
      <c r="H12" s="135"/>
      <c r="I12" s="135">
        <f>SUMIF(SUAM!C:C,"032",SUAM!E:E)</f>
        <v>0</v>
      </c>
      <c r="J12" s="124">
        <f>SUM(B12:I12)</f>
        <v>0</v>
      </c>
      <c r="K12" s="76"/>
      <c r="L12" s="38"/>
      <c r="M12" s="76"/>
      <c r="N12" s="120"/>
      <c r="O12" s="76"/>
      <c r="P12" s="76"/>
      <c r="Q12" s="76"/>
      <c r="R12" s="76"/>
    </row>
    <row r="13" spans="1:33" ht="15" customHeight="1" thickBot="1" x14ac:dyDescent="0.3">
      <c r="A13" s="169" t="s">
        <v>1064</v>
      </c>
      <c r="B13" s="231"/>
      <c r="C13" s="231"/>
      <c r="D13" s="231"/>
      <c r="E13" s="231"/>
      <c r="F13" s="231"/>
      <c r="G13" s="231"/>
      <c r="H13" s="231"/>
      <c r="I13" s="231"/>
      <c r="J13" s="124">
        <f>SUM(B13:I13)</f>
        <v>0</v>
      </c>
      <c r="K13" s="76"/>
      <c r="L13" s="76"/>
      <c r="M13" s="76"/>
      <c r="N13" s="76"/>
      <c r="O13" s="76"/>
      <c r="P13" s="76"/>
      <c r="Q13" s="76"/>
      <c r="R13" s="76"/>
    </row>
    <row r="14" spans="1:33" ht="15" customHeight="1" thickBot="1" x14ac:dyDescent="0.3">
      <c r="A14" s="169" t="s">
        <v>18</v>
      </c>
      <c r="B14" s="231"/>
      <c r="C14" s="231"/>
      <c r="D14" s="231"/>
      <c r="E14" s="231"/>
      <c r="F14" s="231"/>
      <c r="G14" s="231"/>
      <c r="H14" s="231"/>
      <c r="I14" s="231"/>
      <c r="J14" s="124">
        <f>SUM(B14:I14)</f>
        <v>0</v>
      </c>
      <c r="K14" s="76"/>
      <c r="L14" s="76"/>
      <c r="M14" s="76"/>
      <c r="N14" s="76"/>
      <c r="O14" s="76"/>
      <c r="P14" s="76"/>
      <c r="Q14" s="76"/>
      <c r="R14" s="76"/>
    </row>
    <row r="15" spans="1:33" ht="15" customHeight="1" thickBot="1" x14ac:dyDescent="0.3">
      <c r="A15" s="99" t="s">
        <v>434</v>
      </c>
      <c r="B15" s="29"/>
      <c r="C15" s="29"/>
      <c r="D15" s="29"/>
      <c r="E15" s="29"/>
      <c r="F15" s="29"/>
      <c r="G15" s="29"/>
      <c r="H15" s="29"/>
      <c r="I15" s="29"/>
      <c r="J15" s="86"/>
      <c r="K15" s="76"/>
      <c r="L15" s="76"/>
      <c r="M15" s="76"/>
      <c r="N15" s="76"/>
      <c r="O15" s="76"/>
      <c r="P15" s="76"/>
      <c r="Q15" s="76"/>
      <c r="R15" s="76"/>
    </row>
    <row r="16" spans="1:33" ht="15.75" thickBot="1" x14ac:dyDescent="0.3">
      <c r="A16" s="125" t="s">
        <v>84</v>
      </c>
      <c r="B16" s="135"/>
      <c r="C16" s="135"/>
      <c r="D16" s="135"/>
      <c r="E16" s="135"/>
      <c r="F16" s="135"/>
      <c r="G16" s="135"/>
      <c r="H16" s="135"/>
      <c r="I16" s="135">
        <f>SUMIF(SUA!C:C,"032",SUA!E:E)</f>
        <v>0</v>
      </c>
      <c r="J16" s="211">
        <f>J12+J13-J14</f>
        <v>0</v>
      </c>
      <c r="K16" s="76"/>
      <c r="L16" s="38"/>
      <c r="M16" s="76"/>
      <c r="N16" s="120"/>
      <c r="O16" s="76"/>
      <c r="P16" s="76"/>
      <c r="Q16" s="76"/>
      <c r="R16" s="76"/>
    </row>
    <row r="17" spans="1:33" ht="15" customHeight="1" thickTop="1" thickBot="1" x14ac:dyDescent="0.3">
      <c r="A17" s="15" t="s">
        <v>298</v>
      </c>
      <c r="B17" s="141"/>
      <c r="C17" s="141"/>
      <c r="D17" s="141"/>
      <c r="E17" s="141"/>
      <c r="F17" s="141"/>
      <c r="G17" s="141"/>
      <c r="H17" s="141"/>
      <c r="I17" s="141"/>
      <c r="J17" s="174"/>
      <c r="K17" s="76"/>
      <c r="L17" s="76"/>
      <c r="M17" s="76"/>
      <c r="N17" s="76"/>
      <c r="O17" s="76"/>
      <c r="P17" s="76"/>
      <c r="Q17" s="76"/>
      <c r="R17" s="76"/>
    </row>
    <row r="18" spans="1:33" ht="15" customHeight="1" thickTop="1" thickBot="1" x14ac:dyDescent="0.3">
      <c r="A18" s="18" t="s">
        <v>57</v>
      </c>
      <c r="B18" s="231"/>
      <c r="C18" s="231"/>
      <c r="D18" s="231"/>
      <c r="E18" s="231"/>
      <c r="F18" s="231"/>
      <c r="G18" s="231"/>
      <c r="H18" s="231"/>
      <c r="I18" s="231"/>
      <c r="J18" s="124"/>
    </row>
    <row r="19" spans="1:33" ht="15" customHeight="1" thickBot="1" x14ac:dyDescent="0.3">
      <c r="A19" s="125" t="s">
        <v>84</v>
      </c>
      <c r="B19" s="49"/>
      <c r="C19" s="49"/>
      <c r="D19" s="49"/>
      <c r="E19" s="49"/>
      <c r="F19" s="49"/>
      <c r="G19" s="49"/>
      <c r="H19" s="49"/>
      <c r="I19" s="49"/>
      <c r="J19" s="211"/>
    </row>
    <row r="20" spans="1:33" ht="15.75" thickTop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</row>
    <row r="21" spans="1:33" x14ac:dyDescent="0.25">
      <c r="A21" s="142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33" ht="15.75" thickBot="1" x14ac:dyDescent="0.3">
      <c r="A22" s="7" t="s">
        <v>6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48" t="s">
        <v>839</v>
      </c>
      <c r="B23" s="242" t="s">
        <v>734</v>
      </c>
      <c r="C23" s="243"/>
      <c r="D23" s="243"/>
      <c r="E23" s="243"/>
      <c r="F23" s="243"/>
      <c r="G23" s="243"/>
      <c r="H23" s="243"/>
      <c r="I23" s="243"/>
      <c r="J23" s="244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</row>
    <row r="24" spans="1:33" ht="66.75" customHeight="1" thickTop="1" thickBot="1" x14ac:dyDescent="0.3">
      <c r="A24" s="249"/>
      <c r="B24" s="236" t="s">
        <v>1051</v>
      </c>
      <c r="C24" s="87" t="s">
        <v>908</v>
      </c>
      <c r="D24" s="236" t="s">
        <v>53</v>
      </c>
      <c r="E24" s="87" t="s">
        <v>286</v>
      </c>
      <c r="F24" s="236" t="s">
        <v>790</v>
      </c>
      <c r="G24" s="236" t="s">
        <v>162</v>
      </c>
      <c r="H24" s="87" t="s">
        <v>397</v>
      </c>
      <c r="I24" s="236" t="s">
        <v>519</v>
      </c>
      <c r="J24" s="236" t="s">
        <v>872</v>
      </c>
    </row>
    <row r="25" spans="1:33" ht="15" customHeight="1" thickTop="1" thickBot="1" x14ac:dyDescent="0.3">
      <c r="A25" s="207" t="s">
        <v>1090</v>
      </c>
      <c r="B25" s="108"/>
      <c r="C25" s="108"/>
      <c r="D25" s="108"/>
      <c r="E25" s="108"/>
      <c r="F25" s="108"/>
      <c r="G25" s="108"/>
      <c r="H25" s="108"/>
      <c r="I25" s="108"/>
      <c r="J25" s="114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</row>
    <row r="26" spans="1:33" ht="24" thickTop="1" thickBot="1" x14ac:dyDescent="0.3">
      <c r="A26" s="209" t="s">
        <v>934</v>
      </c>
      <c r="B26" s="135">
        <f>SUMIF(HKM!A:A,"061*",HKM!C:C)-SUMIF(HKM!A:A,"061*",HKM!D:D)</f>
        <v>234635</v>
      </c>
      <c r="C26" s="135">
        <f>SUMIF(HKM!A:A,"062*",HKM!C:C)-SUMIF(HKM!A:A,"062*",HKM!D:D)</f>
        <v>0</v>
      </c>
      <c r="D26" s="135">
        <f>SUMIF(HKM!A:A,"063*",HKM!C:C)-SUMIF(HKM!A:A,"063*",HKM!D:D)</f>
        <v>0</v>
      </c>
      <c r="E26" s="135">
        <f>SUMIF(HKM!A:A,"066*",HKM!C:C)-SUMIF(HKM!A:A,"066*",HKM!D:D)</f>
        <v>0</v>
      </c>
      <c r="F26" s="135">
        <f>SUMIF(HKM!A:A,"067*",HKM!C:C)-SUMIF(HKM!A:A,"067*",HKM!D:D)</f>
        <v>0</v>
      </c>
      <c r="G26" s="231"/>
      <c r="H26" s="135">
        <f>SUMIF(HKM!A:A,"043*",HKM!C:C)-SUMIF(HKM!A:A,"043*",HKM!D:D)</f>
        <v>0</v>
      </c>
      <c r="I26" s="135">
        <f>SUMIF(HKM!A:A,"053*",HKM!C:C)-SUMIF(HKM!A:A,"053*",HKM!D:D)</f>
        <v>0</v>
      </c>
      <c r="J26" s="71">
        <f>SUM(B26:I26)</f>
        <v>234635</v>
      </c>
      <c r="K26" s="76"/>
      <c r="L26" s="38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</row>
    <row r="27" spans="1:33" ht="15" customHeight="1" thickBot="1" x14ac:dyDescent="0.3">
      <c r="A27" s="112" t="s">
        <v>1064</v>
      </c>
      <c r="B27" s="231"/>
      <c r="C27" s="231"/>
      <c r="D27" s="231"/>
      <c r="E27" s="231"/>
      <c r="F27" s="29"/>
      <c r="G27" s="231"/>
      <c r="H27" s="231"/>
      <c r="I27" s="231"/>
      <c r="J27" s="71">
        <f>SUM(B27:I27)</f>
        <v>0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</row>
    <row r="28" spans="1:33" ht="15" customHeight="1" thickBot="1" x14ac:dyDescent="0.3">
      <c r="A28" s="238" t="s">
        <v>18</v>
      </c>
      <c r="B28" s="56"/>
      <c r="C28" s="231"/>
      <c r="D28" s="231"/>
      <c r="E28" s="231"/>
      <c r="F28" s="29"/>
      <c r="G28" s="231"/>
      <c r="H28" s="231"/>
      <c r="I28" s="231"/>
      <c r="J28" s="71">
        <f>SUM(B28:I28)</f>
        <v>0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</row>
    <row r="29" spans="1:33" ht="15" customHeight="1" thickBot="1" x14ac:dyDescent="0.3">
      <c r="A29" s="46" t="s">
        <v>434</v>
      </c>
      <c r="B29" s="29"/>
      <c r="C29" s="231"/>
      <c r="D29" s="231"/>
      <c r="E29" s="231"/>
      <c r="F29" s="29"/>
      <c r="G29" s="231"/>
      <c r="H29" s="231"/>
      <c r="I29" s="231"/>
      <c r="J29" s="71">
        <f>SUM(B29:I29)</f>
        <v>0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  <row r="30" spans="1:33" ht="15.75" thickBot="1" x14ac:dyDescent="0.3">
      <c r="A30" s="72" t="s">
        <v>84</v>
      </c>
      <c r="B30" s="135">
        <f>SUMIF(HKM!A:A,"061*",HKM!K:K)-SUMIF(HKM!A:A,"061*",HKM!L:L)</f>
        <v>234635</v>
      </c>
      <c r="C30" s="135">
        <f>SUMIF(HKM!A:A,"062*",HKM!K:K)-SUMIF(HKM!A:A,"062*",HKM!L:L)</f>
        <v>0</v>
      </c>
      <c r="D30" s="135">
        <f>SUMIF(HKM!A:A,"063*",HKM!K:K)-SUMIF(HKM!A:A,"063*",HKM!L:L)</f>
        <v>0</v>
      </c>
      <c r="E30" s="135">
        <f>SUMIF(HKM!A:A,"066*",HKM!K:K)-SUMIF(HKM!A:A,"066*",HKM!L:L)</f>
        <v>0</v>
      </c>
      <c r="F30" s="135">
        <f>SUMIF(HKM!A:A,"067*",HKM!K:K)-SUMIF(HKM!A:A,"067*",HKM!L:L)</f>
        <v>0</v>
      </c>
      <c r="G30" s="231"/>
      <c r="H30" s="135">
        <f>SUMIF(HKM!A:A,"043*",HKM!K:K)-SUMIF(HKM!A:A,"043*",HKM!L:L)</f>
        <v>0</v>
      </c>
      <c r="I30" s="135">
        <f>SUMIF(HKM!A:A,"053*",HKM!K:K)-SUMIF(HKM!A:A,"053*",HKM!L:L)</f>
        <v>0</v>
      </c>
      <c r="J30" s="147">
        <f>J26+J27-J28+J29</f>
        <v>234635</v>
      </c>
      <c r="K30" s="76"/>
      <c r="L30" s="38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</row>
    <row r="31" spans="1:33" ht="15" customHeight="1" thickTop="1" thickBot="1" x14ac:dyDescent="0.3">
      <c r="A31" s="207" t="s">
        <v>1077</v>
      </c>
      <c r="B31" s="141"/>
      <c r="C31" s="141"/>
      <c r="D31" s="141"/>
      <c r="E31" s="141"/>
      <c r="F31" s="141"/>
      <c r="G31" s="141"/>
      <c r="H31" s="141"/>
      <c r="I31" s="141"/>
      <c r="J31" s="114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</row>
    <row r="32" spans="1:33" ht="24" thickTop="1" thickBot="1" x14ac:dyDescent="0.3">
      <c r="A32" s="209" t="s">
        <v>57</v>
      </c>
      <c r="B32" s="135"/>
      <c r="C32" s="135"/>
      <c r="D32" s="135"/>
      <c r="E32" s="135"/>
      <c r="F32" s="135"/>
      <c r="G32" s="135"/>
      <c r="H32" s="135"/>
      <c r="I32" s="150"/>
      <c r="J32" s="71">
        <f>SUM(B32:I32)</f>
        <v>0</v>
      </c>
      <c r="K32" s="76"/>
      <c r="L32" s="38"/>
      <c r="M32" s="206"/>
      <c r="N32" s="120"/>
      <c r="O32" s="76"/>
      <c r="P32" s="76"/>
      <c r="Q32" s="76"/>
      <c r="R32" s="76"/>
      <c r="S32" s="76"/>
      <c r="T32" s="76"/>
      <c r="U32" s="76"/>
      <c r="V32" s="76"/>
      <c r="W32" s="76"/>
    </row>
    <row r="33" spans="1:23" ht="15" customHeight="1" thickBot="1" x14ac:dyDescent="0.3">
      <c r="A33" s="112" t="s">
        <v>1064</v>
      </c>
      <c r="B33" s="231"/>
      <c r="C33" s="231"/>
      <c r="D33" s="231"/>
      <c r="E33" s="231"/>
      <c r="F33" s="231"/>
      <c r="G33" s="231"/>
      <c r="H33" s="231"/>
      <c r="I33" s="231"/>
      <c r="J33" s="71">
        <f>SUM(B33:I33)</f>
        <v>0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</row>
    <row r="34" spans="1:23" ht="15" customHeight="1" thickBot="1" x14ac:dyDescent="0.3">
      <c r="A34" s="112" t="s">
        <v>18</v>
      </c>
      <c r="B34" s="231"/>
      <c r="C34" s="231"/>
      <c r="D34" s="231"/>
      <c r="E34" s="231"/>
      <c r="F34" s="231"/>
      <c r="G34" s="231"/>
      <c r="H34" s="231"/>
      <c r="I34" s="231"/>
      <c r="J34" s="71">
        <f>SUM(B34:I34)</f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 ht="15" customHeight="1" thickBot="1" x14ac:dyDescent="0.3">
      <c r="A35" s="46" t="s">
        <v>434</v>
      </c>
      <c r="B35" s="29"/>
      <c r="C35" s="29"/>
      <c r="D35" s="29"/>
      <c r="E35" s="29"/>
      <c r="F35" s="29"/>
      <c r="G35" s="29"/>
      <c r="H35" s="29"/>
      <c r="I35" s="29"/>
      <c r="J35" s="29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15.75" thickBot="1" x14ac:dyDescent="0.3">
      <c r="A36" s="72" t="s">
        <v>84</v>
      </c>
      <c r="B36" s="135"/>
      <c r="C36" s="135"/>
      <c r="D36" s="135"/>
      <c r="E36" s="135"/>
      <c r="F36" s="135"/>
      <c r="G36" s="135"/>
      <c r="H36" s="135"/>
      <c r="I36" s="135">
        <f>SUMIF(SUAM!C:C,"032",SUAM!E:E)</f>
        <v>0</v>
      </c>
      <c r="J36" s="147">
        <f>J32+J33-J34</f>
        <v>0</v>
      </c>
      <c r="K36" s="76"/>
      <c r="L36" s="38"/>
      <c r="M36" s="76"/>
      <c r="N36" s="120"/>
      <c r="O36" s="76"/>
      <c r="P36" s="76"/>
      <c r="Q36" s="76"/>
      <c r="R36" s="76"/>
      <c r="S36" s="76"/>
      <c r="T36" s="76"/>
      <c r="U36" s="76"/>
      <c r="V36" s="76"/>
      <c r="W36" s="76"/>
    </row>
    <row r="37" spans="1:23" ht="15" customHeight="1" thickTop="1" thickBot="1" x14ac:dyDescent="0.3">
      <c r="A37" s="207" t="s">
        <v>298</v>
      </c>
      <c r="B37" s="108"/>
      <c r="C37" s="108"/>
      <c r="D37" s="108"/>
      <c r="E37" s="108"/>
      <c r="F37" s="108"/>
      <c r="G37" s="108"/>
      <c r="H37" s="108"/>
      <c r="I37" s="108"/>
      <c r="J37" s="114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</row>
    <row r="38" spans="1:23" ht="15" customHeight="1" thickTop="1" thickBot="1" x14ac:dyDescent="0.3">
      <c r="A38" s="209" t="s">
        <v>57</v>
      </c>
      <c r="B38" s="231"/>
      <c r="C38" s="231"/>
      <c r="D38" s="231"/>
      <c r="E38" s="231"/>
      <c r="F38" s="231"/>
      <c r="G38" s="231"/>
      <c r="H38" s="231"/>
      <c r="I38" s="231"/>
      <c r="J38" s="71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</row>
    <row r="39" spans="1:23" ht="15" customHeight="1" thickBot="1" x14ac:dyDescent="0.3">
      <c r="A39" s="72" t="s">
        <v>84</v>
      </c>
      <c r="B39" s="49"/>
      <c r="C39" s="49"/>
      <c r="D39" s="49"/>
      <c r="E39" s="49"/>
      <c r="F39" s="49"/>
      <c r="G39" s="49"/>
      <c r="H39" s="49"/>
      <c r="I39" s="49"/>
      <c r="J39" s="147"/>
    </row>
    <row r="40" spans="1:23" ht="15.7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795</v>
      </c>
    </row>
    <row r="2" spans="1:2" ht="21" customHeight="1" thickTop="1" thickBot="1" x14ac:dyDescent="0.3">
      <c r="A2" s="191" t="s">
        <v>839</v>
      </c>
      <c r="B2" s="32" t="s">
        <v>856</v>
      </c>
    </row>
    <row r="3" spans="1:2" ht="23.25" customHeight="1" thickTop="1" thickBot="1" x14ac:dyDescent="0.3">
      <c r="A3" s="190" t="s">
        <v>247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89" t="s">
        <v>706</v>
      </c>
    </row>
    <row r="2" spans="1:6" ht="16.5" customHeight="1" thickTop="1" thickBot="1" x14ac:dyDescent="0.3">
      <c r="A2" s="240" t="s">
        <v>782</v>
      </c>
      <c r="B2" s="255" t="s">
        <v>121</v>
      </c>
      <c r="C2" s="256"/>
      <c r="D2" s="256"/>
      <c r="E2" s="256"/>
      <c r="F2" s="257"/>
    </row>
    <row r="3" spans="1:6" ht="70.5" customHeight="1" thickBot="1" x14ac:dyDescent="0.3">
      <c r="A3" s="254"/>
      <c r="B3" s="105" t="s">
        <v>682</v>
      </c>
      <c r="C3" s="105" t="s">
        <v>453</v>
      </c>
      <c r="D3" s="155" t="s">
        <v>1</v>
      </c>
      <c r="E3" s="105" t="s">
        <v>464</v>
      </c>
      <c r="F3" s="105" t="s">
        <v>73</v>
      </c>
    </row>
    <row r="4" spans="1:6" ht="16.5" thickTop="1" thickBot="1" x14ac:dyDescent="0.3">
      <c r="A4" s="1" t="s">
        <v>902</v>
      </c>
      <c r="B4" s="8"/>
      <c r="C4" s="8"/>
      <c r="D4" s="8"/>
      <c r="E4" s="8"/>
      <c r="F4" s="20"/>
    </row>
    <row r="5" spans="1:6" ht="16.5" thickTop="1" thickBot="1" x14ac:dyDescent="0.3">
      <c r="A5" s="91"/>
      <c r="B5" s="62"/>
      <c r="C5" s="62"/>
      <c r="D5" s="41"/>
      <c r="E5" s="41"/>
      <c r="F5" s="124"/>
    </row>
    <row r="6" spans="1:6" ht="15.75" thickBot="1" x14ac:dyDescent="0.3">
      <c r="A6" s="91"/>
      <c r="B6" s="62"/>
      <c r="C6" s="62"/>
      <c r="D6" s="41"/>
      <c r="E6" s="41"/>
      <c r="F6" s="124"/>
    </row>
    <row r="7" spans="1:6" ht="15.75" thickBot="1" x14ac:dyDescent="0.3">
      <c r="A7" s="219"/>
      <c r="B7" s="224"/>
      <c r="C7" s="224"/>
      <c r="D7" s="102"/>
      <c r="E7" s="102"/>
      <c r="F7" s="135">
        <f>SUMIF(HK!A:A,"061*",HK!K:K)-SUMIF(HK!A:A,"061*",HK!L:L)</f>
        <v>234635</v>
      </c>
    </row>
    <row r="8" spans="1:6" ht="16.5" thickTop="1" thickBot="1" x14ac:dyDescent="0.3">
      <c r="A8" s="1" t="s">
        <v>868</v>
      </c>
      <c r="B8" s="8"/>
      <c r="C8" s="8"/>
      <c r="D8" s="8"/>
      <c r="E8" s="8"/>
      <c r="F8" s="226"/>
    </row>
    <row r="9" spans="1:6" ht="16.5" thickTop="1" thickBot="1" x14ac:dyDescent="0.3">
      <c r="A9" s="91"/>
      <c r="B9" s="62"/>
      <c r="C9" s="62"/>
      <c r="D9" s="41"/>
      <c r="E9" s="41"/>
      <c r="F9" s="71"/>
    </row>
    <row r="10" spans="1:6" ht="15.75" thickBot="1" x14ac:dyDescent="0.3">
      <c r="A10" s="91"/>
      <c r="B10" s="62"/>
      <c r="C10" s="62"/>
      <c r="D10" s="41"/>
      <c r="E10" s="41"/>
      <c r="F10" s="71"/>
    </row>
    <row r="11" spans="1:6" ht="15.75" thickBot="1" x14ac:dyDescent="0.3">
      <c r="A11" s="219"/>
      <c r="B11" s="224"/>
      <c r="C11" s="224"/>
      <c r="D11" s="102"/>
      <c r="E11" s="102"/>
      <c r="F11" s="135">
        <f>SUMIF(HK!A:A,"062*",HK!K:K)-SUMIF(HK!A:A,"062*",HK!L:L)</f>
        <v>0</v>
      </c>
    </row>
    <row r="12" spans="1:6" ht="16.5" thickTop="1" thickBot="1" x14ac:dyDescent="0.3">
      <c r="A12" s="1" t="s">
        <v>78</v>
      </c>
      <c r="B12" s="8"/>
      <c r="C12" s="8"/>
      <c r="D12" s="8"/>
      <c r="E12" s="8"/>
      <c r="F12" s="226"/>
    </row>
    <row r="13" spans="1:6" ht="16.5" thickTop="1" thickBot="1" x14ac:dyDescent="0.3">
      <c r="A13" s="91"/>
      <c r="B13" s="62"/>
      <c r="C13" s="62"/>
      <c r="D13" s="41"/>
      <c r="E13" s="41"/>
      <c r="F13" s="71"/>
    </row>
    <row r="14" spans="1:6" ht="15.75" thickBot="1" x14ac:dyDescent="0.3">
      <c r="A14" s="91"/>
      <c r="B14" s="62"/>
      <c r="C14" s="62"/>
      <c r="D14" s="41"/>
      <c r="E14" s="41"/>
      <c r="F14" s="71"/>
    </row>
    <row r="15" spans="1:6" ht="15.75" thickBot="1" x14ac:dyDescent="0.3">
      <c r="A15" s="219"/>
      <c r="B15" s="224"/>
      <c r="C15" s="224"/>
      <c r="D15" s="102"/>
      <c r="E15" s="102"/>
      <c r="F15" s="135">
        <f>SUMIF(HK!A:A,"063*",HK!K:K)-SUMIF(HK!A:A,"063*",HK!L:L)</f>
        <v>0</v>
      </c>
    </row>
    <row r="16" spans="1:6" ht="16.5" thickTop="1" thickBot="1" x14ac:dyDescent="0.3">
      <c r="A16" s="1" t="s">
        <v>440</v>
      </c>
      <c r="B16" s="8"/>
      <c r="C16" s="8"/>
      <c r="D16" s="8"/>
      <c r="E16" s="8"/>
      <c r="F16" s="226"/>
    </row>
    <row r="17" spans="1:6" ht="16.5" thickTop="1" thickBot="1" x14ac:dyDescent="0.3">
      <c r="A17" s="181"/>
      <c r="B17" s="62"/>
      <c r="C17" s="62"/>
      <c r="D17" s="41"/>
      <c r="E17" s="41"/>
      <c r="F17" s="71"/>
    </row>
    <row r="18" spans="1:6" ht="15.75" thickBot="1" x14ac:dyDescent="0.3">
      <c r="A18" s="67"/>
      <c r="B18" s="224"/>
      <c r="C18" s="224"/>
      <c r="D18" s="94"/>
      <c r="E18" s="163"/>
      <c r="F18" s="135">
        <f>SUMIF(HK!A:A,"043*",HK!K:K)-SUMIF(HK!A:A,"043*",HK!L:L)</f>
        <v>0</v>
      </c>
    </row>
    <row r="19" spans="1:6" ht="24" thickTop="1" thickBot="1" x14ac:dyDescent="0.3">
      <c r="A19" s="125" t="s">
        <v>400</v>
      </c>
      <c r="B19" s="199" t="s">
        <v>66</v>
      </c>
      <c r="C19" s="199" t="s">
        <v>66</v>
      </c>
      <c r="D19" s="199" t="s">
        <v>66</v>
      </c>
      <c r="E19" s="199" t="s">
        <v>66</v>
      </c>
      <c r="F19" s="211">
        <f>SUM(F17:F18)+SUM(F13:F15)+SUM(F9:F11)+SUM(F5:F7)</f>
        <v>234635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2025-03-25T13:24:12Z</dcterms:created>
  <dcterms:modified xsi:type="dcterms:W3CDTF">2025-03-25T13:24:40Z</dcterms:modified>
</cp:coreProperties>
</file>