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fileVersion appName="libxl" rupBuild="4.6.0"/>
  <workbookPr/>
  <bookViews>
    <workbookView activeTab="0"/>
  </bookViews>
  <sheets>
    <sheet name="(2)Dlhodoby nehmotny majetok" sheetId="1" r:id="rId2"/>
    <sheet name="(4)Dlhodoby hmotny majetok" sheetId="2" r:id="rId4"/>
    <sheet name="(6)Dlhodoby financny majetok" sheetId="3" r:id="rId5"/>
    <sheet name="(12)Opravne polozky k zasobam" sheetId="4" r:id="rId6"/>
    <sheet name="(15)Opravne polozky k pohladavk" sheetId="5" r:id="rId7"/>
    <sheet name="(16)Vekova struktura pohladavok" sheetId="6" r:id="rId8"/>
    <sheet name="(17)Kratkodoby financny majetok" sheetId="7" r:id="rId9"/>
    <sheet name="(18)Kratkodoby financny majetok" sheetId="8" r:id="rId10"/>
    <sheet name="(19)Opravne polozky ku kratkodo" sheetId="9" r:id="rId11"/>
    <sheet name="(22)Vyznamne polozky cas.rozlis" sheetId="10" r:id="rId12"/>
    <sheet name="(25)Rezervy" sheetId="11" r:id="rId13"/>
    <sheet name="(26)Vekova struktura zavazkov" sheetId="12" r:id="rId14"/>
    <sheet name="(28)Zavazky zo socialneho fondu" sheetId="13" r:id="rId15"/>
    <sheet name="(30)Bankove uvery, pozicky, fin" sheetId="14" r:id="rId16"/>
    <sheet name="(31)Vyznamne polozky cas.rozlis" sheetId="15" r:id="rId17"/>
    <sheet name="(33)Cisty obrat podla typov vyr" sheetId="16" r:id="rId18"/>
    <sheet name="(36)Zmena stavu vnutroorganizac" sheetId="17" r:id="rId19"/>
    <sheet name="(37)Vynosy" sheetId="18" r:id="rId20"/>
    <sheet name="(39)Naklady" sheetId="19" r:id="rId21"/>
    <sheet name="(41)Informacie o daniach z prij" sheetId="20" r:id="rId22"/>
    <sheet name="(47)Zmeny vlastneho imania" sheetId="21" r:id="rId23"/>
  </sheets>
  <calcPr calcId="125725" fullCalcOnLoad="true"/>
</workbook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<sst xmlns="http://schemas.openxmlformats.org/spreadsheetml/2006/main" xmlns:r="http://schemas.openxmlformats.org/officeDocument/2006/relationships" xmlns:xdr="http://schemas.openxmlformats.org/drawingml/2006/spreadsheetDrawing" count="498" uniqueCount="380">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</sst>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1">
    <numFmt numFmtId="166" formatCode="#,##0;-#,##0;;"/>
  </numFmts>
  <fonts count="2">
    <font>
      <sz val="11"/>
      <name val="Calibri"/>
    </font>
    <font>
      <color rgb="FF000000"/>
      <sz val="12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NumberFormat="true" applyFont="true" applyFill="true" applyBorder="true" applyAlignment="true" applyProtection="true">
      <alignment horizontal="left" vertical="bottom" textRotation="0" wrapText="true" indent="0" shrinkToFit="false"/>
      <protection locked="true" hidden="false"/>
    </xf>
    <xf numFmtId="0" fontId="1" fillId="3" borderId="2" xfId="0" applyNumberFormat="true" applyFont="true" applyFill="true" applyBorder="true" applyAlignment="true" applyProtection="true">
      <alignment horizontal="right" vertical="bottom" textRotation="0" wrapText="true" indent="0" shrinkToFit="false"/>
      <protection locked="true" hidden="false"/>
    </xf>
    <xf numFmtId="0" fontId="1" fillId="4" borderId="3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" fillId="5" borderId="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6" borderId="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7" borderId="6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8" borderId="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9" borderId="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0" borderId="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1" borderId="1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12" borderId="11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13" borderId="1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4" borderId="1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5" borderId="1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6" borderId="1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7" borderId="1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8" borderId="1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9" borderId="1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0" borderId="1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1" borderId="2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2" borderId="21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3" borderId="2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4" borderId="2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5" borderId="2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6" borderId="2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7" borderId="2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Target="styles.xml" Type="http://schemas.openxmlformats.org/officeDocument/2006/relationships/styles" Id="rId1"/><Relationship Target="worksheets/sheet1.xml" Type="http://schemas.openxmlformats.org/officeDocument/2006/relationships/worksheet" Id="rId2"/><Relationship Target="sharedStrings.xml" Type="http://schemas.openxmlformats.org/officeDocument/2006/relationships/sharedStrings" Id="rId3"/><Relationship Target="worksheets/sheet2.xml" Type="http://schemas.openxmlformats.org/officeDocument/2006/relationships/worksheet" Id="rId4"/><Relationship Target="worksheets/sheet3.xml" Type="http://schemas.openxmlformats.org/officeDocument/2006/relationships/worksheet" Id="rId5"/><Relationship Target="worksheets/sheet4.xml" Type="http://schemas.openxmlformats.org/officeDocument/2006/relationships/worksheet" Id="rId6"/><Relationship Target="worksheets/sheet5.xml" Type="http://schemas.openxmlformats.org/officeDocument/2006/relationships/worksheet" Id="rId7"/><Relationship Target="worksheets/sheet6.xml" Type="http://schemas.openxmlformats.org/officeDocument/2006/relationships/worksheet" Id="rId8"/><Relationship Target="worksheets/sheet7.xml" Type="http://schemas.openxmlformats.org/officeDocument/2006/relationships/worksheet" Id="rId9"/><Relationship Target="worksheets/sheet8.xml" Type="http://schemas.openxmlformats.org/officeDocument/2006/relationships/worksheet" Id="rId10"/><Relationship Target="worksheets/sheet9.xml" Type="http://schemas.openxmlformats.org/officeDocument/2006/relationships/worksheet" Id="rId11"/><Relationship Target="worksheets/sheet10.xml" Type="http://schemas.openxmlformats.org/officeDocument/2006/relationships/worksheet" Id="rId12"/><Relationship Target="worksheets/sheet11.xml" Type="http://schemas.openxmlformats.org/officeDocument/2006/relationships/worksheet" Id="rId13"/><Relationship Target="worksheets/sheet12.xml" Type="http://schemas.openxmlformats.org/officeDocument/2006/relationships/worksheet" Id="rId14"/><Relationship Target="worksheets/sheet13.xml" Type="http://schemas.openxmlformats.org/officeDocument/2006/relationships/worksheet" Id="rId15"/><Relationship Target="worksheets/sheet14.xml" Type="http://schemas.openxmlformats.org/officeDocument/2006/relationships/worksheet" Id="rId16"/><Relationship Target="worksheets/sheet15.xml" Type="http://schemas.openxmlformats.org/officeDocument/2006/relationships/worksheet" Id="rId17"/><Relationship Target="worksheets/sheet16.xml" Type="http://schemas.openxmlformats.org/officeDocument/2006/relationships/worksheet" Id="rId18"/><Relationship Target="worksheets/sheet17.xml" Type="http://schemas.openxmlformats.org/officeDocument/2006/relationships/worksheet" Id="rId19"/><Relationship Target="worksheets/sheet18.xml" Type="http://schemas.openxmlformats.org/officeDocument/2006/relationships/worksheet" Id="rId20"/><Relationship Target="worksheets/sheet19.xml" Type="http://schemas.openxmlformats.org/officeDocument/2006/relationships/worksheet" Id="rId21"/><Relationship Target="worksheets/sheet20.xml" Type="http://schemas.openxmlformats.org/officeDocument/2006/relationships/worksheet" Id="rId22"/><Relationship Target="worksheets/sheet21.xml" Type="http://schemas.openxmlformats.org/officeDocument/2006/relationships/worksheet" Id="rId23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2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9</v>
      </c>
      <c r="B4" s="5">
        <v>202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12</v>
      </c>
      <c r="B7" s="5">
        <v>205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6" t="s">
        <v>15</v>
      </c>
      <c r="B10" s="7">
        <v>208</v>
      </c>
      <c r="C10" s="8">
        <f>+1*SUMIFS($C:$C,$B:$B,"&gt;=201",$B:$B,"&lt;=207")</f>
      </c>
      <c r="D10" s="8">
        <f>+1*SUMIFS($D:$D,$B:$B,"&gt;=201",$B:$B,"&lt;=207")</f>
      </c>
      <c r="E10" s="8">
        <f>+1*SUMIFS($E:$E,$B:$B,"&gt;=201",$B:$B,"&lt;=207")</f>
      </c>
      <c r="F10" s="8">
        <f>+1*SUMIFS($F:$F,$B:$B,"&gt;=201",$B:$B,"&lt;=207")</f>
      </c>
      <c r="G10" s="8">
        <f>$C10+$D10-$E10-$F10</f>
      </c>
      <c r="M10" s="8">
        <f>+1*SUMIFS($M:$M,$B:$B,"&gt;=201",$B:$B,"&lt;=207")</f>
      </c>
      <c r="N10" s="8">
        <f>+1*SUMIFS($N:$N,$B:$B,"&gt;=201",$B:$B,"&lt;=207")</f>
      </c>
      <c r="O10" s="8">
        <f>+1*SUMIFS($O:$O,$B:$B,"&gt;=201",$B:$B,"&lt;=207")</f>
      </c>
      <c r="P10" s="8">
        <f>+1*SUMIFS($P:$P,$B:$B,"&gt;=201",$B:$B,"&lt;=207")</f>
      </c>
      <c r="Q10" s="8">
        <f>$M10+$N10-$O10-$P10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3" t="s">
        <v>18</v>
      </c>
      <c r="B14" s="5">
        <v>212</v>
      </c>
      <c r="C14" s="4">
        <v>0</v>
      </c>
      <c r="D14" s="4">
        <v>0</v>
      </c>
      <c r="E14" s="4">
        <v>0</v>
      </c>
      <c r="F14" s="4">
        <v>0</v>
      </c>
      <c r="G14" s="4">
        <f>$C14+$D14-$E14-$F14</f>
      </c>
      <c r="M14" s="4">
        <v>0</v>
      </c>
      <c r="N14" s="4">
        <v>0</v>
      </c>
      <c r="O14" s="4">
        <v>0</v>
      </c>
      <c r="P14" s="4">
        <v>0</v>
      </c>
      <c r="Q14" s="4">
        <f>$M14+$N14-$O14-$P14</f>
      </c>
    </row>
    <row r="15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>$C16+$D16-$E16-$F16</f>
      </c>
      <c r="M16" s="4">
        <v>0</v>
      </c>
      <c r="N16" s="4">
        <v>0</v>
      </c>
      <c r="O16" s="4">
        <v>0</v>
      </c>
      <c r="P16" s="4">
        <v>0</v>
      </c>
      <c r="Q16" s="4">
        <f>$M16+$N16-$O16-$P16</f>
      </c>
    </row>
    <row r="17">
      <c r="A17" s="3" t="s">
        <v>21</v>
      </c>
      <c r="B17" s="5">
        <v>215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6" t="s">
        <v>24</v>
      </c>
      <c r="B20" s="7">
        <v>218</v>
      </c>
      <c r="C20" s="9">
        <f>+1*SUMIFS($C:$C,$B:$B,"&gt;=211",$B:$B,"&lt;=217")</f>
      </c>
      <c r="D20" s="9">
        <f>+1*SUMIFS($D:$D,$B:$B,"&gt;=211",$B:$B,"&lt;=217")</f>
      </c>
      <c r="E20" s="9">
        <f>+1*SUMIFS($E:$E,$B:$B,"&gt;=211",$B:$B,"&lt;=217")</f>
      </c>
      <c r="F20" s="9">
        <f>+1*SUMIFS($F:$F,$B:$B,"&gt;=211",$B:$B,"&lt;=217")</f>
      </c>
      <c r="G20" s="9">
        <f>$C20+$D20-$E20-$F20</f>
      </c>
      <c r="M20" s="9">
        <f>+1*SUMIFS($M:$M,$B:$B,"&gt;=211",$B:$B,"&lt;=217")</f>
      </c>
      <c r="N20" s="9">
        <f>+1*SUMIFS($N:$N,$B:$B,"&gt;=211",$B:$B,"&lt;=217")</f>
      </c>
      <c r="O20" s="9">
        <f>+1*SUMIFS($O:$O,$B:$B,"&gt;=211",$B:$B,"&lt;=217")</f>
      </c>
      <c r="P20" s="9">
        <f>+1*SUMIFS($P:$P,$B:$B,"&gt;=211",$B:$B,"&lt;=217")</f>
      </c>
      <c r="Q20" s="9">
        <f>$M20+$N20-$O20-$P20</f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6" t="s">
        <v>33</v>
      </c>
      <c r="B30" s="7">
        <v>228</v>
      </c>
      <c r="C30" s="10">
        <f>+1*SUMIFS($C:$C,$B:$B,"&gt;=221",$B:$B,"&lt;=227")</f>
      </c>
      <c r="D30" s="10">
        <f>+1*SUMIFS($D:$D,$B:$B,"&gt;=221",$B:$B,"&lt;=227")</f>
      </c>
      <c r="E30" s="10">
        <f>+1*SUMIFS($E:$E,$B:$B,"&gt;=221",$B:$B,"&lt;=227")</f>
      </c>
      <c r="F30" s="10">
        <f>+1*SUMIFS($F:$F,$B:$B,"&gt;=221",$B:$B,"&lt;=227")</f>
      </c>
      <c r="G30" s="10">
        <f>$C30+$D30-$E30-$F30</f>
      </c>
      <c r="M30" s="10">
        <f>+1*SUMIFS($M:$M,$B:$B,"&gt;=221",$B:$B,"&lt;=227")</f>
      </c>
      <c r="N30" s="10">
        <f>+1*SUMIFS($N:$N,$B:$B,"&gt;=221",$B:$B,"&lt;=227")</f>
      </c>
      <c r="O30" s="10">
        <f>+1*SUMIFS($O:$O,$B:$B,"&gt;=221",$B:$B,"&lt;=227")</f>
      </c>
      <c r="P30" s="10">
        <f>+1*SUMIFS($P:$P,$B:$B,"&gt;=221",$B:$B,"&lt;=227")</f>
      </c>
      <c r="Q30" s="10">
        <f>$M30+$N30-$O30-$P30</f>
      </c>
    </row>
    <row r="31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>
      <c r="A33" s="11" t="s">
        <v>35</v>
      </c>
      <c r="B33" s="12">
        <v>231</v>
      </c>
      <c r="C33" s="13">
        <f>+1*SUMIFS($C:$C,$B:$B,"&gt;=201",$B:$B,"&lt;=201")-1*SUMIFS($C:$C,$B:$B,"&gt;=211",$B:$B,"&lt;=211")-1*SUMIFS($C:$C,$B:$B,"&gt;=221",$B:$B,"&lt;=221")</f>
      </c>
      <c r="D33" s="13">
        <f>+1*SUMIFS($D:$D,$B:$B,"&gt;=201",$B:$B,"&lt;=201")-1*SUMIFS($D:$D,$B:$B,"&gt;=211",$B:$B,"&lt;=211")-1*SUMIFS($D:$D,$B:$B,"&gt;=221",$B:$B,"&lt;=221")</f>
      </c>
      <c r="E33" s="13">
        <f>+1*SUMIFS($E:$E,$B:$B,"&gt;=201",$B:$B,"&lt;=201")-1*SUMIFS($E:$E,$B:$B,"&gt;=211",$B:$B,"&lt;=211")-1*SUMIFS($E:$E,$B:$B,"&gt;=221",$B:$B,"&lt;=221")</f>
      </c>
      <c r="F33" s="13">
        <f>+1*SUMIFS($F:$F,$B:$B,"&gt;=201",$B:$B,"&lt;=201")-1*SUMIFS($F:$F,$B:$B,"&gt;=211",$B:$B,"&lt;=211")-1*SUMIFS($F:$F,$B:$B,"&gt;=221",$B:$B,"&lt;=221")</f>
      </c>
      <c r="G33" s="13">
        <f>$C33+$D33-$E33-$F33</f>
      </c>
      <c r="M33" s="13">
        <f>+1*SUMIFS($M:$M,$B:$B,"&gt;=201",$B:$B,"&lt;=201")-1*SUMIFS($M:$M,$B:$B,"&gt;=211",$B:$B,"&lt;=211")-1*SUMIFS($M:$M,$B:$B,"&gt;=221",$B:$B,"&lt;=221")</f>
      </c>
      <c r="N33" s="13">
        <f>+1*SUMIFS($N:$N,$B:$B,"&gt;=201",$B:$B,"&lt;=201")-1*SUMIFS($N:$N,$B:$B,"&gt;=211",$B:$B,"&lt;=211")-1*SUMIFS($N:$N,$B:$B,"&gt;=221",$B:$B,"&lt;=221")</f>
      </c>
      <c r="O33" s="13">
        <f>+1*SUMIFS($O:$O,$B:$B,"&gt;=201",$B:$B,"&lt;=201")-1*SUMIFS($O:$O,$B:$B,"&gt;=211",$B:$B,"&lt;=211")-1*SUMIFS($O:$O,$B:$B,"&gt;=221",$B:$B,"&lt;=221")</f>
      </c>
      <c r="P33" s="13">
        <f>+1*SUMIFS($P:$P,$B:$B,"&gt;=201",$B:$B,"&lt;=201")-1*SUMIFS($P:$P,$B:$B,"&gt;=211",$B:$B,"&lt;=211")-1*SUMIFS($P:$P,$B:$B,"&gt;=221",$B:$B,"&lt;=221")</f>
      </c>
      <c r="Q33" s="13">
        <f>$M33+$N33-$O33-$P33</f>
      </c>
    </row>
    <row r="34">
      <c r="A34" s="11" t="s">
        <v>36</v>
      </c>
      <c r="B34" s="12">
        <v>232</v>
      </c>
      <c r="C34" s="14">
        <f>+1*SUMIFS($C:$C,$B:$B,"&gt;=202",$B:$B,"&lt;=202")-1*SUMIFS($C:$C,$B:$B,"&gt;=212",$B:$B,"&lt;=212")-1*SUMIFS($C:$C,$B:$B,"&gt;=222",$B:$B,"&lt;=222")</f>
      </c>
      <c r="D34" s="14">
        <f>+1*SUMIFS($D:$D,$B:$B,"&gt;=202",$B:$B,"&lt;=202")-1*SUMIFS($D:$D,$B:$B,"&gt;=212",$B:$B,"&lt;=212")-1*SUMIFS($D:$D,$B:$B,"&gt;=222",$B:$B,"&lt;=222")</f>
      </c>
      <c r="E34" s="14">
        <f>+1*SUMIFS($E:$E,$B:$B,"&gt;=202",$B:$B,"&lt;=202")-1*SUMIFS($E:$E,$B:$B,"&gt;=212",$B:$B,"&lt;=212")-1*SUMIFS($E:$E,$B:$B,"&gt;=222",$B:$B,"&lt;=222")</f>
      </c>
      <c r="F34" s="14">
        <f>+1*SUMIFS($F:$F,$B:$B,"&gt;=202",$B:$B,"&lt;=202")-1*SUMIFS($F:$F,$B:$B,"&gt;=212",$B:$B,"&lt;=212")-1*SUMIFS($F:$F,$B:$B,"&gt;=222",$B:$B,"&lt;=222")</f>
      </c>
      <c r="G34" s="14">
        <f>$C34+$D34-$E34-$F34</f>
      </c>
      <c r="M34" s="14">
        <f>+1*SUMIFS($M:$M,$B:$B,"&gt;=202",$B:$B,"&lt;=202")-1*SUMIFS($M:$M,$B:$B,"&gt;=212",$B:$B,"&lt;=212")-1*SUMIFS($M:$M,$B:$B,"&gt;=222",$B:$B,"&lt;=222")</f>
      </c>
      <c r="N34" s="14">
        <f>+1*SUMIFS($N:$N,$B:$B,"&gt;=202",$B:$B,"&lt;=202")-1*SUMIFS($N:$N,$B:$B,"&gt;=212",$B:$B,"&lt;=212")-1*SUMIFS($N:$N,$B:$B,"&gt;=222",$B:$B,"&lt;=222")</f>
      </c>
      <c r="O34" s="14">
        <f>+1*SUMIFS($O:$O,$B:$B,"&gt;=202",$B:$B,"&lt;=202")-1*SUMIFS($O:$O,$B:$B,"&gt;=212",$B:$B,"&lt;=212")-1*SUMIFS($O:$O,$B:$B,"&gt;=222",$B:$B,"&lt;=222")</f>
      </c>
      <c r="P34" s="14">
        <f>+1*SUMIFS($P:$P,$B:$B,"&gt;=202",$B:$B,"&lt;=202")-1*SUMIFS($P:$P,$B:$B,"&gt;=212",$B:$B,"&lt;=212")-1*SUMIFS($P:$P,$B:$B,"&gt;=222",$B:$B,"&lt;=222")</f>
      </c>
      <c r="Q34" s="14">
        <f>$M34+$N34-$O34-$P34</f>
      </c>
    </row>
    <row r="35">
      <c r="A35" s="11" t="s">
        <v>37</v>
      </c>
      <c r="B35" s="12">
        <v>233</v>
      </c>
      <c r="C35" s="15">
        <f>+1*SUMIFS($C:$C,$B:$B,"&gt;=203",$B:$B,"&lt;=203")-1*SUMIFS($C:$C,$B:$B,"&gt;=213",$B:$B,"&lt;=213")-1*SUMIFS($C:$C,$B:$B,"&gt;=223",$B:$B,"&lt;=223")</f>
      </c>
      <c r="D35" s="15">
        <f>+1*SUMIFS($D:$D,$B:$B,"&gt;=203",$B:$B,"&lt;=203")-1*SUMIFS($D:$D,$B:$B,"&gt;=213",$B:$B,"&lt;=213")-1*SUMIFS($D:$D,$B:$B,"&gt;=223",$B:$B,"&lt;=223")</f>
      </c>
      <c r="E35" s="15">
        <f>+1*SUMIFS($E:$E,$B:$B,"&gt;=203",$B:$B,"&lt;=203")-1*SUMIFS($E:$E,$B:$B,"&gt;=213",$B:$B,"&lt;=213")-1*SUMIFS($E:$E,$B:$B,"&gt;=223",$B:$B,"&lt;=223")</f>
      </c>
      <c r="F35" s="15">
        <f>+1*SUMIFS($F:$F,$B:$B,"&gt;=203",$B:$B,"&lt;=203")-1*SUMIFS($F:$F,$B:$B,"&gt;=213",$B:$B,"&lt;=213")-1*SUMIFS($F:$F,$B:$B,"&gt;=223",$B:$B,"&lt;=223")</f>
      </c>
      <c r="G35" s="15">
        <f>$C35+$D35-$E35-$F35</f>
      </c>
      <c r="M35" s="15">
        <f>+1*SUMIFS($M:$M,$B:$B,"&gt;=203",$B:$B,"&lt;=203")-1*SUMIFS($M:$M,$B:$B,"&gt;=213",$B:$B,"&lt;=213")-1*SUMIFS($M:$M,$B:$B,"&gt;=223",$B:$B,"&lt;=223")</f>
      </c>
      <c r="N35" s="15">
        <f>+1*SUMIFS($N:$N,$B:$B,"&gt;=203",$B:$B,"&lt;=203")-1*SUMIFS($N:$N,$B:$B,"&gt;=213",$B:$B,"&lt;=213")-1*SUMIFS($N:$N,$B:$B,"&gt;=223",$B:$B,"&lt;=223")</f>
      </c>
      <c r="O35" s="15">
        <f>+1*SUMIFS($O:$O,$B:$B,"&gt;=203",$B:$B,"&lt;=203")-1*SUMIFS($O:$O,$B:$B,"&gt;=213",$B:$B,"&lt;=213")-1*SUMIFS($O:$O,$B:$B,"&gt;=223",$B:$B,"&lt;=223")</f>
      </c>
      <c r="P35" s="15">
        <f>+1*SUMIFS($P:$P,$B:$B,"&gt;=203",$B:$B,"&lt;=203")-1*SUMIFS($P:$P,$B:$B,"&gt;=213",$B:$B,"&lt;=213")-1*SUMIFS($P:$P,$B:$B,"&gt;=223",$B:$B,"&lt;=223")</f>
      </c>
      <c r="Q35" s="15">
        <f>$M35+$N35-$O35-$P35</f>
      </c>
    </row>
    <row r="36">
      <c r="A36" s="11" t="s">
        <v>38</v>
      </c>
      <c r="B36" s="12">
        <v>234</v>
      </c>
      <c r="C36" s="16">
        <f>+1*SUMIFS($C:$C,$B:$B,"&gt;=204",$B:$B,"&lt;=204")-1*SUMIFS($C:$C,$B:$B,"&gt;=214",$B:$B,"&lt;=214")-1*SUMIFS($C:$C,$B:$B,"&gt;=224",$B:$B,"&lt;=224")</f>
      </c>
      <c r="D36" s="16">
        <f>+1*SUMIFS($D:$D,$B:$B,"&gt;=204",$B:$B,"&lt;=204")-1*SUMIFS($D:$D,$B:$B,"&gt;=214",$B:$B,"&lt;=214")-1*SUMIFS($D:$D,$B:$B,"&gt;=224",$B:$B,"&lt;=224")</f>
      </c>
      <c r="E36" s="16">
        <f>+1*SUMIFS($E:$E,$B:$B,"&gt;=204",$B:$B,"&lt;=204")-1*SUMIFS($E:$E,$B:$B,"&gt;=214",$B:$B,"&lt;=214")-1*SUMIFS($E:$E,$B:$B,"&gt;=224",$B:$B,"&lt;=224")</f>
      </c>
      <c r="F36" s="16">
        <f>+1*SUMIFS($F:$F,$B:$B,"&gt;=204",$B:$B,"&lt;=204")-1*SUMIFS($F:$F,$B:$B,"&gt;=214",$B:$B,"&lt;=214")-1*SUMIFS($F:$F,$B:$B,"&gt;=224",$B:$B,"&lt;=224")</f>
      </c>
      <c r="G36" s="16">
        <f>$C36+$D36-$E36-$F36</f>
      </c>
      <c r="M36" s="16">
        <f>+1*SUMIFS($M:$M,$B:$B,"&gt;=204",$B:$B,"&lt;=204")-1*SUMIFS($M:$M,$B:$B,"&gt;=214",$B:$B,"&lt;=214")-1*SUMIFS($M:$M,$B:$B,"&gt;=224",$B:$B,"&lt;=224")</f>
      </c>
      <c r="N36" s="16">
        <f>+1*SUMIFS($N:$N,$B:$B,"&gt;=204",$B:$B,"&lt;=204")-1*SUMIFS($N:$N,$B:$B,"&gt;=214",$B:$B,"&lt;=214")-1*SUMIFS($N:$N,$B:$B,"&gt;=224",$B:$B,"&lt;=224")</f>
      </c>
      <c r="O36" s="16">
        <f>+1*SUMIFS($O:$O,$B:$B,"&gt;=204",$B:$B,"&lt;=204")-1*SUMIFS($O:$O,$B:$B,"&gt;=214",$B:$B,"&lt;=214")-1*SUMIFS($O:$O,$B:$B,"&gt;=224",$B:$B,"&lt;=224")</f>
      </c>
      <c r="P36" s="16">
        <f>+1*SUMIFS($P:$P,$B:$B,"&gt;=204",$B:$B,"&lt;=204")-1*SUMIFS($P:$P,$B:$B,"&gt;=214",$B:$B,"&lt;=214")-1*SUMIFS($P:$P,$B:$B,"&gt;=224",$B:$B,"&lt;=224")</f>
      </c>
      <c r="Q36" s="16">
        <f>$M36+$N36-$O36-$P36</f>
      </c>
    </row>
    <row r="37">
      <c r="A37" s="11" t="s">
        <v>39</v>
      </c>
      <c r="B37" s="12">
        <v>235</v>
      </c>
      <c r="C37" s="17">
        <f>+1*SUMIFS($C:$C,$B:$B,"&gt;=205",$B:$B,"&lt;=205")-1*SUMIFS($C:$C,$B:$B,"&gt;=215",$B:$B,"&lt;=215")-1*SUMIFS($C:$C,$B:$B,"&gt;=225",$B:$B,"&lt;=225")</f>
      </c>
      <c r="D37" s="17">
        <f>+1*SUMIFS($D:$D,$B:$B,"&gt;=205",$B:$B,"&lt;=205")-1*SUMIFS($D:$D,$B:$B,"&gt;=215",$B:$B,"&lt;=215")-1*SUMIFS($D:$D,$B:$B,"&gt;=225",$B:$B,"&lt;=225")</f>
      </c>
      <c r="E37" s="17">
        <f>+1*SUMIFS($E:$E,$B:$B,"&gt;=205",$B:$B,"&lt;=205")-1*SUMIFS($E:$E,$B:$B,"&gt;=215",$B:$B,"&lt;=215")-1*SUMIFS($E:$E,$B:$B,"&gt;=225",$B:$B,"&lt;=225")</f>
      </c>
      <c r="F37" s="17">
        <f>+1*SUMIFS($F:$F,$B:$B,"&gt;=205",$B:$B,"&lt;=205")-1*SUMIFS($F:$F,$B:$B,"&gt;=215",$B:$B,"&lt;=215")-1*SUMIFS($F:$F,$B:$B,"&gt;=225",$B:$B,"&lt;=225")</f>
      </c>
      <c r="G37" s="17">
        <f>$C37+$D37-$E37-$F37</f>
      </c>
      <c r="M37" s="17">
        <f>+1*SUMIFS($M:$M,$B:$B,"&gt;=205",$B:$B,"&lt;=205")-1*SUMIFS($M:$M,$B:$B,"&gt;=215",$B:$B,"&lt;=215")-1*SUMIFS($M:$M,$B:$B,"&gt;=225",$B:$B,"&lt;=225")</f>
      </c>
      <c r="N37" s="17">
        <f>+1*SUMIFS($N:$N,$B:$B,"&gt;=205",$B:$B,"&lt;=205")-1*SUMIFS($N:$N,$B:$B,"&gt;=215",$B:$B,"&lt;=215")-1*SUMIFS($N:$N,$B:$B,"&gt;=225",$B:$B,"&lt;=225")</f>
      </c>
      <c r="O37" s="17">
        <f>+1*SUMIFS($O:$O,$B:$B,"&gt;=205",$B:$B,"&lt;=205")-1*SUMIFS($O:$O,$B:$B,"&gt;=215",$B:$B,"&lt;=215")-1*SUMIFS($O:$O,$B:$B,"&gt;=225",$B:$B,"&lt;=225")</f>
      </c>
      <c r="P37" s="17">
        <f>+1*SUMIFS($P:$P,$B:$B,"&gt;=205",$B:$B,"&lt;=205")-1*SUMIFS($P:$P,$B:$B,"&gt;=215",$B:$B,"&lt;=215")-1*SUMIFS($P:$P,$B:$B,"&gt;=225",$B:$B,"&lt;=225")</f>
      </c>
      <c r="Q37" s="17">
        <f>$M37+$N37-$O37-$P37</f>
      </c>
    </row>
    <row r="38">
      <c r="A38" s="11" t="s">
        <v>40</v>
      </c>
      <c r="B38" s="12">
        <v>236</v>
      </c>
      <c r="C38" s="18">
        <f>+1*SUMIFS($C:$C,$B:$B,"&gt;=206",$B:$B,"&lt;=206")-1*SUMIFS($C:$C,$B:$B,"&gt;=216",$B:$B,"&lt;=216")-1*SUMIFS($C:$C,$B:$B,"&gt;=226",$B:$B,"&lt;=226")</f>
      </c>
      <c r="D38" s="18">
        <f>+1*SUMIFS($D:$D,$B:$B,"&gt;=206",$B:$B,"&lt;=206")-1*SUMIFS($D:$D,$B:$B,"&gt;=216",$B:$B,"&lt;=216")-1*SUMIFS($D:$D,$B:$B,"&gt;=226",$B:$B,"&lt;=226")</f>
      </c>
      <c r="E38" s="18">
        <f>+1*SUMIFS($E:$E,$B:$B,"&gt;=206",$B:$B,"&lt;=206")-1*SUMIFS($E:$E,$B:$B,"&gt;=216",$B:$B,"&lt;=216")-1*SUMIFS($E:$E,$B:$B,"&gt;=226",$B:$B,"&lt;=226")</f>
      </c>
      <c r="F38" s="18">
        <f>+1*SUMIFS($F:$F,$B:$B,"&gt;=206",$B:$B,"&lt;=206")-1*SUMIFS($F:$F,$B:$B,"&gt;=216",$B:$B,"&lt;=216")-1*SUMIFS($F:$F,$B:$B,"&gt;=226",$B:$B,"&lt;=226")</f>
      </c>
      <c r="G38" s="18">
        <f>$C38+$D38-$E38-$F38</f>
      </c>
      <c r="M38" s="18">
        <f>+1*SUMIFS($M:$M,$B:$B,"&gt;=206",$B:$B,"&lt;=206")-1*SUMIFS($M:$M,$B:$B,"&gt;=216",$B:$B,"&lt;=216")-1*SUMIFS($M:$M,$B:$B,"&gt;=226",$B:$B,"&lt;=226")</f>
      </c>
      <c r="N38" s="18">
        <f>+1*SUMIFS($N:$N,$B:$B,"&gt;=206",$B:$B,"&lt;=206")-1*SUMIFS($N:$N,$B:$B,"&gt;=216",$B:$B,"&lt;=216")-1*SUMIFS($N:$N,$B:$B,"&gt;=226",$B:$B,"&lt;=226")</f>
      </c>
      <c r="O38" s="18">
        <f>+1*SUMIFS($O:$O,$B:$B,"&gt;=206",$B:$B,"&lt;=206")-1*SUMIFS($O:$O,$B:$B,"&gt;=216",$B:$B,"&lt;=216")-1*SUMIFS($O:$O,$B:$B,"&gt;=226",$B:$B,"&lt;=226")</f>
      </c>
      <c r="P38" s="18">
        <f>+1*SUMIFS($P:$P,$B:$B,"&gt;=206",$B:$B,"&lt;=206")-1*SUMIFS($P:$P,$B:$B,"&gt;=216",$B:$B,"&lt;=216")-1*SUMIFS($P:$P,$B:$B,"&gt;=226",$B:$B,"&lt;=226")</f>
      </c>
      <c r="Q38" s="18">
        <f>$M38+$N38-$O38-$P38</f>
      </c>
    </row>
    <row r="39">
      <c r="A39" s="11" t="s">
        <v>41</v>
      </c>
      <c r="B39" s="12">
        <v>237</v>
      </c>
      <c r="C39" s="19">
        <f>+1*SUMIFS($C:$C,$B:$B,"&gt;=207",$B:$B,"&lt;=207")-1*SUMIFS($C:$C,$B:$B,"&gt;=217",$B:$B,"&lt;=217")-1*SUMIFS($C:$C,$B:$B,"&gt;=227",$B:$B,"&lt;=227")</f>
      </c>
      <c r="D39" s="19">
        <f>+1*SUMIFS($D:$D,$B:$B,"&gt;=207",$B:$B,"&lt;=207")-1*SUMIFS($D:$D,$B:$B,"&gt;=217",$B:$B,"&lt;=217")-1*SUMIFS($D:$D,$B:$B,"&gt;=227",$B:$B,"&lt;=227")</f>
      </c>
      <c r="E39" s="19">
        <f>+1*SUMIFS($E:$E,$B:$B,"&gt;=207",$B:$B,"&lt;=207")-1*SUMIFS($E:$E,$B:$B,"&gt;=217",$B:$B,"&lt;=217")-1*SUMIFS($E:$E,$B:$B,"&gt;=227",$B:$B,"&lt;=227")</f>
      </c>
      <c r="F39" s="19">
        <f>+1*SUMIFS($F:$F,$B:$B,"&gt;=207",$B:$B,"&lt;=207")-1*SUMIFS($F:$F,$B:$B,"&gt;=217",$B:$B,"&lt;=217")-1*SUMIFS($F:$F,$B:$B,"&gt;=227",$B:$B,"&lt;=227")</f>
      </c>
      <c r="G39" s="19">
        <f>$C39+$D39-$E39-$F39</f>
      </c>
      <c r="M39" s="19">
        <f>+1*SUMIFS($M:$M,$B:$B,"&gt;=207",$B:$B,"&lt;=207")-1*SUMIFS($M:$M,$B:$B,"&gt;=217",$B:$B,"&lt;=217")-1*SUMIFS($M:$M,$B:$B,"&gt;=227",$B:$B,"&lt;=227")</f>
      </c>
      <c r="N39" s="19">
        <f>+1*SUMIFS($N:$N,$B:$B,"&gt;=207",$B:$B,"&lt;=207")-1*SUMIFS($N:$N,$B:$B,"&gt;=217",$B:$B,"&lt;=217")-1*SUMIFS($N:$N,$B:$B,"&gt;=227",$B:$B,"&lt;=227")</f>
      </c>
      <c r="O39" s="19">
        <f>+1*SUMIFS($O:$O,$B:$B,"&gt;=207",$B:$B,"&lt;=207")-1*SUMIFS($O:$O,$B:$B,"&gt;=217",$B:$B,"&lt;=217")-1*SUMIFS($O:$O,$B:$B,"&gt;=227",$B:$B,"&lt;=227")</f>
      </c>
      <c r="P39" s="19">
        <f>+1*SUMIFS($P:$P,$B:$B,"&gt;=207",$B:$B,"&lt;=207")-1*SUMIFS($P:$P,$B:$B,"&gt;=217",$B:$B,"&lt;=217")-1*SUMIFS($P:$P,$B:$B,"&gt;=227",$B:$B,"&lt;=227")</f>
      </c>
      <c r="Q39" s="19">
        <f>$M39+$N39-$O39-$P39</f>
      </c>
    </row>
    <row r="40">
      <c r="A40" s="6" t="s">
        <v>42</v>
      </c>
      <c r="B40" s="7">
        <v>238</v>
      </c>
      <c r="C40" s="10">
        <f>+1*SUMIFS($C:$C,$B:$B,"&gt;=231",$B:$B,"&lt;=237")</f>
      </c>
      <c r="D40" s="10">
        <f>+1*SUMIFS($D:$D,$B:$B,"&gt;=231",$B:$B,"&lt;=237")</f>
      </c>
      <c r="E40" s="10">
        <f>+1*SUMIFS($E:$E,$B:$B,"&gt;=231",$B:$B,"&lt;=237")</f>
      </c>
      <c r="F40" s="10">
        <f>+1*SUMIFS($F:$F,$B:$B,"&gt;=231",$B:$B,"&lt;=237")</f>
      </c>
      <c r="G40" s="10">
        <f>$C40+$D40-$E40-$F40</f>
      </c>
      <c r="M40" s="10">
        <f>+1*SUMIFS($M:$M,$B:$B,"&gt;=231",$B:$B,"&lt;=237")</f>
      </c>
      <c r="N40" s="10">
        <f>+1*SUMIFS($N:$N,$B:$B,"&gt;=231",$B:$B,"&lt;=237")</f>
      </c>
      <c r="O40" s="10">
        <f>+1*SUMIFS($O:$O,$B:$B,"&gt;=231",$B:$B,"&lt;=237")</f>
      </c>
      <c r="P40" s="10">
        <f>+1*SUMIFS($P:$P,$B:$B,"&gt;=231",$B:$B,"&lt;=237")</f>
      </c>
      <c r="Q40" s="10">
        <f>$M40+$N40-$O40-$P40</f>
      </c>
    </row>
    <row r="41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214</v>
      </c>
      <c r="B2" s="5">
        <v>2210</v>
      </c>
      <c r="C2" s="4">
        <v>26000</v>
      </c>
      <c r="D2" s="4">
        <v>27393</v>
      </c>
    </row>
    <row r="3">
      <c r="A3" s="3" t="s">
        <v>215</v>
      </c>
      <c r="B3" s="5">
        <v>2220</v>
      </c>
      <c r="C3" s="4">
        <v>0</v>
      </c>
      <c r="D3" s="4">
        <v>0</v>
      </c>
    </row>
  </sheetData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220</v>
      </c>
      <c r="B2" s="5">
        <v>2510</v>
      </c>
      <c r="C2" s="4">
        <v>10622</v>
      </c>
      <c r="D2" s="4">
        <v>0</v>
      </c>
      <c r="E2" s="4">
        <v>0</v>
      </c>
      <c r="F2" s="4">
        <v>0</v>
      </c>
      <c r="G2" s="4">
        <f>$C2+$D2-$E2-$F2</f>
      </c>
      <c r="M2" s="4">
        <v>10622</v>
      </c>
      <c r="N2" s="4">
        <v>0</v>
      </c>
      <c r="O2" s="4">
        <v>0</v>
      </c>
      <c r="P2" s="4">
        <v>0</v>
      </c>
      <c r="Q2" s="4">
        <f>$M2+$N2-$O2-$P2</f>
      </c>
    </row>
    <row r="3">
      <c r="A3" s="3" t="s">
        <v>221</v>
      </c>
      <c r="B3" s="5">
        <v>2520</v>
      </c>
      <c r="C3" s="4">
        <v>9058</v>
      </c>
      <c r="D3" s="4">
        <v>9997</v>
      </c>
      <c r="E3" s="4">
        <v>9416</v>
      </c>
      <c r="F3" s="4">
        <v>0</v>
      </c>
      <c r="G3" s="4">
        <f>$C3+$D3-$E3-$F3</f>
      </c>
      <c r="M3" s="4">
        <v>3303</v>
      </c>
      <c r="N3" s="4">
        <v>9417</v>
      </c>
      <c r="O3" s="4">
        <v>3663</v>
      </c>
      <c r="P3" s="4">
        <v>0</v>
      </c>
      <c r="Q3" s="4">
        <f>$M3+$N3-$O3-$P3</f>
      </c>
    </row>
  </sheetData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4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224</v>
      </c>
      <c r="B3" s="12">
        <v>2611</v>
      </c>
      <c r="C3" s="13">
        <f>+1*SUMIFS($C:$C,$B:$B,"&gt;=2612",$B:$B,"&lt;=2614")</f>
      </c>
      <c r="D3" s="13">
        <f>+1*SUMIFS($D:$D,$B:$B,"&gt;=2612",$B:$B,"&lt;=2614")</f>
      </c>
      <c r="E3" s="13">
        <f>+1*SUMIFS($E:$E,$B:$B,"&gt;=2612",$B:$B,"&lt;=2614")</f>
      </c>
      <c r="F3" s="13">
        <f>+1*SUMIFS($F:$F,$B:$B,"&gt;=2612",$B:$B,"&lt;=2614")</f>
      </c>
      <c r="G3" s="13">
        <f>$C3+$D3+$E3+$F3</f>
      </c>
    </row>
    <row r="4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231</v>
      </c>
      <c r="B10" s="5">
        <v>2618</v>
      </c>
      <c r="C10" s="4">
        <v>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3" t="s">
        <v>235</v>
      </c>
      <c r="B14" s="5">
        <v>2622</v>
      </c>
      <c r="C14" s="4">
        <v>8801</v>
      </c>
      <c r="D14" s="4">
        <v>0</v>
      </c>
      <c r="E14" s="4">
        <v>0</v>
      </c>
      <c r="F14" s="4">
        <v>0</v>
      </c>
      <c r="G14" s="4">
        <f>$C14+$D14+$E14+$F14</f>
      </c>
    </row>
    <row r="15">
      <c r="A15" s="3" t="s">
        <v>236</v>
      </c>
      <c r="B15" s="5">
        <v>2623</v>
      </c>
      <c r="C15" s="4">
        <v>0</v>
      </c>
      <c r="D15" s="4">
        <v>0</v>
      </c>
      <c r="E15" s="4">
        <v>0</v>
      </c>
      <c r="F15" s="4">
        <v>0</v>
      </c>
      <c r="G15" s="4">
        <f>$C15+$D15+$E15+$F15</f>
      </c>
    </row>
    <row r="16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>$C16+$D16+$E16+$F16</f>
      </c>
    </row>
    <row r="17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>$C17+$D17+$E17+$F17</f>
      </c>
    </row>
    <row r="18">
      <c r="A18" s="6" t="s">
        <v>239</v>
      </c>
      <c r="B18" s="7">
        <v>2629</v>
      </c>
      <c r="C18" s="26">
        <f>+1*SUMIFS($C:$C,$B:$B,"&gt;=2611",$B:$B,"&lt;=2611")+1*SUMIFS($C:$C,$B:$B,"&gt;=2615",$B:$B,"&lt;=2628")</f>
      </c>
      <c r="D18" s="26">
        <f>+1*SUMIFS($D:$D,$B:$B,"&gt;=2611",$B:$B,"&lt;=2611")+1*SUMIFS($D:$D,$B:$B,"&gt;=2615",$B:$B,"&lt;=2628")</f>
      </c>
      <c r="E18" s="26">
        <f>+1*SUMIFS($E:$E,$B:$B,"&gt;=2611",$B:$B,"&lt;=2611")+1*SUMIFS($E:$E,$B:$B,"&gt;=2615",$B:$B,"&lt;=2628")</f>
      </c>
      <c r="F18" s="26">
        <f>+1*SUMIFS($F:$F,$B:$B,"&gt;=2611",$B:$B,"&lt;=2611")+1*SUMIFS($F:$F,$B:$B,"&gt;=2615",$B:$B,"&lt;=2628")</f>
      </c>
      <c r="G18" s="26">
        <f>$C18+$D18+$E18+$F18</f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11" t="s">
        <v>241</v>
      </c>
      <c r="B21" s="12">
        <v>2631</v>
      </c>
      <c r="C21" s="13">
        <f>+1*SUMIFS($C:$C,$B:$B,"&gt;=2632",$B:$B,"&lt;=2634")</f>
      </c>
      <c r="D21" s="13">
        <f>+1*SUMIFS($D:$D,$B:$B,"&gt;=2632",$B:$B,"&lt;=2634")</f>
      </c>
      <c r="E21" s="13">
        <f>+1*SUMIFS($E:$E,$B:$B,"&gt;=2632",$B:$B,"&lt;=2634")</f>
      </c>
      <c r="F21" s="13">
        <f>+1*SUMIFS($F:$F,$B:$B,"&gt;=2632",$B:$B,"&lt;=2634")</f>
      </c>
      <c r="G21" s="13">
        <f>$C21+$D21+$E21+$F21</f>
      </c>
    </row>
    <row r="22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244</v>
      </c>
      <c r="B24" s="5">
        <v>2634</v>
      </c>
      <c r="C24" s="4">
        <v>205058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248</v>
      </c>
      <c r="B28" s="5">
        <v>2638</v>
      </c>
      <c r="C28" s="4">
        <v>54227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3" t="s">
        <v>249</v>
      </c>
      <c r="B29" s="5">
        <v>2639</v>
      </c>
      <c r="C29" s="4">
        <v>14110</v>
      </c>
      <c r="D29" s="4">
        <v>0</v>
      </c>
      <c r="E29" s="4">
        <v>0</v>
      </c>
      <c r="F29" s="4">
        <v>0</v>
      </c>
      <c r="G29" s="4">
        <f>$C29+$D29+$E29+$F29</f>
      </c>
    </row>
    <row r="30">
      <c r="A30" s="3" t="s">
        <v>250</v>
      </c>
      <c r="B30" s="5">
        <v>2640</v>
      </c>
      <c r="C30" s="4">
        <v>17663</v>
      </c>
      <c r="D30" s="4">
        <v>0</v>
      </c>
      <c r="E30" s="4">
        <v>0</v>
      </c>
      <c r="F30" s="4">
        <v>0</v>
      </c>
      <c r="G30" s="4">
        <f>$C30+$D30+$E30+$F30</f>
      </c>
    </row>
    <row r="31">
      <c r="A31" s="3" t="s">
        <v>251</v>
      </c>
      <c r="B31" s="5">
        <v>2641</v>
      </c>
      <c r="C31" s="4">
        <v>10922</v>
      </c>
      <c r="D31" s="4">
        <v>0</v>
      </c>
      <c r="E31" s="4">
        <v>0</v>
      </c>
      <c r="F31" s="4">
        <v>0</v>
      </c>
      <c r="G31" s="4">
        <f>$C31+$D31+$E31+$F31</f>
      </c>
    </row>
    <row r="32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>$C32+$D32+$E32+$F32</f>
      </c>
    </row>
    <row r="33">
      <c r="A33" s="3" t="s">
        <v>253</v>
      </c>
      <c r="B33" s="5">
        <v>2643</v>
      </c>
      <c r="C33" s="4">
        <v>639489</v>
      </c>
      <c r="D33" s="4">
        <v>0</v>
      </c>
      <c r="E33" s="4">
        <v>0</v>
      </c>
      <c r="F33" s="4">
        <v>0</v>
      </c>
      <c r="G33" s="4">
        <f>$C33+$D33+$E33+$F33</f>
      </c>
    </row>
    <row r="34">
      <c r="A34" s="6" t="s">
        <v>254</v>
      </c>
      <c r="B34" s="7">
        <v>2649</v>
      </c>
      <c r="C34" s="26">
        <f>+1*SUMIFS($C:$C,$B:$B,"&gt;=2631",$B:$B,"&lt;=2631")+1*SUMIFS($C:$C,$B:$B,"&gt;=2635",$B:$B,"&lt;=2648")</f>
      </c>
      <c r="D34" s="26">
        <f>+1*SUMIFS($D:$D,$B:$B,"&gt;=2631",$B:$B,"&lt;=2631")+1*SUMIFS($D:$D,$B:$B,"&gt;=2635",$B:$B,"&lt;=2648")</f>
      </c>
      <c r="E34" s="26">
        <f>+1*SUMIFS($E:$E,$B:$B,"&gt;=2631",$B:$B,"&lt;=2631")+1*SUMIFS($E:$E,$B:$B,"&gt;=2635",$B:$B,"&lt;=2648")</f>
      </c>
      <c r="F34" s="26">
        <f>+1*SUMIFS($F:$F,$B:$B,"&gt;=2631",$B:$B,"&lt;=2631")+1*SUMIFS($F:$F,$B:$B,"&gt;=2635",$B:$B,"&lt;=2648")</f>
      </c>
      <c r="G34" s="26">
        <f>$C34+$D34+$E34+$F34</f>
      </c>
    </row>
  </sheetData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8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255</v>
      </c>
      <c r="B2" s="5">
        <v>2810</v>
      </c>
      <c r="C2" s="4">
        <v>7638</v>
      </c>
      <c r="D2" s="4">
        <v>6689</v>
      </c>
    </row>
    <row r="3">
      <c r="A3" s="3" t="s">
        <v>256</v>
      </c>
      <c r="B3" s="5">
        <v>2811</v>
      </c>
      <c r="C3" s="4">
        <v>1163</v>
      </c>
      <c r="D3" s="4">
        <v>949</v>
      </c>
    </row>
    <row r="4">
      <c r="A4" s="3" t="s">
        <v>257</v>
      </c>
      <c r="B4" s="5">
        <v>2812</v>
      </c>
      <c r="C4" s="4">
        <v>0</v>
      </c>
      <c r="D4" s="4">
        <v>0</v>
      </c>
    </row>
    <row r="5">
      <c r="A5" s="3" t="s">
        <v>258</v>
      </c>
      <c r="B5" s="5">
        <v>2813</v>
      </c>
      <c r="C5" s="4">
        <v>0</v>
      </c>
      <c r="D5" s="4">
        <v>0</v>
      </c>
    </row>
    <row r="6">
      <c r="A6" s="11" t="s">
        <v>259</v>
      </c>
      <c r="B6" s="12">
        <v>2819</v>
      </c>
      <c r="C6" s="13">
        <f>+1*SUMIFS($C:$C,$B:$B,"&gt;=2811",$B:$B,"&lt;=2818")</f>
      </c>
      <c r="D6" s="13">
        <f>+1*SUMIFS($D:$D,$B:$B,"&gt;=2811",$B:$B,"&lt;=2818")</f>
      </c>
    </row>
    <row r="7">
      <c r="A7" s="3" t="s">
        <v>260</v>
      </c>
      <c r="B7" s="5">
        <v>2829</v>
      </c>
      <c r="C7" s="4">
        <v>0</v>
      </c>
      <c r="D7" s="4">
        <v>0</v>
      </c>
    </row>
    <row r="8">
      <c r="A8" s="6" t="s">
        <v>261</v>
      </c>
      <c r="B8" s="7">
        <v>2839</v>
      </c>
      <c r="C8" s="26">
        <f>+1*SUMIFS($C:$C,$B:$B,"&gt;=2810",$B:$B,"&lt;=2810")+1*SUMIFS($C:$C,$B:$B,"&gt;=2819",$B:$B,"&lt;=2819")-1*SUMIFS($C:$C,$B:$B,"&gt;=2829",$B:$B,"&lt;=2829")</f>
      </c>
      <c r="D8" s="26">
        <f>+1*SUMIFS($D:$D,$B:$B,"&gt;=2810",$B:$B,"&lt;=2810")+1*SUMIFS($D:$D,$B:$B,"&gt;=2819",$B:$B,"&lt;=2819")-1*SUMIFS($D:$D,$B:$B,"&gt;=2829",$B:$B,"&lt;=2829")</f>
      </c>
    </row>
  </sheetData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6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17.5546875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v>0</v>
      </c>
    </row>
    <row r="3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274</v>
      </c>
      <c r="B2" s="5">
        <v>3110</v>
      </c>
      <c r="C2" s="4">
        <v>0</v>
      </c>
      <c r="D2" s="4">
        <v>0</v>
      </c>
    </row>
    <row r="3">
      <c r="A3" s="3" t="s">
        <v>275</v>
      </c>
      <c r="B3" s="5">
        <v>3120</v>
      </c>
      <c r="C3" s="4">
        <v>0</v>
      </c>
      <c r="D3" s="4">
        <v>0</v>
      </c>
    </row>
  </sheetData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8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17.5546875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17.5546875" customWidth="true"/>
    <col min="19" max="19" width="17.5546875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285</v>
      </c>
      <c r="B2" s="5">
        <v>3311</v>
      </c>
      <c r="C2" s="4">
        <v>1216418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>$C2+$D2+$E2+$F2+$G2+$H2</f>
      </c>
      <c r="M2" s="4">
        <v>1371743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>$M2+$N2+$O2+$P2+$Q2+$R2</f>
      </c>
    </row>
    <row r="3">
      <c r="A3" s="3" t="s">
        <v>286</v>
      </c>
      <c r="B3" s="5">
        <v>3312</v>
      </c>
      <c r="C3" s="4">
        <v>735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>$C3+$D3+$E3+$F3+$G3+$H3</f>
      </c>
      <c r="M3" s="4">
        <v>228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>$M3+$N3+$O3+$P3+$Q3+$R3</f>
      </c>
    </row>
    <row r="4">
      <c r="A4" s="3" t="s">
        <v>287</v>
      </c>
      <c r="B4" s="5">
        <v>3313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>$C4+$D4+$E4+$F4+$G4+$H4</f>
      </c>
      <c r="M4" s="4">
        <v>75385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>$M4+$N4+$O4+$P4+$Q4+$R4</f>
      </c>
    </row>
    <row r="5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>$C5+$D5+$E5+$F5+$G5+$H5</f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>$M5+$N5+$O5+$P5+$Q5+$R5</f>
      </c>
    </row>
    <row r="6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>$C6+$D6+$E6+$F6+$G6+$H6</f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>$M6+$N6+$O6+$P6+$Q6+$R6</f>
      </c>
    </row>
    <row r="7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>$C7+$D7+$E7+$F7+$G7+$H7</f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>$M7+$N7+$O7+$P7+$Q7+$R7</f>
      </c>
    </row>
    <row r="8">
      <c r="A8" s="11" t="s">
        <v>291</v>
      </c>
      <c r="B8" s="12">
        <v>3319</v>
      </c>
      <c r="C8" s="13">
        <f>+1*SUMIFS($C:$C,$B:$B,"&gt;=3311",$B:$B,"&lt;=3318")</f>
      </c>
      <c r="D8" s="13">
        <f>+1*SUMIFS($D:$D,$B:$B,"&gt;=3311",$B:$B,"&lt;=3318")</f>
      </c>
      <c r="E8" s="13">
        <f>+1*SUMIFS($E:$E,$B:$B,"&gt;=3311",$B:$B,"&lt;=3318")</f>
      </c>
      <c r="F8" s="13">
        <f>+1*SUMIFS($F:$F,$B:$B,"&gt;=3311",$B:$B,"&lt;=3318")</f>
      </c>
      <c r="G8" s="13">
        <f>+1*SUMIFS($G:$G,$B:$B,"&gt;=3311",$B:$B,"&lt;=3318")</f>
      </c>
      <c r="H8" s="13">
        <f>+1*SUMIFS($H:$H,$B:$B,"&gt;=3311",$B:$B,"&lt;=3318")</f>
      </c>
      <c r="I8" s="13">
        <f>$C8+$D8+$E8+$F8+$G8+$H8</f>
      </c>
      <c r="M8" s="13">
        <f>+1*SUMIFS($M:$M,$B:$B,"&gt;=3311",$B:$B,"&lt;=3318")</f>
      </c>
      <c r="N8" s="13">
        <f>+1*SUMIFS($N:$N,$B:$B,"&gt;=3311",$B:$B,"&lt;=3318")</f>
      </c>
      <c r="O8" s="13">
        <f>+1*SUMIFS($O:$O,$B:$B,"&gt;=3311",$B:$B,"&lt;=3318")</f>
      </c>
      <c r="P8" s="13">
        <f>+1*SUMIFS($P:$P,$B:$B,"&gt;=3311",$B:$B,"&lt;=3318")</f>
      </c>
      <c r="Q8" s="13">
        <f>+1*SUMIFS($Q:$Q,$B:$B,"&gt;=3311",$B:$B,"&lt;=3318")</f>
      </c>
      <c r="R8" s="13">
        <f>+1*SUMIFS($R:$R,$B:$B,"&gt;=3311",$B:$B,"&lt;=3318")</f>
      </c>
      <c r="S8" s="13">
        <f>$M8+$N8+$O8+$P8+$Q8+$R8</f>
      </c>
    </row>
  </sheetData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1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298</v>
      </c>
      <c r="B2" s="5">
        <v>3611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</row>
    <row r="3">
      <c r="A3" s="3" t="s">
        <v>299</v>
      </c>
      <c r="B3" s="5">
        <v>3612</v>
      </c>
      <c r="C3" s="4">
        <v>1116281</v>
      </c>
      <c r="D3" s="4">
        <v>1117344</v>
      </c>
      <c r="E3" s="4">
        <v>1117344</v>
      </c>
      <c r="F3" s="4">
        <v>1293990</v>
      </c>
      <c r="G3" s="4">
        <v>-1063</v>
      </c>
      <c r="H3" s="4">
        <v>-176646</v>
      </c>
    </row>
    <row r="4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>
      <c r="A5" s="11" t="s">
        <v>301</v>
      </c>
      <c r="B5" s="12">
        <v>3614</v>
      </c>
      <c r="C5" s="13">
        <f>+1*SUMIFS($C:$C,$B:$B,"&gt;=3611",$B:$B,"&lt;=3613")</f>
      </c>
      <c r="D5" s="13">
        <f>+1*SUMIFS($D:$D,$B:$B,"&gt;=3611",$B:$B,"&lt;=3613")</f>
      </c>
      <c r="E5" s="13">
        <f>+1*SUMIFS($E:$E,$B:$B,"&gt;=3611",$B:$B,"&lt;=3613")</f>
      </c>
      <c r="F5" s="13">
        <f>+1*SUMIFS($F:$F,$B:$B,"&gt;=3611",$B:$B,"&lt;=3613")</f>
      </c>
      <c r="G5" s="13">
        <f>+1*SUMIFS($G:$G,$B:$B,"&gt;=3611",$B:$B,"&lt;=3613")</f>
      </c>
      <c r="H5" s="13">
        <f>+1*SUMIFS($H:$H,$B:$B,"&gt;=3611",$B:$B,"&lt;=3613")</f>
      </c>
    </row>
    <row r="6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+1*SUMIFS($G:$G,$B:$B,"&gt;=3611",$B:$B,"&lt;=3613")</f>
      </c>
      <c r="H10" s="13">
        <f>+1*SUMIFS($H:$H,$B:$B,"&gt;=3611",$B:$B,"&lt;=3613")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5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307</v>
      </c>
      <c r="B2" s="12">
        <v>3710</v>
      </c>
      <c r="C2" s="13">
        <f>+1*SUMIFS($C:$C,$B:$B,"&gt;=3711",$B:$B,"&lt;=3719")</f>
      </c>
      <c r="D2" s="13">
        <f>+1*SUMIFS($D:$D,$B:$B,"&gt;=3711",$B:$B,"&lt;=3719")</f>
      </c>
    </row>
    <row r="3">
      <c r="A3" s="3" t="s">
        <v>308</v>
      </c>
      <c r="B3" s="5">
        <v>3711</v>
      </c>
      <c r="C3" s="4">
        <v>1216418</v>
      </c>
      <c r="D3" s="4">
        <v>1371743</v>
      </c>
    </row>
    <row r="4">
      <c r="A4" s="3" t="s">
        <v>309</v>
      </c>
      <c r="B4" s="5">
        <v>3712</v>
      </c>
      <c r="C4" s="4">
        <v>735</v>
      </c>
      <c r="D4" s="4">
        <v>228</v>
      </c>
    </row>
    <row r="5">
      <c r="A5" s="3" t="s">
        <v>310</v>
      </c>
      <c r="B5" s="5">
        <v>3713</v>
      </c>
      <c r="C5" s="4">
        <v>0</v>
      </c>
      <c r="D5" s="4">
        <v>75385</v>
      </c>
    </row>
    <row r="6">
      <c r="A6" s="3" t="s">
        <v>311</v>
      </c>
      <c r="B6" s="5">
        <v>3714</v>
      </c>
      <c r="C6" s="4">
        <v>0</v>
      </c>
      <c r="D6" s="4">
        <v>0</v>
      </c>
    </row>
    <row r="7">
      <c r="A7" s="11" t="s">
        <v>312</v>
      </c>
      <c r="B7" s="12">
        <v>3730</v>
      </c>
      <c r="C7" s="13">
        <f>+1*SUMIFS($C:$C,$B:$B,"&gt;=3731",$B:$B,"&lt;=3739")</f>
      </c>
      <c r="D7" s="13">
        <f>+1*SUMIFS($D:$D,$B:$B,"&gt;=3731",$B:$B,"&lt;=3739")</f>
      </c>
    </row>
    <row r="8">
      <c r="A8" s="3" t="s">
        <v>313</v>
      </c>
      <c r="B8" s="5">
        <v>3731</v>
      </c>
      <c r="C8" s="4">
        <v>0</v>
      </c>
      <c r="D8" s="4">
        <v>0</v>
      </c>
    </row>
    <row r="9">
      <c r="A9" s="3" t="s">
        <v>314</v>
      </c>
      <c r="B9" s="5">
        <v>3732</v>
      </c>
      <c r="C9" s="4">
        <v>0</v>
      </c>
      <c r="D9" s="4">
        <v>0</v>
      </c>
    </row>
    <row r="10">
      <c r="A10" s="3" t="s">
        <v>315</v>
      </c>
      <c r="B10" s="5">
        <v>3733</v>
      </c>
      <c r="C10" s="4">
        <v>0</v>
      </c>
      <c r="D10" s="4">
        <v>0</v>
      </c>
    </row>
    <row r="11">
      <c r="A11" s="11" t="s">
        <v>316</v>
      </c>
      <c r="B11" s="12">
        <v>3740</v>
      </c>
      <c r="C11" s="13">
        <f>+1*SUMIFS($C:$C,$B:$B,"&gt;=3741",$B:$B,"&lt;=3749")</f>
      </c>
      <c r="D11" s="13">
        <f>+1*SUMIFS($D:$D,$B:$B,"&gt;=3741",$B:$B,"&lt;=3749")</f>
      </c>
    </row>
    <row r="12">
      <c r="A12" s="3" t="s">
        <v>317</v>
      </c>
      <c r="B12" s="5">
        <v>3741</v>
      </c>
      <c r="C12" s="4">
        <v>0</v>
      </c>
      <c r="D12" s="4">
        <v>0</v>
      </c>
    </row>
    <row r="13">
      <c r="A13" s="3" t="s">
        <v>318</v>
      </c>
      <c r="B13" s="5">
        <v>3742</v>
      </c>
      <c r="C13" s="4">
        <v>0</v>
      </c>
      <c r="D13" s="4">
        <v>0</v>
      </c>
    </row>
    <row r="14">
      <c r="A14" s="3" t="s">
        <v>319</v>
      </c>
      <c r="B14" s="5">
        <v>3743</v>
      </c>
      <c r="C14" s="4">
        <v>0</v>
      </c>
      <c r="D14" s="4">
        <v>0</v>
      </c>
    </row>
    <row r="15">
      <c r="A15" s="3" t="s">
        <v>320</v>
      </c>
      <c r="B15" s="5">
        <v>3744</v>
      </c>
      <c r="C15" s="4">
        <v>0</v>
      </c>
      <c r="D15" s="4">
        <v>0</v>
      </c>
    </row>
    <row r="16">
      <c r="A16" s="3" t="s">
        <v>321</v>
      </c>
      <c r="B16" s="5">
        <v>3745</v>
      </c>
      <c r="C16" s="4">
        <v>0</v>
      </c>
      <c r="D16" s="4">
        <v>0</v>
      </c>
    </row>
    <row r="17">
      <c r="A17" s="11" t="s">
        <v>322</v>
      </c>
      <c r="B17" s="12">
        <v>3750</v>
      </c>
      <c r="C17" s="13">
        <f>+1*SUMIFS($C:$C,$B:$B,"&gt;=3751",$B:$B,"&lt;=3759")</f>
      </c>
      <c r="D17" s="13">
        <f>+1*SUMIFS($D:$D,$B:$B,"&gt;=3751",$B:$B,"&lt;=3759")</f>
      </c>
    </row>
    <row r="18">
      <c r="A18" s="3" t="s">
        <v>323</v>
      </c>
      <c r="B18" s="5">
        <v>3751</v>
      </c>
      <c r="C18" s="4">
        <v>0</v>
      </c>
      <c r="D18" s="4">
        <v>0</v>
      </c>
    </row>
    <row r="19">
      <c r="A19" s="3" t="s">
        <v>324</v>
      </c>
      <c r="B19" s="5">
        <v>3752</v>
      </c>
      <c r="C19" s="4">
        <v>0</v>
      </c>
      <c r="D19" s="4">
        <v>0</v>
      </c>
    </row>
    <row r="20">
      <c r="A20" s="3" t="s">
        <v>325</v>
      </c>
      <c r="B20" s="5">
        <v>3753</v>
      </c>
      <c r="C20" s="4">
        <v>0</v>
      </c>
      <c r="D20" s="4">
        <v>0</v>
      </c>
    </row>
    <row r="21">
      <c r="A21" s="3" t="s">
        <v>326</v>
      </c>
      <c r="B21" s="5">
        <v>3754</v>
      </c>
      <c r="C21" s="4">
        <v>11</v>
      </c>
      <c r="D21" s="4">
        <v>10</v>
      </c>
    </row>
    <row r="22">
      <c r="A22" s="3" t="s">
        <v>327</v>
      </c>
      <c r="B22" s="5">
        <v>3755</v>
      </c>
      <c r="C22" s="4">
        <v>0</v>
      </c>
      <c r="D22" s="4">
        <v>0</v>
      </c>
    </row>
    <row r="23">
      <c r="A23" s="3" t="s">
        <v>328</v>
      </c>
      <c r="B23" s="5">
        <v>3756</v>
      </c>
      <c r="C23" s="4">
        <v>0</v>
      </c>
      <c r="D23" s="4">
        <v>0</v>
      </c>
    </row>
    <row r="24">
      <c r="A24" s="3" t="s">
        <v>329</v>
      </c>
      <c r="B24" s="5">
        <v>3760</v>
      </c>
      <c r="C24" s="4">
        <v>0</v>
      </c>
      <c r="D24" s="4">
        <v>0</v>
      </c>
    </row>
    <row r="25">
      <c r="A25" s="3"/>
      <c r="C25" s="4">
        <v>0</v>
      </c>
      <c r="D25" s="4">
        <v>0</v>
      </c>
    </row>
  </sheetData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8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330</v>
      </c>
      <c r="B2" s="12">
        <v>3910</v>
      </c>
      <c r="C2" s="13">
        <f>+1*SUMIFS($C:$C,$B:$B,"&gt;=3911",$B:$B,"&lt;=3919")</f>
      </c>
      <c r="D2" s="13">
        <f>+1*SUMIFS($D:$D,$B:$B,"&gt;=3911",$B:$B,"&lt;=3919")</f>
      </c>
    </row>
    <row r="3">
      <c r="A3" s="3" t="s">
        <v>331</v>
      </c>
      <c r="B3" s="5">
        <v>3911</v>
      </c>
      <c r="C3" s="4">
        <v>196378</v>
      </c>
      <c r="D3" s="4">
        <v>160020</v>
      </c>
    </row>
    <row r="4">
      <c r="A4" s="3" t="s">
        <v>332</v>
      </c>
      <c r="B4" s="5">
        <v>3912</v>
      </c>
      <c r="C4" s="4">
        <v>0</v>
      </c>
      <c r="D4" s="4">
        <v>0</v>
      </c>
    </row>
    <row r="5">
      <c r="A5" s="3" t="s">
        <v>333</v>
      </c>
      <c r="B5" s="5">
        <v>3913</v>
      </c>
      <c r="C5" s="4">
        <v>49499</v>
      </c>
      <c r="D5" s="4">
        <v>40456</v>
      </c>
    </row>
    <row r="6">
      <c r="A6" s="3" t="s">
        <v>334</v>
      </c>
      <c r="B6" s="5">
        <v>3914</v>
      </c>
      <c r="C6" s="4">
        <v>18940</v>
      </c>
      <c r="D6" s="4">
        <v>15380</v>
      </c>
    </row>
    <row r="7">
      <c r="A7" s="3" t="s">
        <v>335</v>
      </c>
      <c r="B7" s="5">
        <v>3915</v>
      </c>
      <c r="C7" s="4">
        <v>18030</v>
      </c>
      <c r="D7" s="4">
        <v>11471</v>
      </c>
    </row>
    <row r="8">
      <c r="A8" s="11" t="s">
        <v>336</v>
      </c>
      <c r="B8" s="12">
        <v>3920</v>
      </c>
      <c r="C8" s="13">
        <f>+1*SUMIFS($C:$C,$B:$B,"&gt;=3921",$B:$B,"&lt;=3929")</f>
      </c>
      <c r="D8" s="13">
        <f>+1*SUMIFS($D:$D,$B:$B,"&gt;=3921",$B:$B,"&lt;=3929")</f>
      </c>
    </row>
    <row r="9">
      <c r="A9" s="3" t="s">
        <v>337</v>
      </c>
      <c r="B9" s="5">
        <v>3921</v>
      </c>
      <c r="C9" s="4">
        <v>20227</v>
      </c>
      <c r="D9" s="4">
        <v>33072</v>
      </c>
    </row>
    <row r="10">
      <c r="A10" s="3" t="s">
        <v>338</v>
      </c>
      <c r="B10" s="5">
        <v>3922</v>
      </c>
      <c r="C10" s="4">
        <v>1405</v>
      </c>
      <c r="D10" s="4">
        <v>2195</v>
      </c>
    </row>
    <row r="11">
      <c r="A11" s="3" t="s">
        <v>339</v>
      </c>
      <c r="B11" s="5">
        <v>3923</v>
      </c>
      <c r="C11" s="4">
        <v>913</v>
      </c>
      <c r="D11" s="4">
        <v>655</v>
      </c>
    </row>
    <row r="12">
      <c r="A12" s="3" t="s">
        <v>340</v>
      </c>
      <c r="B12" s="5">
        <v>3924</v>
      </c>
      <c r="C12" s="4">
        <v>450211</v>
      </c>
      <c r="D12" s="4">
        <v>343840</v>
      </c>
    </row>
    <row r="13">
      <c r="A13" s="11" t="s">
        <v>341</v>
      </c>
      <c r="B13" s="12">
        <v>3930</v>
      </c>
      <c r="C13" s="13">
        <f>+1*SUMIFS($C:$C,$B:$B,"&gt;=3931",$B:$B,"&lt;=3939")</f>
      </c>
      <c r="D13" s="13">
        <f>+1*SUMIFS($D:$D,$B:$B,"&gt;=3931",$B:$B,"&lt;=3939")</f>
      </c>
    </row>
    <row r="14">
      <c r="A14" s="3" t="s">
        <v>342</v>
      </c>
      <c r="B14" s="5">
        <v>3931</v>
      </c>
      <c r="C14" s="4">
        <v>0</v>
      </c>
      <c r="D14" s="4">
        <v>0</v>
      </c>
    </row>
    <row r="15">
      <c r="A15" s="3" t="s">
        <v>343</v>
      </c>
      <c r="B15" s="5">
        <v>3932</v>
      </c>
      <c r="C15" s="4">
        <v>0</v>
      </c>
      <c r="D15" s="4">
        <v>0</v>
      </c>
    </row>
    <row r="16">
      <c r="A16" s="3" t="s">
        <v>344</v>
      </c>
      <c r="B16" s="5">
        <v>3933</v>
      </c>
      <c r="C16" s="4">
        <v>700</v>
      </c>
      <c r="D16" s="4">
        <v>700</v>
      </c>
    </row>
    <row r="17">
      <c r="A17" s="3" t="s">
        <v>345</v>
      </c>
      <c r="B17" s="5">
        <v>3934</v>
      </c>
      <c r="C17" s="4">
        <v>212</v>
      </c>
      <c r="D17" s="4">
        <v>2091</v>
      </c>
    </row>
    <row r="18">
      <c r="A18" s="3" t="s">
        <v>346</v>
      </c>
      <c r="B18" s="5">
        <v>3935</v>
      </c>
      <c r="C18" s="4">
        <v>0</v>
      </c>
      <c r="D18" s="4">
        <v>0</v>
      </c>
    </row>
    <row r="19">
      <c r="A19" s="3" t="s">
        <v>347</v>
      </c>
      <c r="B19" s="5">
        <v>3936</v>
      </c>
      <c r="C19" s="4">
        <v>2465</v>
      </c>
      <c r="D19" s="4">
        <v>1937</v>
      </c>
    </row>
    <row r="20">
      <c r="A20" s="11" t="s">
        <v>348</v>
      </c>
      <c r="B20" s="12">
        <v>3940</v>
      </c>
      <c r="C20" s="13">
        <f>+1*SUMIFS($C:$C,$B:$B,"&gt;=3941",$B:$B,"&lt;=3949")</f>
      </c>
      <c r="D20" s="13">
        <f>+1*SUMIFS($D:$D,$B:$B,"&gt;=3941",$B:$B,"&lt;=3949")</f>
      </c>
    </row>
    <row r="21">
      <c r="A21" s="3" t="s">
        <v>349</v>
      </c>
      <c r="B21" s="5">
        <v>3941</v>
      </c>
      <c r="C21" s="4">
        <v>0</v>
      </c>
      <c r="D21" s="4">
        <v>527</v>
      </c>
    </row>
    <row r="22">
      <c r="A22" s="3" t="s">
        <v>350</v>
      </c>
      <c r="B22" s="5">
        <v>3942</v>
      </c>
      <c r="C22" s="4">
        <v>0</v>
      </c>
      <c r="D22" s="4">
        <v>0</v>
      </c>
    </row>
    <row r="23">
      <c r="A23" s="3" t="s">
        <v>351</v>
      </c>
      <c r="B23" s="5">
        <v>3943</v>
      </c>
      <c r="C23" s="4">
        <v>0</v>
      </c>
      <c r="D23" s="4">
        <v>0</v>
      </c>
    </row>
    <row r="24">
      <c r="A24" s="3" t="s">
        <v>352</v>
      </c>
      <c r="B24" s="5">
        <v>3944</v>
      </c>
      <c r="C24" s="4">
        <v>0</v>
      </c>
      <c r="D24" s="4">
        <v>545</v>
      </c>
    </row>
    <row r="25">
      <c r="A25" s="3" t="s">
        <v>353</v>
      </c>
      <c r="B25" s="5">
        <v>3945</v>
      </c>
      <c r="C25" s="4">
        <v>0</v>
      </c>
      <c r="D25" s="4">
        <v>0</v>
      </c>
    </row>
    <row r="26">
      <c r="A26" s="3" t="s">
        <v>354</v>
      </c>
      <c r="B26" s="5">
        <v>3946</v>
      </c>
      <c r="C26" s="4">
        <v>5205</v>
      </c>
      <c r="D26" s="4">
        <v>6950</v>
      </c>
    </row>
    <row r="27">
      <c r="A27" s="3" t="s">
        <v>355</v>
      </c>
      <c r="B27" s="5">
        <v>3950</v>
      </c>
      <c r="C27" s="4">
        <v>0</v>
      </c>
      <c r="D27" s="4">
        <v>0</v>
      </c>
    </row>
    <row r="28">
      <c r="A28" s="3"/>
      <c r="C28" s="4">
        <v>0</v>
      </c>
      <c r="D28" s="4">
        <v>0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9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44</v>
      </c>
      <c r="B3" s="5">
        <v>401</v>
      </c>
      <c r="C3" s="4">
        <v>231344</v>
      </c>
      <c r="D3" s="4">
        <v>0</v>
      </c>
      <c r="E3" s="4">
        <v>0</v>
      </c>
      <c r="F3" s="4">
        <v>0</v>
      </c>
      <c r="G3" s="4">
        <f>$C3+$D3-$E3-$F3</f>
      </c>
      <c r="M3" s="4">
        <v>231344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45</v>
      </c>
      <c r="B4" s="5">
        <v>402</v>
      </c>
      <c r="C4" s="4">
        <v>272396</v>
      </c>
      <c r="D4" s="4">
        <v>0</v>
      </c>
      <c r="E4" s="4">
        <v>0</v>
      </c>
      <c r="F4" s="4">
        <v>0</v>
      </c>
      <c r="G4" s="4">
        <f>$C4+$D4-$E4-$F4</f>
      </c>
      <c r="M4" s="4">
        <v>272396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46</v>
      </c>
      <c r="B5" s="5">
        <v>403</v>
      </c>
      <c r="C5" s="4">
        <v>1619180</v>
      </c>
      <c r="D5" s="4">
        <v>110395</v>
      </c>
      <c r="E5" s="4">
        <v>0</v>
      </c>
      <c r="F5" s="4">
        <v>0</v>
      </c>
      <c r="G5" s="4">
        <f>$C5+$D5-$E5-$F5</f>
      </c>
      <c r="M5" s="4">
        <v>1607555</v>
      </c>
      <c r="N5" s="4">
        <v>11625</v>
      </c>
      <c r="O5" s="4">
        <v>0</v>
      </c>
      <c r="P5" s="4">
        <v>0</v>
      </c>
      <c r="Q5" s="4">
        <f>$M5+$N5-$O5-$P5</f>
      </c>
    </row>
    <row r="6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49</v>
      </c>
      <c r="B8" s="5">
        <v>406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50</v>
      </c>
      <c r="B9" s="5">
        <v>407</v>
      </c>
      <c r="C9" s="4">
        <v>107731</v>
      </c>
      <c r="D9" s="4">
        <v>2664</v>
      </c>
      <c r="E9" s="4">
        <v>0</v>
      </c>
      <c r="F9" s="4">
        <v>110395</v>
      </c>
      <c r="G9" s="4">
        <f>$C9+$D9-$E9-$F9</f>
      </c>
      <c r="M9" s="4">
        <v>2928</v>
      </c>
      <c r="N9" s="4">
        <v>116428</v>
      </c>
      <c r="O9" s="4">
        <v>0</v>
      </c>
      <c r="P9" s="4">
        <v>11625</v>
      </c>
      <c r="Q9" s="4">
        <f>$M9+$N9-$O9-$P9</f>
      </c>
    </row>
    <row r="10">
      <c r="A10" s="3" t="s">
        <v>51</v>
      </c>
      <c r="B10" s="5">
        <v>408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6" t="s">
        <v>53</v>
      </c>
      <c r="B12" s="7">
        <v>410</v>
      </c>
      <c r="C12" s="10">
        <f>+1*SUMIFS($C:$C,$B:$B,"&gt;=401",$B:$B,"&lt;=409")</f>
      </c>
      <c r="D12" s="10">
        <f>+1*SUMIFS($D:$D,$B:$B,"&gt;=401",$B:$B,"&lt;=409")</f>
      </c>
      <c r="E12" s="10">
        <f>+1*SUMIFS($E:$E,$B:$B,"&gt;=401",$B:$B,"&lt;=409")</f>
      </c>
      <c r="F12" s="10">
        <f>+1*SUMIFS($F:$F,$B:$B,"&gt;=401",$B:$B,"&lt;=409")</f>
      </c>
      <c r="G12" s="10">
        <f>$C12+$D12-$E12-$F12</f>
      </c>
      <c r="M12" s="10">
        <f>+1*SUMIFS($M:$M,$B:$B,"&gt;=401",$B:$B,"&lt;=409")</f>
      </c>
      <c r="N12" s="10">
        <f>+1*SUMIFS($N:$N,$B:$B,"&gt;=401",$B:$B,"&lt;=409")</f>
      </c>
      <c r="O12" s="10">
        <f>+1*SUMIFS($O:$O,$B:$B,"&gt;=401",$B:$B,"&lt;=409")</f>
      </c>
      <c r="P12" s="10">
        <f>+1*SUMIFS($P:$P,$B:$B,"&gt;=401",$B:$B,"&lt;=409")</f>
      </c>
      <c r="Q12" s="10">
        <f>$M12+$N12-$O12-$P12</f>
      </c>
    </row>
    <row r="13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56</v>
      </c>
      <c r="B16" s="5">
        <v>412</v>
      </c>
      <c r="C16" s="4">
        <v>223752</v>
      </c>
      <c r="D16" s="4">
        <v>3234</v>
      </c>
      <c r="E16" s="4">
        <v>0</v>
      </c>
      <c r="F16" s="4">
        <v>0</v>
      </c>
      <c r="G16" s="4">
        <f>$C16+$D16-$E16-$F16</f>
      </c>
      <c r="M16" s="4">
        <v>219830</v>
      </c>
      <c r="N16" s="4">
        <v>3922</v>
      </c>
      <c r="O16" s="4">
        <v>0</v>
      </c>
      <c r="P16" s="4">
        <v>0</v>
      </c>
      <c r="Q16" s="4">
        <f>$M16+$N16-$O16-$P16</f>
      </c>
    </row>
    <row r="17">
      <c r="A17" s="3" t="s">
        <v>57</v>
      </c>
      <c r="B17" s="5">
        <v>413</v>
      </c>
      <c r="C17" s="4">
        <v>1278607</v>
      </c>
      <c r="D17" s="4">
        <v>41992</v>
      </c>
      <c r="E17" s="4">
        <v>0</v>
      </c>
      <c r="F17" s="4">
        <v>0</v>
      </c>
      <c r="G17" s="4">
        <f>$C17+$D17-$E17-$F17</f>
      </c>
      <c r="M17" s="4">
        <v>1257191</v>
      </c>
      <c r="N17" s="4">
        <v>21416</v>
      </c>
      <c r="O17" s="4">
        <v>0</v>
      </c>
      <c r="P17" s="4">
        <v>0</v>
      </c>
      <c r="Q17" s="4">
        <f>$M17+$N17-$O17-$P17</f>
      </c>
    </row>
    <row r="18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60</v>
      </c>
      <c r="B20" s="5">
        <v>416</v>
      </c>
      <c r="C20" s="4">
        <v>0</v>
      </c>
      <c r="D20" s="4">
        <v>0</v>
      </c>
      <c r="E20" s="4">
        <v>0</v>
      </c>
      <c r="F20" s="4">
        <v>0</v>
      </c>
      <c r="G20" s="4">
        <f>$C20+$D20-$E20-$F20</f>
      </c>
      <c r="M20" s="4">
        <v>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6" t="s">
        <v>64</v>
      </c>
      <c r="B24" s="7">
        <v>420</v>
      </c>
      <c r="C24" s="10">
        <f>+1*SUMIFS($C:$C,$B:$B,"&gt;=411",$B:$B,"&lt;=419")</f>
      </c>
      <c r="D24" s="10">
        <f>+1*SUMIFS($D:$D,$B:$B,"&gt;=411",$B:$B,"&lt;=419")</f>
      </c>
      <c r="E24" s="10">
        <f>+1*SUMIFS($E:$E,$B:$B,"&gt;=411",$B:$B,"&lt;=419")</f>
      </c>
      <c r="F24" s="10">
        <f>+1*SUMIFS($F:$F,$B:$B,"&gt;=411",$B:$B,"&lt;=419")</f>
      </c>
      <c r="G24" s="10">
        <f>$C24+$D24-$E24-$F24</f>
      </c>
      <c r="M24" s="10">
        <f>+1*SUMIFS($M:$M,$B:$B,"&gt;=411",$B:$B,"&lt;=419")</f>
      </c>
      <c r="N24" s="10">
        <f>+1*SUMIFS($N:$N,$B:$B,"&gt;=411",$B:$B,"&lt;=419")</f>
      </c>
      <c r="O24" s="10">
        <f>+1*SUMIFS($O:$O,$B:$B,"&gt;=411",$B:$B,"&lt;=419")</f>
      </c>
      <c r="P24" s="10">
        <f>+1*SUMIFS($P:$P,$B:$B,"&gt;=411",$B:$B,"&lt;=419")</f>
      </c>
      <c r="Q24" s="10">
        <f>$M24+$N24-$O24-$P24</f>
      </c>
    </row>
    <row r="25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>$C30+$D30-$E30-$F30</f>
      </c>
      <c r="M30" s="4">
        <v>0</v>
      </c>
      <c r="N30" s="4">
        <v>0</v>
      </c>
      <c r="O30" s="4">
        <v>0</v>
      </c>
      <c r="P30" s="4">
        <v>0</v>
      </c>
      <c r="Q30" s="4">
        <f>$M30+$N30-$O30-$P30</f>
      </c>
    </row>
    <row r="31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>$C31+$D31-$E31-$F31</f>
      </c>
      <c r="M31" s="4">
        <v>0</v>
      </c>
      <c r="N31" s="4">
        <v>0</v>
      </c>
      <c r="O31" s="4">
        <v>0</v>
      </c>
      <c r="P31" s="4">
        <v>0</v>
      </c>
      <c r="Q31" s="4">
        <f>$M31+$N31-$O31-$P31</f>
      </c>
    </row>
    <row r="32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>$C32+$D32-$E32-$F32</f>
      </c>
      <c r="M32" s="4">
        <v>0</v>
      </c>
      <c r="N32" s="4">
        <v>0</v>
      </c>
      <c r="O32" s="4">
        <v>0</v>
      </c>
      <c r="P32" s="4">
        <v>0</v>
      </c>
      <c r="Q32" s="4">
        <f>$M32+$N32-$O32-$P32</f>
      </c>
    </row>
    <row r="33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>$C33+$D33-$E33-$F33</f>
      </c>
      <c r="M33" s="4">
        <v>0</v>
      </c>
      <c r="N33" s="4">
        <v>0</v>
      </c>
      <c r="O33" s="4">
        <v>0</v>
      </c>
      <c r="P33" s="4">
        <v>0</v>
      </c>
      <c r="Q33" s="4">
        <f>$M33+$N33-$O33-$P33</f>
      </c>
    </row>
    <row r="34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>$C34+$D34-$E34-$F34</f>
      </c>
      <c r="M34" s="4">
        <v>0</v>
      </c>
      <c r="N34" s="4">
        <v>0</v>
      </c>
      <c r="O34" s="4">
        <v>0</v>
      </c>
      <c r="P34" s="4">
        <v>0</v>
      </c>
      <c r="Q34" s="4">
        <f>$M34+$N34-$O34-$P34</f>
      </c>
    </row>
    <row r="35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>$C35+$D35-$E35-$F35</f>
      </c>
      <c r="M35" s="4">
        <v>0</v>
      </c>
      <c r="N35" s="4">
        <v>0</v>
      </c>
      <c r="O35" s="4">
        <v>0</v>
      </c>
      <c r="P35" s="4">
        <v>0</v>
      </c>
      <c r="Q35" s="4">
        <f>$M35+$N35-$O35-$P35</f>
      </c>
    </row>
    <row r="36">
      <c r="A36" s="6" t="s">
        <v>75</v>
      </c>
      <c r="B36" s="7">
        <v>430</v>
      </c>
      <c r="C36" s="10">
        <f>+1*SUMIFS($C:$C,$B:$B,"&gt;=421",$B:$B,"&lt;=429")</f>
      </c>
      <c r="D36" s="10">
        <f>+1*SUMIFS($D:$D,$B:$B,"&gt;=421",$B:$B,"&lt;=429")</f>
      </c>
      <c r="E36" s="10">
        <f>+1*SUMIFS($E:$E,$B:$B,"&gt;=421",$B:$B,"&lt;=429")</f>
      </c>
      <c r="F36" s="10">
        <f>+1*SUMIFS($F:$F,$B:$B,"&gt;=421",$B:$B,"&lt;=429")</f>
      </c>
      <c r="G36" s="10">
        <f>$C36+$D36-$E36-$F36</f>
      </c>
      <c r="M36" s="10">
        <f>+1*SUMIFS($M:$M,$B:$B,"&gt;=421",$B:$B,"&lt;=429")</f>
      </c>
      <c r="N36" s="10">
        <f>+1*SUMIFS($N:$N,$B:$B,"&gt;=421",$B:$B,"&lt;=429")</f>
      </c>
      <c r="O36" s="10">
        <f>+1*SUMIFS($O:$O,$B:$B,"&gt;=421",$B:$B,"&lt;=429")</f>
      </c>
      <c r="P36" s="10">
        <f>+1*SUMIFS($P:$P,$B:$B,"&gt;=421",$B:$B,"&lt;=429")</f>
      </c>
      <c r="Q36" s="10">
        <f>$M36+$N36-$O36-$P36</f>
      </c>
    </row>
    <row r="37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>
      <c r="A39" s="11" t="s">
        <v>76</v>
      </c>
      <c r="B39" s="12">
        <v>431</v>
      </c>
      <c r="C39" s="20">
        <f>+1*SUMIFS($C:$C,$B:$B,"&gt;=401",$B:$B,"&lt;=401")-1*SUMIFS($C:$C,$B:$B,"&gt;=411",$B:$B,"&lt;=411")-1*SUMIFS($C:$C,$B:$B,"&gt;=421",$B:$B,"&lt;=421")</f>
      </c>
      <c r="D39" s="20">
        <f>+1*SUMIFS($D:$D,$B:$B,"&gt;=401",$B:$B,"&lt;=401")-1*SUMIFS($D:$D,$B:$B,"&gt;=411",$B:$B,"&lt;=411")-1*SUMIFS($D:$D,$B:$B,"&gt;=421",$B:$B,"&lt;=421")</f>
      </c>
      <c r="E39" s="20">
        <f>+1*SUMIFS($E:$E,$B:$B,"&gt;=401",$B:$B,"&lt;=401")-1*SUMIFS($E:$E,$B:$B,"&gt;=411",$B:$B,"&lt;=411")-1*SUMIFS($E:$E,$B:$B,"&gt;=421",$B:$B,"&lt;=421")</f>
      </c>
      <c r="F39" s="20">
        <f>+1*SUMIFS($F:$F,$B:$B,"&gt;=401",$B:$B,"&lt;=401")-1*SUMIFS($F:$F,$B:$B,"&gt;=411",$B:$B,"&lt;=411")-1*SUMIFS($F:$F,$B:$B,"&gt;=421",$B:$B,"&lt;=421")</f>
      </c>
      <c r="G39" s="20">
        <f>$C39+$D39-$E39-$F39</f>
      </c>
      <c r="M39" s="20">
        <f>+1*SUMIFS($M:$M,$B:$B,"&gt;=401",$B:$B,"&lt;=401")-1*SUMIFS($M:$M,$B:$B,"&gt;=411",$B:$B,"&lt;=411")-1*SUMIFS($M:$M,$B:$B,"&gt;=421",$B:$B,"&lt;=421")</f>
      </c>
      <c r="N39" s="20">
        <f>+1*SUMIFS($N:$N,$B:$B,"&gt;=401",$B:$B,"&lt;=401")-1*SUMIFS($N:$N,$B:$B,"&gt;=411",$B:$B,"&lt;=411")-1*SUMIFS($N:$N,$B:$B,"&gt;=421",$B:$B,"&lt;=421")</f>
      </c>
      <c r="O39" s="20">
        <f>+1*SUMIFS($O:$O,$B:$B,"&gt;=401",$B:$B,"&lt;=401")-1*SUMIFS($O:$O,$B:$B,"&gt;=411",$B:$B,"&lt;=411")-1*SUMIFS($O:$O,$B:$B,"&gt;=421",$B:$B,"&lt;=421")</f>
      </c>
      <c r="P39" s="20">
        <f>+1*SUMIFS($P:$P,$B:$B,"&gt;=401",$B:$B,"&lt;=401")-1*SUMIFS($P:$P,$B:$B,"&gt;=411",$B:$B,"&lt;=411")-1*SUMIFS($P:$P,$B:$B,"&gt;=421",$B:$B,"&lt;=421")</f>
      </c>
      <c r="Q39" s="20">
        <f>$M39+$N39-$O39-$P39</f>
      </c>
    </row>
    <row r="40">
      <c r="A40" s="11" t="s">
        <v>77</v>
      </c>
      <c r="B40" s="12">
        <v>432</v>
      </c>
      <c r="C40" s="21">
        <f>+1*SUMIFS($C:$C,$B:$B,"&gt;=402",$B:$B,"&lt;=402")-1*SUMIFS($C:$C,$B:$B,"&gt;=412",$B:$B,"&lt;=412")-1*SUMIFS($C:$C,$B:$B,"&gt;=422",$B:$B,"&lt;=422")</f>
      </c>
      <c r="D40" s="21">
        <f>+1*SUMIFS($D:$D,$B:$B,"&gt;=402",$B:$B,"&lt;=402")-1*SUMIFS($D:$D,$B:$B,"&gt;=412",$B:$B,"&lt;=412")-1*SUMIFS($D:$D,$B:$B,"&gt;=422",$B:$B,"&lt;=422")</f>
      </c>
      <c r="E40" s="21">
        <f>+1*SUMIFS($E:$E,$B:$B,"&gt;=402",$B:$B,"&lt;=402")-1*SUMIFS($E:$E,$B:$B,"&gt;=412",$B:$B,"&lt;=412")-1*SUMIFS($E:$E,$B:$B,"&gt;=422",$B:$B,"&lt;=422")</f>
      </c>
      <c r="F40" s="21">
        <f>+1*SUMIFS($F:$F,$B:$B,"&gt;=402",$B:$B,"&lt;=402")-1*SUMIFS($F:$F,$B:$B,"&gt;=412",$B:$B,"&lt;=412")-1*SUMIFS($F:$F,$B:$B,"&gt;=422",$B:$B,"&lt;=422")</f>
      </c>
      <c r="G40" s="21">
        <f>$C40+$D40-$E40-$F40</f>
      </c>
      <c r="M40" s="21">
        <f>+1*SUMIFS($M:$M,$B:$B,"&gt;=402",$B:$B,"&lt;=402")-1*SUMIFS($M:$M,$B:$B,"&gt;=412",$B:$B,"&lt;=412")-1*SUMIFS($M:$M,$B:$B,"&gt;=422",$B:$B,"&lt;=422")</f>
      </c>
      <c r="N40" s="21">
        <f>+1*SUMIFS($N:$N,$B:$B,"&gt;=402",$B:$B,"&lt;=402")-1*SUMIFS($N:$N,$B:$B,"&gt;=412",$B:$B,"&lt;=412")-1*SUMIFS($N:$N,$B:$B,"&gt;=422",$B:$B,"&lt;=422")</f>
      </c>
      <c r="O40" s="21">
        <f>+1*SUMIFS($O:$O,$B:$B,"&gt;=402",$B:$B,"&lt;=402")-1*SUMIFS($O:$O,$B:$B,"&gt;=412",$B:$B,"&lt;=412")-1*SUMIFS($O:$O,$B:$B,"&gt;=422",$B:$B,"&lt;=422")</f>
      </c>
      <c r="P40" s="21">
        <f>+1*SUMIFS($P:$P,$B:$B,"&gt;=402",$B:$B,"&lt;=402")-1*SUMIFS($P:$P,$B:$B,"&gt;=412",$B:$B,"&lt;=412")-1*SUMIFS($P:$P,$B:$B,"&gt;=422",$B:$B,"&lt;=422")</f>
      </c>
      <c r="Q40" s="21">
        <f>$M40+$N40-$O40-$P40</f>
      </c>
    </row>
    <row r="41">
      <c r="A41" s="11" t="s">
        <v>78</v>
      </c>
      <c r="B41" s="12">
        <v>433</v>
      </c>
      <c r="C41" s="22">
        <f>+1*SUMIFS($C:$C,$B:$B,"&gt;=403",$B:$B,"&lt;=403")-1*SUMIFS($C:$C,$B:$B,"&gt;=413",$B:$B,"&lt;=413")-1*SUMIFS($C:$C,$B:$B,"&gt;=423",$B:$B,"&lt;=423")</f>
      </c>
      <c r="D41" s="22">
        <f>+1*SUMIFS($D:$D,$B:$B,"&gt;=403",$B:$B,"&lt;=403")-1*SUMIFS($D:$D,$B:$B,"&gt;=413",$B:$B,"&lt;=413")-1*SUMIFS($D:$D,$B:$B,"&gt;=423",$B:$B,"&lt;=423")</f>
      </c>
      <c r="E41" s="22">
        <f>+1*SUMIFS($E:$E,$B:$B,"&gt;=403",$B:$B,"&lt;=403")-1*SUMIFS($E:$E,$B:$B,"&gt;=413",$B:$B,"&lt;=413")-1*SUMIFS($E:$E,$B:$B,"&gt;=423",$B:$B,"&lt;=423")</f>
      </c>
      <c r="F41" s="22">
        <f>+1*SUMIFS($F:$F,$B:$B,"&gt;=403",$B:$B,"&lt;=403")-1*SUMIFS($F:$F,$B:$B,"&gt;=413",$B:$B,"&lt;=413")-1*SUMIFS($F:$F,$B:$B,"&gt;=423",$B:$B,"&lt;=423")</f>
      </c>
      <c r="G41" s="22">
        <f>$C41+$D41-$E41-$F41</f>
      </c>
      <c r="M41" s="22">
        <f>+1*SUMIFS($M:$M,$B:$B,"&gt;=403",$B:$B,"&lt;=403")-1*SUMIFS($M:$M,$B:$B,"&gt;=413",$B:$B,"&lt;=413")-1*SUMIFS($M:$M,$B:$B,"&gt;=423",$B:$B,"&lt;=423")</f>
      </c>
      <c r="N41" s="22">
        <f>+1*SUMIFS($N:$N,$B:$B,"&gt;=403",$B:$B,"&lt;=403")-1*SUMIFS($N:$N,$B:$B,"&gt;=413",$B:$B,"&lt;=413")-1*SUMIFS($N:$N,$B:$B,"&gt;=423",$B:$B,"&lt;=423")</f>
      </c>
      <c r="O41" s="22">
        <f>+1*SUMIFS($O:$O,$B:$B,"&gt;=403",$B:$B,"&lt;=403")-1*SUMIFS($O:$O,$B:$B,"&gt;=413",$B:$B,"&lt;=413")-1*SUMIFS($O:$O,$B:$B,"&gt;=423",$B:$B,"&lt;=423")</f>
      </c>
      <c r="P41" s="22">
        <f>+1*SUMIFS($P:$P,$B:$B,"&gt;=403",$B:$B,"&lt;=403")-1*SUMIFS($P:$P,$B:$B,"&gt;=413",$B:$B,"&lt;=413")-1*SUMIFS($P:$P,$B:$B,"&gt;=423",$B:$B,"&lt;=423")</f>
      </c>
      <c r="Q41" s="22">
        <f>$M41+$N41-$O41-$P41</f>
      </c>
    </row>
    <row r="42">
      <c r="A42" s="11" t="s">
        <v>79</v>
      </c>
      <c r="B42" s="12">
        <v>434</v>
      </c>
      <c r="C42" s="23">
        <f>+1*SUMIFS($C:$C,$B:$B,"&gt;=404",$B:$B,"&lt;=404")-1*SUMIFS($C:$C,$B:$B,"&gt;=414",$B:$B,"&lt;=414")-1*SUMIFS($C:$C,$B:$B,"&gt;=424",$B:$B,"&lt;=424")</f>
      </c>
      <c r="D42" s="23">
        <f>+1*SUMIFS($D:$D,$B:$B,"&gt;=404",$B:$B,"&lt;=404")-1*SUMIFS($D:$D,$B:$B,"&gt;=414",$B:$B,"&lt;=414")-1*SUMIFS($D:$D,$B:$B,"&gt;=424",$B:$B,"&lt;=424")</f>
      </c>
      <c r="E42" s="23">
        <f>+1*SUMIFS($E:$E,$B:$B,"&gt;=404",$B:$B,"&lt;=404")-1*SUMIFS($E:$E,$B:$B,"&gt;=414",$B:$B,"&lt;=414")-1*SUMIFS($E:$E,$B:$B,"&gt;=424",$B:$B,"&lt;=424")</f>
      </c>
      <c r="F42" s="23">
        <f>+1*SUMIFS($F:$F,$B:$B,"&gt;=404",$B:$B,"&lt;=404")-1*SUMIFS($F:$F,$B:$B,"&gt;=414",$B:$B,"&lt;=414")-1*SUMIFS($F:$F,$B:$B,"&gt;=424",$B:$B,"&lt;=424")</f>
      </c>
      <c r="G42" s="23">
        <f>$C42+$D42-$E42-$F42</f>
      </c>
      <c r="M42" s="23">
        <f>+1*SUMIFS($M:$M,$B:$B,"&gt;=404",$B:$B,"&lt;=404")-1*SUMIFS($M:$M,$B:$B,"&gt;=414",$B:$B,"&lt;=414")-1*SUMIFS($M:$M,$B:$B,"&gt;=424",$B:$B,"&lt;=424")</f>
      </c>
      <c r="N42" s="23">
        <f>+1*SUMIFS($N:$N,$B:$B,"&gt;=404",$B:$B,"&lt;=404")-1*SUMIFS($N:$N,$B:$B,"&gt;=414",$B:$B,"&lt;=414")-1*SUMIFS($N:$N,$B:$B,"&gt;=424",$B:$B,"&lt;=424")</f>
      </c>
      <c r="O42" s="23">
        <f>+1*SUMIFS($O:$O,$B:$B,"&gt;=404",$B:$B,"&lt;=404")-1*SUMIFS($O:$O,$B:$B,"&gt;=414",$B:$B,"&lt;=414")-1*SUMIFS($O:$O,$B:$B,"&gt;=424",$B:$B,"&lt;=424")</f>
      </c>
      <c r="P42" s="23">
        <f>+1*SUMIFS($P:$P,$B:$B,"&gt;=404",$B:$B,"&lt;=404")-1*SUMIFS($P:$P,$B:$B,"&gt;=414",$B:$B,"&lt;=414")-1*SUMIFS($P:$P,$B:$B,"&gt;=424",$B:$B,"&lt;=424")</f>
      </c>
      <c r="Q42" s="23">
        <f>$M42+$N42-$O42-$P42</f>
      </c>
    </row>
    <row r="43">
      <c r="A43" s="11" t="s">
        <v>80</v>
      </c>
      <c r="B43" s="12">
        <v>435</v>
      </c>
      <c r="C43" s="24">
        <f>+1*SUMIFS($C:$C,$B:$B,"&gt;=405",$B:$B,"&lt;=405")-1*SUMIFS($C:$C,$B:$B,"&gt;=415",$B:$B,"&lt;=415")-1*SUMIFS($C:$C,$B:$B,"&gt;=425",$B:$B,"&lt;=425")</f>
      </c>
      <c r="D43" s="24">
        <f>+1*SUMIFS($D:$D,$B:$B,"&gt;=405",$B:$B,"&lt;=405")-1*SUMIFS($D:$D,$B:$B,"&gt;=415",$B:$B,"&lt;=415")-1*SUMIFS($D:$D,$B:$B,"&gt;=425",$B:$B,"&lt;=425")</f>
      </c>
      <c r="E43" s="24">
        <f>+1*SUMIFS($E:$E,$B:$B,"&gt;=405",$B:$B,"&lt;=405")-1*SUMIFS($E:$E,$B:$B,"&gt;=415",$B:$B,"&lt;=415")-1*SUMIFS($E:$E,$B:$B,"&gt;=425",$B:$B,"&lt;=425")</f>
      </c>
      <c r="F43" s="24">
        <f>+1*SUMIFS($F:$F,$B:$B,"&gt;=405",$B:$B,"&lt;=405")-1*SUMIFS($F:$F,$B:$B,"&gt;=415",$B:$B,"&lt;=415")-1*SUMIFS($F:$F,$B:$B,"&gt;=425",$B:$B,"&lt;=425")</f>
      </c>
      <c r="G43" s="24">
        <f>$C43+$D43-$E43-$F43</f>
      </c>
      <c r="M43" s="24">
        <f>+1*SUMIFS($M:$M,$B:$B,"&gt;=405",$B:$B,"&lt;=405")-1*SUMIFS($M:$M,$B:$B,"&gt;=415",$B:$B,"&lt;=415")-1*SUMIFS($M:$M,$B:$B,"&gt;=425",$B:$B,"&lt;=425")</f>
      </c>
      <c r="N43" s="24">
        <f>+1*SUMIFS($N:$N,$B:$B,"&gt;=405",$B:$B,"&lt;=405")-1*SUMIFS($N:$N,$B:$B,"&gt;=415",$B:$B,"&lt;=415")-1*SUMIFS($N:$N,$B:$B,"&gt;=425",$B:$B,"&lt;=425")</f>
      </c>
      <c r="O43" s="24">
        <f>+1*SUMIFS($O:$O,$B:$B,"&gt;=405",$B:$B,"&lt;=405")-1*SUMIFS($O:$O,$B:$B,"&gt;=415",$B:$B,"&lt;=415")-1*SUMIFS($O:$O,$B:$B,"&gt;=425",$B:$B,"&lt;=425")</f>
      </c>
      <c r="P43" s="24">
        <f>+1*SUMIFS($P:$P,$B:$B,"&gt;=405",$B:$B,"&lt;=405")-1*SUMIFS($P:$P,$B:$B,"&gt;=415",$B:$B,"&lt;=415")-1*SUMIFS($P:$P,$B:$B,"&gt;=425",$B:$B,"&lt;=425")</f>
      </c>
      <c r="Q43" s="24">
        <f>$M43+$N43-$O43-$P43</f>
      </c>
    </row>
    <row r="44">
      <c r="A44" s="11" t="s">
        <v>81</v>
      </c>
      <c r="B44" s="12">
        <v>436</v>
      </c>
      <c r="C44" s="25">
        <f>+1*SUMIFS($C:$C,$B:$B,"&gt;=406",$B:$B,"&lt;=406")-1*SUMIFS($C:$C,$B:$B,"&gt;=416",$B:$B,"&lt;=416")-1*SUMIFS($C:$C,$B:$B,"&gt;=426",$B:$B,"&lt;=426")</f>
      </c>
      <c r="D44" s="25">
        <f>+1*SUMIFS($D:$D,$B:$B,"&gt;=406",$B:$B,"&lt;=406")-1*SUMIFS($D:$D,$B:$B,"&gt;=416",$B:$B,"&lt;=416")-1*SUMIFS($D:$D,$B:$B,"&gt;=426",$B:$B,"&lt;=426")</f>
      </c>
      <c r="E44" s="25">
        <f>+1*SUMIFS($E:$E,$B:$B,"&gt;=406",$B:$B,"&lt;=406")-1*SUMIFS($E:$E,$B:$B,"&gt;=416",$B:$B,"&lt;=416")-1*SUMIFS($E:$E,$B:$B,"&gt;=426",$B:$B,"&lt;=426")</f>
      </c>
      <c r="F44" s="25">
        <f>+1*SUMIFS($F:$F,$B:$B,"&gt;=406",$B:$B,"&lt;=406")-1*SUMIFS($F:$F,$B:$B,"&gt;=416",$B:$B,"&lt;=416")-1*SUMIFS($F:$F,$B:$B,"&gt;=426",$B:$B,"&lt;=426")</f>
      </c>
      <c r="G44" s="25">
        <f>$C44+$D44-$E44-$F44</f>
      </c>
      <c r="M44" s="25">
        <f>+1*SUMIFS($M:$M,$B:$B,"&gt;=406",$B:$B,"&lt;=406")-1*SUMIFS($M:$M,$B:$B,"&gt;=416",$B:$B,"&lt;=416")-1*SUMIFS($M:$M,$B:$B,"&gt;=426",$B:$B,"&lt;=426")</f>
      </c>
      <c r="N44" s="25">
        <f>+1*SUMIFS($N:$N,$B:$B,"&gt;=406",$B:$B,"&lt;=406")-1*SUMIFS($N:$N,$B:$B,"&gt;=416",$B:$B,"&lt;=416")-1*SUMIFS($N:$N,$B:$B,"&gt;=426",$B:$B,"&lt;=426")</f>
      </c>
      <c r="O44" s="25">
        <f>+1*SUMIFS($O:$O,$B:$B,"&gt;=406",$B:$B,"&lt;=406")-1*SUMIFS($O:$O,$B:$B,"&gt;=416",$B:$B,"&lt;=416")-1*SUMIFS($O:$O,$B:$B,"&gt;=426",$B:$B,"&lt;=426")</f>
      </c>
      <c r="P44" s="25">
        <f>+1*SUMIFS($P:$P,$B:$B,"&gt;=406",$B:$B,"&lt;=406")-1*SUMIFS($P:$P,$B:$B,"&gt;=416",$B:$B,"&lt;=416")-1*SUMIFS($P:$P,$B:$B,"&gt;=426",$B:$B,"&lt;=426")</f>
      </c>
      <c r="Q44" s="25">
        <f>$M44+$N44-$O44-$P44</f>
      </c>
    </row>
    <row r="45">
      <c r="A45" s="11" t="s">
        <v>82</v>
      </c>
      <c r="B45" s="12">
        <v>437</v>
      </c>
      <c r="C45" s="13">
        <f>+1*SUMIFS($C:$C,$B:$B,"&gt;=407",$B:$B,"&lt;=407")-1*SUMIFS($C:$C,$B:$B,"&gt;=417",$B:$B,"&lt;=417")-1*SUMIFS($C:$C,$B:$B,"&gt;=427",$B:$B,"&lt;=427")</f>
      </c>
      <c r="D45" s="13">
        <f>+1*SUMIFS($D:$D,$B:$B,"&gt;=407",$B:$B,"&lt;=407")-1*SUMIFS($D:$D,$B:$B,"&gt;=417",$B:$B,"&lt;=417")-1*SUMIFS($D:$D,$B:$B,"&gt;=427",$B:$B,"&lt;=427")</f>
      </c>
      <c r="E45" s="13">
        <f>+1*SUMIFS($E:$E,$B:$B,"&gt;=407",$B:$B,"&lt;=407")-1*SUMIFS($E:$E,$B:$B,"&gt;=417",$B:$B,"&lt;=417")-1*SUMIFS($E:$E,$B:$B,"&gt;=427",$B:$B,"&lt;=427")</f>
      </c>
      <c r="F45" s="13">
        <f>+1*SUMIFS($F:$F,$B:$B,"&gt;=407",$B:$B,"&lt;=407")-1*SUMIFS($F:$F,$B:$B,"&gt;=417",$B:$B,"&lt;=417")-1*SUMIFS($F:$F,$B:$B,"&gt;=427",$B:$B,"&lt;=427")</f>
      </c>
      <c r="G45" s="13">
        <f>$C45+$D45-$E45-$F45</f>
      </c>
      <c r="M45" s="13">
        <f>+1*SUMIFS($M:$M,$B:$B,"&gt;=407",$B:$B,"&lt;=407")-1*SUMIFS($M:$M,$B:$B,"&gt;=417",$B:$B,"&lt;=417")-1*SUMIFS($M:$M,$B:$B,"&gt;=427",$B:$B,"&lt;=427")</f>
      </c>
      <c r="N45" s="13">
        <f>+1*SUMIFS($N:$N,$B:$B,"&gt;=407",$B:$B,"&lt;=407")-1*SUMIFS($N:$N,$B:$B,"&gt;=417",$B:$B,"&lt;=417")-1*SUMIFS($N:$N,$B:$B,"&gt;=427",$B:$B,"&lt;=427")</f>
      </c>
      <c r="O45" s="13">
        <f>+1*SUMIFS($O:$O,$B:$B,"&gt;=407",$B:$B,"&lt;=407")-1*SUMIFS($O:$O,$B:$B,"&gt;=417",$B:$B,"&lt;=417")-1*SUMIFS($O:$O,$B:$B,"&gt;=427",$B:$B,"&lt;=427")</f>
      </c>
      <c r="P45" s="13">
        <f>+1*SUMIFS($P:$P,$B:$B,"&gt;=407",$B:$B,"&lt;=407")-1*SUMIFS($P:$P,$B:$B,"&gt;=417",$B:$B,"&lt;=417")-1*SUMIFS($P:$P,$B:$B,"&gt;=427",$B:$B,"&lt;=427")</f>
      </c>
      <c r="Q45" s="13">
        <f>$M45+$N45-$O45-$P45</f>
      </c>
    </row>
    <row r="46">
      <c r="A46" s="11" t="s">
        <v>83</v>
      </c>
      <c r="B46" s="12">
        <v>438</v>
      </c>
      <c r="C46" s="13">
        <f>+1*SUMIFS($C:$C,$B:$B,"&gt;=408",$B:$B,"&lt;=408")-1*SUMIFS($C:$C,$B:$B,"&gt;=418",$B:$B,"&lt;=418")-1*SUMIFS($C:$C,$B:$B,"&gt;=428",$B:$B,"&lt;=428")</f>
      </c>
      <c r="D46" s="13">
        <f>+1*SUMIFS($D:$D,$B:$B,"&gt;=408",$B:$B,"&lt;=408")-1*SUMIFS($D:$D,$B:$B,"&gt;=418",$B:$B,"&lt;=418")-1*SUMIFS($D:$D,$B:$B,"&gt;=428",$B:$B,"&lt;=428")</f>
      </c>
      <c r="E46" s="13">
        <f>+1*SUMIFS($E:$E,$B:$B,"&gt;=408",$B:$B,"&lt;=408")-1*SUMIFS($E:$E,$B:$B,"&gt;=418",$B:$B,"&lt;=418")-1*SUMIFS($E:$E,$B:$B,"&gt;=428",$B:$B,"&lt;=428")</f>
      </c>
      <c r="F46" s="13">
        <f>+1*SUMIFS($F:$F,$B:$B,"&gt;=408",$B:$B,"&lt;=408")-1*SUMIFS($F:$F,$B:$B,"&gt;=418",$B:$B,"&lt;=418")-1*SUMIFS($F:$F,$B:$B,"&gt;=428",$B:$B,"&lt;=428")</f>
      </c>
      <c r="G46" s="13">
        <f>$C46+$D46-$E46-$F46</f>
      </c>
      <c r="M46" s="13">
        <f>+1*SUMIFS($M:$M,$B:$B,"&gt;=408",$B:$B,"&lt;=408")-1*SUMIFS($M:$M,$B:$B,"&gt;=418",$B:$B,"&lt;=418")-1*SUMIFS($M:$M,$B:$B,"&gt;=428",$B:$B,"&lt;=428")</f>
      </c>
      <c r="N46" s="13">
        <f>+1*SUMIFS($N:$N,$B:$B,"&gt;=408",$B:$B,"&lt;=408")-1*SUMIFS($N:$N,$B:$B,"&gt;=418",$B:$B,"&lt;=418")-1*SUMIFS($N:$N,$B:$B,"&gt;=428",$B:$B,"&lt;=428")</f>
      </c>
      <c r="O46" s="13">
        <f>+1*SUMIFS($O:$O,$B:$B,"&gt;=408",$B:$B,"&lt;=408")-1*SUMIFS($O:$O,$B:$B,"&gt;=418",$B:$B,"&lt;=418")-1*SUMIFS($O:$O,$B:$B,"&gt;=428",$B:$B,"&lt;=428")</f>
      </c>
      <c r="P46" s="13">
        <f>+1*SUMIFS($P:$P,$B:$B,"&gt;=408",$B:$B,"&lt;=408")-1*SUMIFS($P:$P,$B:$B,"&gt;=418",$B:$B,"&lt;=418")-1*SUMIFS($P:$P,$B:$B,"&gt;=428",$B:$B,"&lt;=428")</f>
      </c>
      <c r="Q46" s="13">
        <f>$M46+$N46-$O46-$P46</f>
      </c>
    </row>
    <row r="47">
      <c r="A47" s="11" t="s">
        <v>84</v>
      </c>
      <c r="B47" s="12">
        <v>439</v>
      </c>
      <c r="C47" s="13">
        <f>+1*SUMIFS($C:$C,$B:$B,"&gt;=409",$B:$B,"&lt;=409")-1*SUMIFS($C:$C,$B:$B,"&gt;=419",$B:$B,"&lt;=419")-1*SUMIFS($C:$C,$B:$B,"&gt;=429",$B:$B,"&lt;=429")</f>
      </c>
      <c r="D47" s="13">
        <f>+1*SUMIFS($D:$D,$B:$B,"&gt;=409",$B:$B,"&lt;=409")-1*SUMIFS($D:$D,$B:$B,"&gt;=419",$B:$B,"&lt;=419")-1*SUMIFS($D:$D,$B:$B,"&gt;=429",$B:$B,"&lt;=429")</f>
      </c>
      <c r="E47" s="13">
        <f>+1*SUMIFS($E:$E,$B:$B,"&gt;=409",$B:$B,"&lt;=409")-1*SUMIFS($E:$E,$B:$B,"&gt;=419",$B:$B,"&lt;=419")-1*SUMIFS($E:$E,$B:$B,"&gt;=429",$B:$B,"&lt;=429")</f>
      </c>
      <c r="F47" s="13">
        <f>+1*SUMIFS($F:$F,$B:$B,"&gt;=409",$B:$B,"&lt;=409")-1*SUMIFS($F:$F,$B:$B,"&gt;=419",$B:$B,"&lt;=419")-1*SUMIFS($F:$F,$B:$B,"&gt;=429",$B:$B,"&lt;=429")</f>
      </c>
      <c r="G47" s="13">
        <f>$C47+$D47-$E47-$F47</f>
      </c>
      <c r="M47" s="13">
        <f>+1*SUMIFS($M:$M,$B:$B,"&gt;=409",$B:$B,"&lt;=409")-1*SUMIFS($M:$M,$B:$B,"&gt;=419",$B:$B,"&lt;=419")-1*SUMIFS($M:$M,$B:$B,"&gt;=429",$B:$B,"&lt;=429")</f>
      </c>
      <c r="N47" s="13">
        <f>+1*SUMIFS($N:$N,$B:$B,"&gt;=409",$B:$B,"&lt;=409")-1*SUMIFS($N:$N,$B:$B,"&gt;=419",$B:$B,"&lt;=419")-1*SUMIFS($N:$N,$B:$B,"&gt;=429",$B:$B,"&lt;=429")</f>
      </c>
      <c r="O47" s="13">
        <f>+1*SUMIFS($O:$O,$B:$B,"&gt;=409",$B:$B,"&lt;=409")-1*SUMIFS($O:$O,$B:$B,"&gt;=419",$B:$B,"&lt;=419")-1*SUMIFS($O:$O,$B:$B,"&gt;=429",$B:$B,"&lt;=429")</f>
      </c>
      <c r="P47" s="13">
        <f>+1*SUMIFS($P:$P,$B:$B,"&gt;=409",$B:$B,"&lt;=409")-1*SUMIFS($P:$P,$B:$B,"&gt;=419",$B:$B,"&lt;=419")-1*SUMIFS($P:$P,$B:$B,"&gt;=429",$B:$B,"&lt;=429")</f>
      </c>
      <c r="Q47" s="13">
        <f>$M47+$N47-$O47-$P47</f>
      </c>
    </row>
    <row r="48">
      <c r="A48" s="6" t="s">
        <v>85</v>
      </c>
      <c r="B48" s="7">
        <v>440</v>
      </c>
      <c r="C48" s="26">
        <f>+1*SUMIFS($C:$C,$B:$B,"&gt;=431",$B:$B,"&lt;=439")</f>
      </c>
      <c r="D48" s="26">
        <f>+1*SUMIFS($D:$D,$B:$B,"&gt;=431",$B:$B,"&lt;=439")</f>
      </c>
      <c r="E48" s="26">
        <f>+1*SUMIFS($E:$E,$B:$B,"&gt;=431",$B:$B,"&lt;=439")</f>
      </c>
      <c r="F48" s="26">
        <f>+1*SUMIFS($F:$F,$B:$B,"&gt;=431",$B:$B,"&lt;=439")</f>
      </c>
      <c r="G48" s="26">
        <f>$C48+$D48-$E48-$F48</f>
      </c>
      <c r="M48" s="26">
        <f>+1*SUMIFS($M:$M,$B:$B,"&gt;=431",$B:$B,"&lt;=439")</f>
      </c>
      <c r="N48" s="26">
        <f>+1*SUMIFS($N:$N,$B:$B,"&gt;=431",$B:$B,"&lt;=439")</f>
      </c>
      <c r="O48" s="26">
        <f>+1*SUMIFS($O:$O,$B:$B,"&gt;=431",$B:$B,"&lt;=439")</f>
      </c>
      <c r="P48" s="26">
        <f>+1*SUMIFS($P:$P,$B:$B,"&gt;=431",$B:$B,"&lt;=439")</f>
      </c>
      <c r="Q48" s="26">
        <f>$M48+$N48-$O48-$P48</f>
      </c>
    </row>
    <row r="49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5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17.55468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361</v>
      </c>
      <c r="B2" s="5">
        <v>4117</v>
      </c>
      <c r="C2" s="4">
        <v>0</v>
      </c>
      <c r="D2" s="4">
        <v>3840</v>
      </c>
      <c r="E2" s="4">
        <v>0</v>
      </c>
      <c r="F2" s="4">
        <v>0</v>
      </c>
      <c r="G2" s="4">
        <v>3839</v>
      </c>
      <c r="H2" s="4">
        <v>0</v>
      </c>
    </row>
    <row r="3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>
      <c r="A4" s="11" t="s">
        <v>363</v>
      </c>
      <c r="B4" s="12">
        <v>4119</v>
      </c>
      <c r="C4" s="13">
        <f>+1*SUMIFS($C:$C,$B:$B,"&gt;=4111",$B:$B,"&lt;=4118")</f>
      </c>
      <c r="D4" s="13">
        <f>+1*SUMIFS($D:$D,$B:$B,"&gt;=4111",$B:$B,"&lt;=4118")</f>
      </c>
      <c r="E4" s="13">
        <f>+1*SUMIFS($E:$E,$B:$B,"&gt;=4111",$B:$B,"&lt;=4118")</f>
      </c>
      <c r="F4" s="13">
        <f>+1*SUMIFS($F:$F,$B:$B,"&gt;=4111",$B:$B,"&lt;=4118")</f>
      </c>
      <c r="G4" s="13">
        <f>+1*SUMIFS($G:$G,$B:$B,"&gt;=4111",$B:$B,"&lt;=4118")</f>
      </c>
      <c r="H4" s="13">
        <f>+1*SUMIFS($H:$H,$B:$B,"&gt;=4111",$B:$B,"&lt;=4118")</f>
      </c>
    </row>
    <row r="5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7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364</v>
      </c>
      <c r="B2" s="5">
        <v>4770</v>
      </c>
      <c r="C2" s="4">
        <v>298746</v>
      </c>
      <c r="D2" s="4">
        <v>0</v>
      </c>
      <c r="E2" s="4">
        <v>0</v>
      </c>
      <c r="F2" s="4">
        <f>$C2+$D2-$E2-$G2</f>
      </c>
      <c r="G2" s="4">
        <v>298746</v>
      </c>
      <c r="M2" s="4">
        <v>298746</v>
      </c>
      <c r="N2" s="4">
        <v>0</v>
      </c>
      <c r="O2" s="4">
        <v>0</v>
      </c>
      <c r="P2" s="4">
        <f>$M2+$N2-$O2-$Q2</f>
      </c>
      <c r="Q2" s="4">
        <v>298746</v>
      </c>
    </row>
    <row r="3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>$C3+$D3-$E3-$G3</f>
      </c>
      <c r="G3" s="4">
        <v>0</v>
      </c>
      <c r="M3" s="4">
        <v>0</v>
      </c>
      <c r="N3" s="4">
        <v>0</v>
      </c>
      <c r="O3" s="4">
        <v>0</v>
      </c>
      <c r="P3" s="4">
        <f>$M3+$N3-$O3-$Q3</f>
      </c>
      <c r="Q3" s="4">
        <v>0</v>
      </c>
    </row>
    <row r="4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>$C4+$D4-$E4-$G4</f>
      </c>
      <c r="G4" s="4">
        <v>0</v>
      </c>
      <c r="M4" s="4">
        <v>0</v>
      </c>
      <c r="N4" s="4">
        <v>0</v>
      </c>
      <c r="O4" s="4">
        <v>0</v>
      </c>
      <c r="P4" s="4">
        <f>$M4+$N4-$O4-$Q4</f>
      </c>
      <c r="Q4" s="4">
        <v>0</v>
      </c>
    </row>
    <row r="5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>$C5+$D5-$E5-$G5</f>
      </c>
      <c r="G5" s="4">
        <v>0</v>
      </c>
      <c r="M5" s="4">
        <v>0</v>
      </c>
      <c r="N5" s="4">
        <v>0</v>
      </c>
      <c r="O5" s="4">
        <v>0</v>
      </c>
      <c r="P5" s="4">
        <f>$M5+$N5-$O5-$Q5</f>
      </c>
      <c r="Q5" s="4">
        <v>0</v>
      </c>
    </row>
    <row r="6">
      <c r="A6" s="3" t="s">
        <v>368</v>
      </c>
      <c r="B6" s="5">
        <v>4775</v>
      </c>
      <c r="C6" s="4">
        <v>1099503</v>
      </c>
      <c r="D6" s="4">
        <v>0</v>
      </c>
      <c r="E6" s="4">
        <v>0</v>
      </c>
      <c r="F6" s="4">
        <f>$C6+$D6-$E6-$G6</f>
      </c>
      <c r="G6" s="4">
        <v>1099503</v>
      </c>
      <c r="M6" s="4">
        <v>1099503</v>
      </c>
      <c r="N6" s="4">
        <v>0</v>
      </c>
      <c r="O6" s="4">
        <v>0</v>
      </c>
      <c r="P6" s="4">
        <f>$M6+$N6-$O6-$Q6</f>
      </c>
      <c r="Q6" s="4">
        <v>1099503</v>
      </c>
    </row>
    <row r="7">
      <c r="A7" s="3" t="s">
        <v>369</v>
      </c>
      <c r="B7" s="5">
        <v>4776</v>
      </c>
      <c r="C7" s="4">
        <v>0</v>
      </c>
      <c r="D7" s="4">
        <v>0</v>
      </c>
      <c r="E7" s="4">
        <v>0</v>
      </c>
      <c r="F7" s="4">
        <f>$C7+$D7-$E7-$G7</f>
      </c>
      <c r="G7" s="4">
        <v>0</v>
      </c>
      <c r="M7" s="4">
        <v>0</v>
      </c>
      <c r="N7" s="4">
        <v>0</v>
      </c>
      <c r="O7" s="4">
        <v>0</v>
      </c>
      <c r="P7" s="4">
        <f>$M7+$N7-$O7-$Q7</f>
      </c>
      <c r="Q7" s="4">
        <v>0</v>
      </c>
    </row>
    <row r="8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>$C8+$D8-$E8-$G8</f>
      </c>
      <c r="G8" s="4">
        <v>0</v>
      </c>
      <c r="M8" s="4">
        <v>0</v>
      </c>
      <c r="N8" s="4">
        <v>0</v>
      </c>
      <c r="O8" s="4">
        <v>0</v>
      </c>
      <c r="P8" s="4">
        <f>$M8+$N8-$O8-$Q8</f>
      </c>
      <c r="Q8" s="4">
        <v>0</v>
      </c>
    </row>
    <row r="9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>$C9+$D9-$E9-$G9</f>
      </c>
      <c r="G9" s="4">
        <v>0</v>
      </c>
      <c r="M9" s="4">
        <v>0</v>
      </c>
      <c r="N9" s="4">
        <v>0</v>
      </c>
      <c r="O9" s="4">
        <v>0</v>
      </c>
      <c r="P9" s="4">
        <f>$M9+$N9-$O9-$Q9</f>
      </c>
      <c r="Q9" s="4">
        <v>0</v>
      </c>
    </row>
    <row r="10">
      <c r="A10" s="3" t="s">
        <v>372</v>
      </c>
      <c r="B10" s="5">
        <v>4779</v>
      </c>
      <c r="C10" s="4">
        <v>0</v>
      </c>
      <c r="D10" s="4">
        <v>0</v>
      </c>
      <c r="E10" s="4">
        <v>0</v>
      </c>
      <c r="F10" s="4">
        <f>$C10+$D10-$E10-$G10</f>
      </c>
      <c r="G10" s="4">
        <v>0</v>
      </c>
      <c r="M10" s="4">
        <v>0</v>
      </c>
      <c r="N10" s="4">
        <v>0</v>
      </c>
      <c r="O10" s="4">
        <v>0</v>
      </c>
      <c r="P10" s="4">
        <f>$M10+$N10-$O10-$Q10</f>
      </c>
      <c r="Q10" s="4">
        <v>0</v>
      </c>
    </row>
    <row r="11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>$C11+$D11-$E11-$G11</f>
      </c>
      <c r="G11" s="4">
        <v>0</v>
      </c>
      <c r="M11" s="4">
        <v>0</v>
      </c>
      <c r="N11" s="4">
        <v>0</v>
      </c>
      <c r="O11" s="4">
        <v>0</v>
      </c>
      <c r="P11" s="4">
        <f>$M11+$N11-$O11-$Q11</f>
      </c>
      <c r="Q11" s="4">
        <v>0</v>
      </c>
    </row>
    <row r="12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>$C12+$D12-$E12-$G12</f>
      </c>
      <c r="G12" s="4">
        <v>0</v>
      </c>
      <c r="M12" s="4">
        <v>0</v>
      </c>
      <c r="N12" s="4">
        <v>0</v>
      </c>
      <c r="O12" s="4">
        <v>0</v>
      </c>
      <c r="P12" s="4">
        <f>$M12+$N12-$O12-$Q12</f>
      </c>
      <c r="Q12" s="4">
        <v>0</v>
      </c>
    </row>
    <row r="13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>$C13+$D13-$E13-$G13</f>
      </c>
      <c r="G13" s="4">
        <v>0</v>
      </c>
      <c r="M13" s="4">
        <v>0</v>
      </c>
      <c r="N13" s="4">
        <v>0</v>
      </c>
      <c r="O13" s="4">
        <v>0</v>
      </c>
      <c r="P13" s="4">
        <f>$M13+$N13-$O13-$Q13</f>
      </c>
      <c r="Q13" s="4">
        <v>0</v>
      </c>
    </row>
    <row r="14">
      <c r="A14" s="3" t="s">
        <v>376</v>
      </c>
      <c r="B14" s="5">
        <v>4785</v>
      </c>
      <c r="C14" s="4">
        <v>380496</v>
      </c>
      <c r="D14" s="4">
        <v>0</v>
      </c>
      <c r="E14" s="4">
        <v>0</v>
      </c>
      <c r="F14" s="4">
        <f>$C14+$D14-$E14-$G14</f>
      </c>
      <c r="G14" s="4">
        <v>380496</v>
      </c>
      <c r="M14" s="4">
        <v>380496</v>
      </c>
      <c r="N14" s="4">
        <v>0</v>
      </c>
      <c r="O14" s="4">
        <v>0</v>
      </c>
      <c r="P14" s="4">
        <f>$M14+$N14-$O14-$Q14</f>
      </c>
      <c r="Q14" s="4">
        <v>380496</v>
      </c>
    </row>
    <row r="15">
      <c r="A15" s="3" t="s">
        <v>377</v>
      </c>
      <c r="B15" s="5">
        <v>4786</v>
      </c>
      <c r="C15" s="4">
        <v>-415113</v>
      </c>
      <c r="D15" s="4">
        <v>0</v>
      </c>
      <c r="E15" s="4">
        <v>0</v>
      </c>
      <c r="F15" s="4">
        <f>$C15+$D15-$E15-$G15</f>
      </c>
      <c r="G15" s="4">
        <v>-415113</v>
      </c>
      <c r="M15" s="4">
        <v>0</v>
      </c>
      <c r="N15" s="4">
        <v>0</v>
      </c>
      <c r="O15" s="4">
        <v>415113</v>
      </c>
      <c r="P15" s="4">
        <f>$M15+$N15-$O15-$Q15</f>
      </c>
      <c r="Q15" s="4">
        <v>-415113</v>
      </c>
    </row>
    <row r="16">
      <c r="A16" s="3" t="s">
        <v>378</v>
      </c>
      <c r="B16" s="5">
        <v>4787</v>
      </c>
      <c r="C16" s="4">
        <v>-2726</v>
      </c>
      <c r="D16" s="4">
        <v>1359</v>
      </c>
      <c r="E16" s="4">
        <v>0</v>
      </c>
      <c r="F16" s="4">
        <f>$C16+$D16-$E16-$G16</f>
      </c>
      <c r="G16" s="4">
        <v>-1366</v>
      </c>
      <c r="M16" s="4">
        <v>-415113</v>
      </c>
      <c r="N16" s="4">
        <v>-2726</v>
      </c>
      <c r="O16" s="4">
        <v>0</v>
      </c>
      <c r="P16" s="4">
        <f>$M16+$N16-$O16-$Q16</f>
      </c>
      <c r="Q16" s="4">
        <v>-2726</v>
      </c>
    </row>
    <row r="17">
      <c r="A17" s="11" t="s">
        <v>379</v>
      </c>
      <c r="B17" s="12">
        <v>4790</v>
      </c>
      <c r="C17" s="13">
        <f>+1*SUMIFS($C:$C,$B:$B,"&gt;=4770",$B:$B,"&lt;=4789")</f>
      </c>
      <c r="D17" s="13">
        <f>+1*SUMIFS($D:$D,$B:$B,"&gt;=4770",$B:$B,"&lt;=4789")</f>
      </c>
      <c r="E17" s="13">
        <f>+1*SUMIFS($E:$E,$B:$B,"&gt;=4770",$B:$B,"&lt;=4789")</f>
      </c>
      <c r="F17" s="13">
        <f>$C17+$D17-$E17-$G17</f>
      </c>
      <c r="G17" s="13">
        <f>+1*SUMIFS($G:$G,$B:$B,"&gt;=4770",$B:$B,"&lt;=4789")</f>
      </c>
      <c r="M17" s="13">
        <f>+1*SUMIFS($M:$M,$B:$B,"&gt;=4770",$B:$B,"&lt;=4789")</f>
      </c>
      <c r="N17" s="13">
        <f>+1*SUMIFS($N:$N,$B:$B,"&gt;=4770",$B:$B,"&lt;=4789")</f>
      </c>
      <c r="O17" s="13">
        <f>+1*SUMIFS($O:$O,$B:$B,"&gt;=4770",$B:$B,"&lt;=4789")</f>
      </c>
      <c r="P17" s="13">
        <f>$M17+$N17-$O17-$Q17</f>
      </c>
      <c r="Q17" s="13">
        <f>+1*SUMIFS($Q:$Q,$B:$B,"&gt;=4770",$B:$B,"&lt;=4789")</f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5546875" customWidth="true"/>
    <col min="14" max="14" width="17.5546875" customWidth="true"/>
    <col min="15" max="15" width="17.5546875" customWidth="true"/>
    <col min="16" max="16" width="17.5546875" customWidth="true"/>
    <col min="17" max="17" width="17.55468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89</v>
      </c>
      <c r="B5" s="5">
        <v>603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92</v>
      </c>
      <c r="B8" s="5">
        <v>606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95</v>
      </c>
      <c r="B11" s="5">
        <v>609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  <c r="M12" s="4">
        <v>0</v>
      </c>
      <c r="N12" s="4">
        <v>0</v>
      </c>
      <c r="O12" s="4">
        <v>0</v>
      </c>
      <c r="P12" s="4">
        <v>0</v>
      </c>
      <c r="Q12" s="4">
        <f>$M12+$N12-$O12-$P12</f>
      </c>
    </row>
    <row r="13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6" t="s">
        <v>98</v>
      </c>
      <c r="B14" s="7">
        <v>612</v>
      </c>
      <c r="C14" s="26">
        <f>+1*SUMIFS($C:$C,$B:$B,"&gt;=601",$B:$B,"&lt;=611")</f>
      </c>
      <c r="D14" s="26">
        <f>+1*SUMIFS($D:$D,$B:$B,"&gt;=601",$B:$B,"&lt;=611")</f>
      </c>
      <c r="E14" s="26">
        <f>+1*SUMIFS($E:$E,$B:$B,"&gt;=601",$B:$B,"&lt;=611")</f>
      </c>
      <c r="F14" s="26">
        <f>+1*SUMIFS($F:$F,$B:$B,"&gt;=601",$B:$B,"&lt;=611")</f>
      </c>
      <c r="G14" s="26">
        <f>$C14+$D14-$E14-$F14</f>
      </c>
      <c r="M14" s="26">
        <f>+1*SUMIFS($M:$M,$B:$B,"&gt;=601",$B:$B,"&lt;=611")</f>
      </c>
      <c r="N14" s="26">
        <f>+1*SUMIFS($N:$N,$B:$B,"&gt;=601",$B:$B,"&lt;=611")</f>
      </c>
      <c r="O14" s="26">
        <f>+1*SUMIFS($O:$O,$B:$B,"&gt;=601",$B:$B,"&lt;=611")</f>
      </c>
      <c r="P14" s="26">
        <f>+1*SUMIFS($P:$P,$B:$B,"&gt;=601",$B:$B,"&lt;=611")</f>
      </c>
      <c r="Q14" s="26">
        <f>$M14+$N14-$O14-$P14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>$C20+$D20-$E20-$F20</f>
      </c>
      <c r="M20" s="4">
        <v>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6" t="s">
        <v>111</v>
      </c>
      <c r="B28" s="7">
        <v>632</v>
      </c>
      <c r="C28" s="26">
        <f>+1*SUMIFS($C:$C,$B:$B,"&gt;=621",$B:$B,"&lt;=631")</f>
      </c>
      <c r="D28" s="26">
        <f>+1*SUMIFS($D:$D,$B:$B,"&gt;=621",$B:$B,"&lt;=631")</f>
      </c>
      <c r="E28" s="26">
        <f>+1*SUMIFS($E:$E,$B:$B,"&gt;=621",$B:$B,"&lt;=631")</f>
      </c>
      <c r="F28" s="26">
        <f>+1*SUMIFS($F:$F,$B:$B,"&gt;=621",$B:$B,"&lt;=631")</f>
      </c>
      <c r="G28" s="26">
        <f>$C28+$D28-$E28-$F28</f>
      </c>
      <c r="M28" s="26">
        <f>+1*SUMIFS($M:$M,$B:$B,"&gt;=621",$B:$B,"&lt;=631")</f>
      </c>
      <c r="N28" s="26">
        <f>+1*SUMIFS($N:$N,$B:$B,"&gt;=621",$B:$B,"&lt;=631")</f>
      </c>
      <c r="O28" s="26">
        <f>+1*SUMIFS($O:$O,$B:$B,"&gt;=621",$B:$B,"&lt;=631")</f>
      </c>
      <c r="P28" s="26">
        <f>+1*SUMIFS($P:$P,$B:$B,"&gt;=621",$B:$B,"&lt;=631")</f>
      </c>
      <c r="Q28" s="26">
        <f>$M28+$N28-$O28-$P28</f>
      </c>
    </row>
    <row r="29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>
      <c r="A31" s="11" t="s">
        <v>112</v>
      </c>
      <c r="B31" s="12">
        <v>641</v>
      </c>
      <c r="C31" s="13">
        <f>+1*SUMIFS($C:$C,$B:$B,"&gt;=601",$B:$B,"&lt;=601")-1*SUMIFS($C:$C,$B:$B,"&gt;=621",$B:$B,"&lt;=621")</f>
      </c>
      <c r="D31" s="13">
        <f>+1*SUMIFS($D:$D,$B:$B,"&gt;=601",$B:$B,"&lt;=601")-1*SUMIFS($D:$D,$B:$B,"&gt;=621",$B:$B,"&lt;=621")</f>
      </c>
      <c r="E31" s="13">
        <f>+1*SUMIFS($E:$E,$B:$B,"&gt;=601",$B:$B,"&lt;=601")-1*SUMIFS($E:$E,$B:$B,"&gt;=621",$B:$B,"&lt;=621")</f>
      </c>
      <c r="F31" s="13">
        <f>+1*SUMIFS($F:$F,$B:$B,"&gt;=601",$B:$B,"&lt;=601")-1*SUMIFS($F:$F,$B:$B,"&gt;=621",$B:$B,"&lt;=621")</f>
      </c>
      <c r="G31" s="13">
        <f>$C31+$D31-$E31-$F31</f>
      </c>
      <c r="M31" s="13">
        <f>+1*SUMIFS($M:$M,$B:$B,"&gt;=601",$B:$B,"&lt;=601")-1*SUMIFS($M:$M,$B:$B,"&gt;=621",$B:$B,"&lt;=621")</f>
      </c>
      <c r="N31" s="13">
        <f>+1*SUMIFS($N:$N,$B:$B,"&gt;=601",$B:$B,"&lt;=601")-1*SUMIFS($N:$N,$B:$B,"&gt;=621",$B:$B,"&lt;=621")</f>
      </c>
      <c r="O31" s="13">
        <f>+1*SUMIFS($O:$O,$B:$B,"&gt;=601",$B:$B,"&lt;=601")-1*SUMIFS($O:$O,$B:$B,"&gt;=621",$B:$B,"&lt;=621")</f>
      </c>
      <c r="P31" s="13">
        <f>+1*SUMIFS($P:$P,$B:$B,"&gt;=601",$B:$B,"&lt;=601")-1*SUMIFS($P:$P,$B:$B,"&gt;=621",$B:$B,"&lt;=621")</f>
      </c>
      <c r="Q31" s="13">
        <f>$M31+$N31-$O31-$P31</f>
      </c>
    </row>
    <row r="32">
      <c r="A32" s="11" t="s">
        <v>113</v>
      </c>
      <c r="B32" s="12">
        <v>642</v>
      </c>
      <c r="C32" s="13">
        <f>+1*SUMIFS($C:$C,$B:$B,"&gt;=602",$B:$B,"&lt;=602")-1*SUMIFS($C:$C,$B:$B,"&gt;=622",$B:$B,"&lt;=622")</f>
      </c>
      <c r="D32" s="13">
        <f>+1*SUMIFS($D:$D,$B:$B,"&gt;=602",$B:$B,"&lt;=602")-1*SUMIFS($D:$D,$B:$B,"&gt;=622",$B:$B,"&lt;=622")</f>
      </c>
      <c r="E32" s="13">
        <f>+1*SUMIFS($E:$E,$B:$B,"&gt;=602",$B:$B,"&lt;=602")-1*SUMIFS($E:$E,$B:$B,"&gt;=622",$B:$B,"&lt;=622")</f>
      </c>
      <c r="F32" s="13">
        <f>+1*SUMIFS($F:$F,$B:$B,"&gt;=602",$B:$B,"&lt;=602")-1*SUMIFS($F:$F,$B:$B,"&gt;=622",$B:$B,"&lt;=622")</f>
      </c>
      <c r="G32" s="13">
        <f>$C32+$D32-$E32-$F32</f>
      </c>
      <c r="M32" s="13">
        <f>+1*SUMIFS($M:$M,$B:$B,"&gt;=602",$B:$B,"&lt;=602")-1*SUMIFS($M:$M,$B:$B,"&gt;=622",$B:$B,"&lt;=622")</f>
      </c>
      <c r="N32" s="13">
        <f>+1*SUMIFS($N:$N,$B:$B,"&gt;=602",$B:$B,"&lt;=602")-1*SUMIFS($N:$N,$B:$B,"&gt;=622",$B:$B,"&lt;=622")</f>
      </c>
      <c r="O32" s="13">
        <f>+1*SUMIFS($O:$O,$B:$B,"&gt;=602",$B:$B,"&lt;=602")-1*SUMIFS($O:$O,$B:$B,"&gt;=622",$B:$B,"&lt;=622")</f>
      </c>
      <c r="P32" s="13">
        <f>+1*SUMIFS($P:$P,$B:$B,"&gt;=602",$B:$B,"&lt;=602")-1*SUMIFS($P:$P,$B:$B,"&gt;=622",$B:$B,"&lt;=622")</f>
      </c>
      <c r="Q32" s="13">
        <f>$M32+$N32-$O32-$P32</f>
      </c>
    </row>
    <row r="33">
      <c r="A33" s="11" t="s">
        <v>114</v>
      </c>
      <c r="B33" s="12">
        <v>643</v>
      </c>
      <c r="C33" s="13">
        <f>+1*SUMIFS($C:$C,$B:$B,"&gt;=603",$B:$B,"&lt;=603")-1*SUMIFS($C:$C,$B:$B,"&gt;=623",$B:$B,"&lt;=623")</f>
      </c>
      <c r="D33" s="13">
        <f>+1*SUMIFS($D:$D,$B:$B,"&gt;=603",$B:$B,"&lt;=603")-1*SUMIFS($D:$D,$B:$B,"&gt;=623",$B:$B,"&lt;=623")</f>
      </c>
      <c r="E33" s="13">
        <f>+1*SUMIFS($E:$E,$B:$B,"&gt;=603",$B:$B,"&lt;=603")-1*SUMIFS($E:$E,$B:$B,"&gt;=623",$B:$B,"&lt;=623")</f>
      </c>
      <c r="F33" s="13">
        <f>+1*SUMIFS($F:$F,$B:$B,"&gt;=603",$B:$B,"&lt;=603")-1*SUMIFS($F:$F,$B:$B,"&gt;=623",$B:$B,"&lt;=623")</f>
      </c>
      <c r="G33" s="13">
        <f>$C33+$D33-$E33-$F33</f>
      </c>
      <c r="M33" s="13">
        <f>+1*SUMIFS($M:$M,$B:$B,"&gt;=603",$B:$B,"&lt;=603")-1*SUMIFS($M:$M,$B:$B,"&gt;=623",$B:$B,"&lt;=623")</f>
      </c>
      <c r="N33" s="13">
        <f>+1*SUMIFS($N:$N,$B:$B,"&gt;=603",$B:$B,"&lt;=603")-1*SUMIFS($N:$N,$B:$B,"&gt;=623",$B:$B,"&lt;=623")</f>
      </c>
      <c r="O33" s="13">
        <f>+1*SUMIFS($O:$O,$B:$B,"&gt;=603",$B:$B,"&lt;=603")-1*SUMIFS($O:$O,$B:$B,"&gt;=623",$B:$B,"&lt;=623")</f>
      </c>
      <c r="P33" s="13">
        <f>+1*SUMIFS($P:$P,$B:$B,"&gt;=603",$B:$B,"&lt;=603")-1*SUMIFS($P:$P,$B:$B,"&gt;=623",$B:$B,"&lt;=623")</f>
      </c>
      <c r="Q33" s="13">
        <f>$M33+$N33-$O33-$P33</f>
      </c>
    </row>
    <row r="34">
      <c r="A34" s="11" t="s">
        <v>115</v>
      </c>
      <c r="B34" s="12">
        <v>644</v>
      </c>
      <c r="C34" s="13">
        <f>+1*SUMIFS($C:$C,$B:$B,"&gt;=604",$B:$B,"&lt;=604")-1*SUMIFS($C:$C,$B:$B,"&gt;=624",$B:$B,"&lt;=624")</f>
      </c>
      <c r="D34" s="13">
        <f>+1*SUMIFS($D:$D,$B:$B,"&gt;=604",$B:$B,"&lt;=604")-1*SUMIFS($D:$D,$B:$B,"&gt;=624",$B:$B,"&lt;=624")</f>
      </c>
      <c r="E34" s="13">
        <f>+1*SUMIFS($E:$E,$B:$B,"&gt;=604",$B:$B,"&lt;=604")-1*SUMIFS($E:$E,$B:$B,"&gt;=624",$B:$B,"&lt;=624")</f>
      </c>
      <c r="F34" s="13">
        <f>+1*SUMIFS($F:$F,$B:$B,"&gt;=604",$B:$B,"&lt;=604")-1*SUMIFS($F:$F,$B:$B,"&gt;=624",$B:$B,"&lt;=624")</f>
      </c>
      <c r="G34" s="13">
        <f>$C34+$D34-$E34-$F34</f>
      </c>
      <c r="M34" s="13">
        <f>+1*SUMIFS($M:$M,$B:$B,"&gt;=604",$B:$B,"&lt;=604")-1*SUMIFS($M:$M,$B:$B,"&gt;=624",$B:$B,"&lt;=624")</f>
      </c>
      <c r="N34" s="13">
        <f>+1*SUMIFS($N:$N,$B:$B,"&gt;=604",$B:$B,"&lt;=604")-1*SUMIFS($N:$N,$B:$B,"&gt;=624",$B:$B,"&lt;=624")</f>
      </c>
      <c r="O34" s="13">
        <f>+1*SUMIFS($O:$O,$B:$B,"&gt;=604",$B:$B,"&lt;=604")-1*SUMIFS($O:$O,$B:$B,"&gt;=624",$B:$B,"&lt;=624")</f>
      </c>
      <c r="P34" s="13">
        <f>+1*SUMIFS($P:$P,$B:$B,"&gt;=604",$B:$B,"&lt;=604")-1*SUMIFS($P:$P,$B:$B,"&gt;=624",$B:$B,"&lt;=624")</f>
      </c>
      <c r="Q34" s="13">
        <f>$M34+$N34-$O34-$P34</f>
      </c>
    </row>
    <row r="35">
      <c r="A35" s="11" t="s">
        <v>116</v>
      </c>
      <c r="B35" s="12">
        <v>645</v>
      </c>
      <c r="C35" s="13">
        <f>+1*SUMIFS($C:$C,$B:$B,"&gt;=605",$B:$B,"&lt;=605")-1*SUMIFS($C:$C,$B:$B,"&gt;=625",$B:$B,"&lt;=625")</f>
      </c>
      <c r="D35" s="13">
        <f>+1*SUMIFS($D:$D,$B:$B,"&gt;=605",$B:$B,"&lt;=605")-1*SUMIFS($D:$D,$B:$B,"&gt;=625",$B:$B,"&lt;=625")</f>
      </c>
      <c r="E35" s="13">
        <f>+1*SUMIFS($E:$E,$B:$B,"&gt;=605",$B:$B,"&lt;=605")-1*SUMIFS($E:$E,$B:$B,"&gt;=625",$B:$B,"&lt;=625")</f>
      </c>
      <c r="F35" s="13">
        <f>+1*SUMIFS($F:$F,$B:$B,"&gt;=605",$B:$B,"&lt;=605")-1*SUMIFS($F:$F,$B:$B,"&gt;=625",$B:$B,"&lt;=625")</f>
      </c>
      <c r="G35" s="13">
        <f>$C35+$D35-$E35-$F35</f>
      </c>
      <c r="M35" s="13">
        <f>+1*SUMIFS($M:$M,$B:$B,"&gt;=605",$B:$B,"&lt;=605")-1*SUMIFS($M:$M,$B:$B,"&gt;=625",$B:$B,"&lt;=625")</f>
      </c>
      <c r="N35" s="13">
        <f>+1*SUMIFS($N:$N,$B:$B,"&gt;=605",$B:$B,"&lt;=605")-1*SUMIFS($N:$N,$B:$B,"&gt;=625",$B:$B,"&lt;=625")</f>
      </c>
      <c r="O35" s="13">
        <f>+1*SUMIFS($O:$O,$B:$B,"&gt;=605",$B:$B,"&lt;=605")-1*SUMIFS($O:$O,$B:$B,"&gt;=625",$B:$B,"&lt;=625")</f>
      </c>
      <c r="P35" s="13">
        <f>+1*SUMIFS($P:$P,$B:$B,"&gt;=605",$B:$B,"&lt;=605")-1*SUMIFS($P:$P,$B:$B,"&gt;=625",$B:$B,"&lt;=625")</f>
      </c>
      <c r="Q35" s="13">
        <f>$M35+$N35-$O35-$P35</f>
      </c>
    </row>
    <row r="36">
      <c r="A36" s="11" t="s">
        <v>117</v>
      </c>
      <c r="B36" s="12">
        <v>646</v>
      </c>
      <c r="C36" s="13">
        <f>+1*SUMIFS($C:$C,$B:$B,"&gt;=606",$B:$B,"&lt;=606")-1*SUMIFS($C:$C,$B:$B,"&gt;=626",$B:$B,"&lt;=626")</f>
      </c>
      <c r="D36" s="13">
        <f>+1*SUMIFS($D:$D,$B:$B,"&gt;=606",$B:$B,"&lt;=606")-1*SUMIFS($D:$D,$B:$B,"&gt;=626",$B:$B,"&lt;=626")</f>
      </c>
      <c r="E36" s="13">
        <f>+1*SUMIFS($E:$E,$B:$B,"&gt;=606",$B:$B,"&lt;=606")-1*SUMIFS($E:$E,$B:$B,"&gt;=626",$B:$B,"&lt;=626")</f>
      </c>
      <c r="F36" s="13">
        <f>+1*SUMIFS($F:$F,$B:$B,"&gt;=606",$B:$B,"&lt;=606")-1*SUMIFS($F:$F,$B:$B,"&gt;=626",$B:$B,"&lt;=626")</f>
      </c>
      <c r="G36" s="13">
        <f>$C36+$D36-$E36-$F36</f>
      </c>
      <c r="M36" s="13">
        <f>+1*SUMIFS($M:$M,$B:$B,"&gt;=606",$B:$B,"&lt;=606")-1*SUMIFS($M:$M,$B:$B,"&gt;=626",$B:$B,"&lt;=626")</f>
      </c>
      <c r="N36" s="13">
        <f>+1*SUMIFS($N:$N,$B:$B,"&gt;=606",$B:$B,"&lt;=606")-1*SUMIFS($N:$N,$B:$B,"&gt;=626",$B:$B,"&lt;=626")</f>
      </c>
      <c r="O36" s="13">
        <f>+1*SUMIFS($O:$O,$B:$B,"&gt;=606",$B:$B,"&lt;=606")-1*SUMIFS($O:$O,$B:$B,"&gt;=626",$B:$B,"&lt;=626")</f>
      </c>
      <c r="P36" s="13">
        <f>+1*SUMIFS($P:$P,$B:$B,"&gt;=606",$B:$B,"&lt;=606")-1*SUMIFS($P:$P,$B:$B,"&gt;=626",$B:$B,"&lt;=626")</f>
      </c>
      <c r="Q36" s="13">
        <f>$M36+$N36-$O36-$P36</f>
      </c>
    </row>
    <row r="37">
      <c r="A37" s="11" t="s">
        <v>118</v>
      </c>
      <c r="B37" s="12">
        <v>647</v>
      </c>
      <c r="C37" s="13">
        <f>+1*SUMIFS($C:$C,$B:$B,"&gt;=607",$B:$B,"&lt;=607")-1*SUMIFS($C:$C,$B:$B,"&gt;=627",$B:$B,"&lt;=627")</f>
      </c>
      <c r="D37" s="13">
        <f>+1*SUMIFS($D:$D,$B:$B,"&gt;=607",$B:$B,"&lt;=607")-1*SUMIFS($D:$D,$B:$B,"&gt;=627",$B:$B,"&lt;=627")</f>
      </c>
      <c r="E37" s="13">
        <f>+1*SUMIFS($E:$E,$B:$B,"&gt;=607",$B:$B,"&lt;=607")-1*SUMIFS($E:$E,$B:$B,"&gt;=627",$B:$B,"&lt;=627")</f>
      </c>
      <c r="F37" s="13">
        <f>+1*SUMIFS($F:$F,$B:$B,"&gt;=607",$B:$B,"&lt;=607")-1*SUMIFS($F:$F,$B:$B,"&gt;=627",$B:$B,"&lt;=627")</f>
      </c>
      <c r="G37" s="13">
        <f>$C37+$D37-$E37-$F37</f>
      </c>
      <c r="M37" s="13">
        <f>+1*SUMIFS($M:$M,$B:$B,"&gt;=607",$B:$B,"&lt;=607")-1*SUMIFS($M:$M,$B:$B,"&gt;=627",$B:$B,"&lt;=627")</f>
      </c>
      <c r="N37" s="13">
        <f>+1*SUMIFS($N:$N,$B:$B,"&gt;=607",$B:$B,"&lt;=607")-1*SUMIFS($N:$N,$B:$B,"&gt;=627",$B:$B,"&lt;=627")</f>
      </c>
      <c r="O37" s="13">
        <f>+1*SUMIFS($O:$O,$B:$B,"&gt;=607",$B:$B,"&lt;=607")-1*SUMIFS($O:$O,$B:$B,"&gt;=627",$B:$B,"&lt;=627")</f>
      </c>
      <c r="P37" s="13">
        <f>+1*SUMIFS($P:$P,$B:$B,"&gt;=607",$B:$B,"&lt;=607")-1*SUMIFS($P:$P,$B:$B,"&gt;=627",$B:$B,"&lt;=627")</f>
      </c>
      <c r="Q37" s="13">
        <f>$M37+$N37-$O37-$P37</f>
      </c>
    </row>
    <row r="38">
      <c r="A38" s="11" t="s">
        <v>119</v>
      </c>
      <c r="B38" s="12">
        <v>648</v>
      </c>
      <c r="C38" s="13">
        <f>+1*SUMIFS($C:$C,$B:$B,"&gt;=608",$B:$B,"&lt;=608")-1*SUMIFS($C:$C,$B:$B,"&gt;=628",$B:$B,"&lt;=628")</f>
      </c>
      <c r="D38" s="13">
        <f>+1*SUMIFS($D:$D,$B:$B,"&gt;=608",$B:$B,"&lt;=608")-1*SUMIFS($D:$D,$B:$B,"&gt;=628",$B:$B,"&lt;=628")</f>
      </c>
      <c r="E38" s="13">
        <f>+1*SUMIFS($E:$E,$B:$B,"&gt;=608",$B:$B,"&lt;=608")-1*SUMIFS($E:$E,$B:$B,"&gt;=628",$B:$B,"&lt;=628")</f>
      </c>
      <c r="F38" s="13">
        <f>+1*SUMIFS($F:$F,$B:$B,"&gt;=608",$B:$B,"&lt;=608")-1*SUMIFS($F:$F,$B:$B,"&gt;=628",$B:$B,"&lt;=628")</f>
      </c>
      <c r="G38" s="13">
        <f>$C38+$D38-$E38-$F38</f>
      </c>
      <c r="M38" s="13">
        <f>+1*SUMIFS($M:$M,$B:$B,"&gt;=608",$B:$B,"&lt;=608")-1*SUMIFS($M:$M,$B:$B,"&gt;=628",$B:$B,"&lt;=628")</f>
      </c>
      <c r="N38" s="13">
        <f>+1*SUMIFS($N:$N,$B:$B,"&gt;=608",$B:$B,"&lt;=608")-1*SUMIFS($N:$N,$B:$B,"&gt;=628",$B:$B,"&lt;=628")</f>
      </c>
      <c r="O38" s="13">
        <f>+1*SUMIFS($O:$O,$B:$B,"&gt;=608",$B:$B,"&lt;=608")-1*SUMIFS($O:$O,$B:$B,"&gt;=628",$B:$B,"&lt;=628")</f>
      </c>
      <c r="P38" s="13">
        <f>+1*SUMIFS($P:$P,$B:$B,"&gt;=608",$B:$B,"&lt;=608")-1*SUMIFS($P:$P,$B:$B,"&gt;=628",$B:$B,"&lt;=628")</f>
      </c>
      <c r="Q38" s="13">
        <f>$M38+$N38-$O38-$P38</f>
      </c>
    </row>
    <row r="39">
      <c r="A39" s="11" t="s">
        <v>120</v>
      </c>
      <c r="B39" s="12">
        <v>649</v>
      </c>
      <c r="C39" s="13">
        <f>+1*SUMIFS($C:$C,$B:$B,"&gt;=609",$B:$B,"&lt;=609")-1*SUMIFS($C:$C,$B:$B,"&gt;=629",$B:$B,"&lt;=629")</f>
      </c>
      <c r="D39" s="13">
        <f>+1*SUMIFS($D:$D,$B:$B,"&gt;=609",$B:$B,"&lt;=609")-1*SUMIFS($D:$D,$B:$B,"&gt;=629",$B:$B,"&lt;=629")</f>
      </c>
      <c r="E39" s="13">
        <f>+1*SUMIFS($E:$E,$B:$B,"&gt;=609",$B:$B,"&lt;=609")-1*SUMIFS($E:$E,$B:$B,"&gt;=629",$B:$B,"&lt;=629")</f>
      </c>
      <c r="F39" s="13">
        <f>+1*SUMIFS($F:$F,$B:$B,"&gt;=609",$B:$B,"&lt;=609")-1*SUMIFS($F:$F,$B:$B,"&gt;=629",$B:$B,"&lt;=629")</f>
      </c>
      <c r="G39" s="13">
        <f>$C39+$D39-$E39-$F39</f>
      </c>
      <c r="M39" s="13">
        <f>+1*SUMIFS($M:$M,$B:$B,"&gt;=609",$B:$B,"&lt;=609")-1*SUMIFS($M:$M,$B:$B,"&gt;=629",$B:$B,"&lt;=629")</f>
      </c>
      <c r="N39" s="13">
        <f>+1*SUMIFS($N:$N,$B:$B,"&gt;=609",$B:$B,"&lt;=609")-1*SUMIFS($N:$N,$B:$B,"&gt;=629",$B:$B,"&lt;=629")</f>
      </c>
      <c r="O39" s="13">
        <f>+1*SUMIFS($O:$O,$B:$B,"&gt;=609",$B:$B,"&lt;=609")-1*SUMIFS($O:$O,$B:$B,"&gt;=629",$B:$B,"&lt;=629")</f>
      </c>
      <c r="P39" s="13">
        <f>+1*SUMIFS($P:$P,$B:$B,"&gt;=609",$B:$B,"&lt;=609")-1*SUMIFS($P:$P,$B:$B,"&gt;=629",$B:$B,"&lt;=629")</f>
      </c>
      <c r="Q39" s="13">
        <f>$M39+$N39-$O39-$P39</f>
      </c>
    </row>
    <row r="40">
      <c r="A40" s="11" t="s">
        <v>121</v>
      </c>
      <c r="B40" s="12">
        <v>650</v>
      </c>
      <c r="C40" s="13">
        <f>+1*SUMIFS($C:$C,$B:$B,"&gt;=610",$B:$B,"&lt;=610")-1*SUMIFS($C:$C,$B:$B,"&gt;=630",$B:$B,"&lt;=630")</f>
      </c>
      <c r="D40" s="13">
        <f>+1*SUMIFS($D:$D,$B:$B,"&gt;=610",$B:$B,"&lt;=610")-1*SUMIFS($D:$D,$B:$B,"&gt;=630",$B:$B,"&lt;=630")</f>
      </c>
      <c r="E40" s="13">
        <f>+1*SUMIFS($E:$E,$B:$B,"&gt;=610",$B:$B,"&lt;=610")-1*SUMIFS($E:$E,$B:$B,"&gt;=630",$B:$B,"&lt;=630")</f>
      </c>
      <c r="F40" s="13">
        <f>+1*SUMIFS($F:$F,$B:$B,"&gt;=610",$B:$B,"&lt;=610")-1*SUMIFS($F:$F,$B:$B,"&gt;=630",$B:$B,"&lt;=630")</f>
      </c>
      <c r="G40" s="13">
        <f>$C40+$D40-$E40-$F40</f>
      </c>
      <c r="M40" s="13">
        <f>+1*SUMIFS($M:$M,$B:$B,"&gt;=610",$B:$B,"&lt;=610")-1*SUMIFS($M:$M,$B:$B,"&gt;=630",$B:$B,"&lt;=630")</f>
      </c>
      <c r="N40" s="13">
        <f>+1*SUMIFS($N:$N,$B:$B,"&gt;=610",$B:$B,"&lt;=610")-1*SUMIFS($N:$N,$B:$B,"&gt;=630",$B:$B,"&lt;=630")</f>
      </c>
      <c r="O40" s="13">
        <f>+1*SUMIFS($O:$O,$B:$B,"&gt;=610",$B:$B,"&lt;=610")-1*SUMIFS($O:$O,$B:$B,"&gt;=630",$B:$B,"&lt;=630")</f>
      </c>
      <c r="P40" s="13">
        <f>+1*SUMIFS($P:$P,$B:$B,"&gt;=610",$B:$B,"&lt;=610")-1*SUMIFS($P:$P,$B:$B,"&gt;=630",$B:$B,"&lt;=630")</f>
      </c>
      <c r="Q40" s="13">
        <f>$M40+$N40-$O40-$P40</f>
      </c>
    </row>
    <row r="41">
      <c r="A41" s="11" t="s">
        <v>122</v>
      </c>
      <c r="B41" s="12">
        <v>651</v>
      </c>
      <c r="C41" s="13">
        <f>+1*SUMIFS($C:$C,$B:$B,"&gt;=611",$B:$B,"&lt;=611")-1*SUMIFS($C:$C,$B:$B,"&gt;=631",$B:$B,"&lt;=631")</f>
      </c>
      <c r="D41" s="13">
        <f>+1*SUMIFS($D:$D,$B:$B,"&gt;=611",$B:$B,"&lt;=611")-1*SUMIFS($D:$D,$B:$B,"&gt;=631",$B:$B,"&lt;=631")</f>
      </c>
      <c r="E41" s="13">
        <f>+1*SUMIFS($E:$E,$B:$B,"&gt;=611",$B:$B,"&lt;=611")-1*SUMIFS($E:$E,$B:$B,"&gt;=631",$B:$B,"&lt;=631")</f>
      </c>
      <c r="F41" s="13">
        <f>+1*SUMIFS($F:$F,$B:$B,"&gt;=611",$B:$B,"&lt;=611")-1*SUMIFS($F:$F,$B:$B,"&gt;=631",$B:$B,"&lt;=631")</f>
      </c>
      <c r="G41" s="13">
        <f>$C41+$D41-$E41-$F41</f>
      </c>
      <c r="M41" s="13">
        <f>+1*SUMIFS($M:$M,$B:$B,"&gt;=611",$B:$B,"&lt;=611")-1*SUMIFS($M:$M,$B:$B,"&gt;=631",$B:$B,"&lt;=631")</f>
      </c>
      <c r="N41" s="13">
        <f>+1*SUMIFS($N:$N,$B:$B,"&gt;=611",$B:$B,"&lt;=611")-1*SUMIFS($N:$N,$B:$B,"&gt;=631",$B:$B,"&lt;=631")</f>
      </c>
      <c r="O41" s="13">
        <f>+1*SUMIFS($O:$O,$B:$B,"&gt;=611",$B:$B,"&lt;=611")-1*SUMIFS($O:$O,$B:$B,"&gt;=631",$B:$B,"&lt;=631")</f>
      </c>
      <c r="P41" s="13">
        <f>+1*SUMIFS($P:$P,$B:$B,"&gt;=611",$B:$B,"&lt;=611")-1*SUMIFS($P:$P,$B:$B,"&gt;=631",$B:$B,"&lt;=631")</f>
      </c>
      <c r="Q41" s="13">
        <f>$M41+$N41-$O41-$P41</f>
      </c>
    </row>
    <row r="42">
      <c r="A42" s="6" t="s">
        <v>123</v>
      </c>
      <c r="B42" s="7">
        <v>652</v>
      </c>
      <c r="C42" s="26">
        <f>+1*SUMIFS($C:$C,$B:$B,"&gt;=641",$B:$B,"&lt;=651")</f>
      </c>
      <c r="D42" s="26">
        <f>+1*SUMIFS($D:$D,$B:$B,"&gt;=641",$B:$B,"&lt;=651")</f>
      </c>
      <c r="E42" s="26">
        <f>+1*SUMIFS($E:$E,$B:$B,"&gt;=641",$B:$B,"&lt;=651")</f>
      </c>
      <c r="F42" s="26">
        <f>+1*SUMIFS($F:$F,$B:$B,"&gt;=641",$B:$B,"&lt;=651")</f>
      </c>
      <c r="G42" s="26">
        <f>$C42+$D42-$E42-$F42</f>
      </c>
      <c r="M42" s="26">
        <f>+1*SUMIFS($M:$M,$B:$B,"&gt;=641",$B:$B,"&lt;=651")</f>
      </c>
      <c r="N42" s="26">
        <f>+1*SUMIFS($N:$N,$B:$B,"&gt;=641",$B:$B,"&lt;=651")</f>
      </c>
      <c r="O42" s="26">
        <f>+1*SUMIFS($O:$O,$B:$B,"&gt;=641",$B:$B,"&lt;=651")</f>
      </c>
      <c r="P42" s="26">
        <f>+1*SUMIFS($P:$P,$B:$B,"&gt;=641",$B:$B,"&lt;=651")</f>
      </c>
      <c r="Q42" s="26">
        <f>$M42+$N42-$O42-$P42</f>
      </c>
    </row>
    <row r="43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2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11" t="s">
        <v>136</v>
      </c>
      <c r="B10" s="12">
        <v>1219</v>
      </c>
      <c r="C10" s="13">
        <f>+1*SUMIFS($C:$C,$B:$B,"&gt;=1211",$B:$B,"&lt;=1218")</f>
      </c>
      <c r="D10" s="13">
        <f>+1*SUMIFS($D:$D,$B:$B,"&gt;=1211",$B:$B,"&lt;=1218")</f>
      </c>
      <c r="E10" s="13">
        <f>+1*SUMIFS($E:$E,$B:$B,"&gt;=1211",$B:$B,"&lt;=1218")</f>
      </c>
      <c r="F10" s="13">
        <f>+1*SUMIFS($F:$F,$B:$B,"&gt;=1211",$B:$B,"&lt;=1218")</f>
      </c>
      <c r="G10" s="13">
        <f>$C10+$D10-$E10-$F10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1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137</v>
      </c>
      <c r="B3" s="12">
        <v>1511</v>
      </c>
      <c r="C3" s="13">
        <f>+1*SUMIFS($C:$C,$B:$B,"&gt;=1512",$B:$B,"&lt;=1514")</f>
      </c>
      <c r="D3" s="13">
        <f>+1*SUMIFS($D:$D,$B:$B,"&gt;=1512",$B:$B,"&lt;=1514")</f>
      </c>
      <c r="E3" s="13">
        <f>+1*SUMIFS($E:$E,$B:$B,"&gt;=1512",$B:$B,"&lt;=1514")</f>
      </c>
      <c r="F3" s="13">
        <f>+1*SUMIFS($F:$F,$B:$B,"&gt;=1512",$B:$B,"&lt;=1514")</f>
      </c>
      <c r="G3" s="13">
        <f>$C3+$D3-$E3-$F3</f>
      </c>
    </row>
    <row r="4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</row>
    <row r="14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>$C14+$D14-$E14-$F14</f>
      </c>
    </row>
    <row r="15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</row>
    <row r="16">
      <c r="A16" s="6" t="s">
        <v>150</v>
      </c>
      <c r="B16" s="7">
        <v>1529</v>
      </c>
      <c r="C16" s="26">
        <f>+1*SUMIFS($C:$C,$B:$B,"&gt;=1511",$B:$B,"&lt;=1511")+1*SUMIFS($C:$C,$B:$B,"&gt;=1515",$B:$B,"&lt;=1528")</f>
      </c>
      <c r="D16" s="26">
        <f>+1*SUMIFS($D:$D,$B:$B,"&gt;=1511",$B:$B,"&lt;=1511")+1*SUMIFS($D:$D,$B:$B,"&gt;=1515",$B:$B,"&lt;=1528")</f>
      </c>
      <c r="E16" s="26">
        <f>+1*SUMIFS($E:$E,$B:$B,"&gt;=1511",$B:$B,"&lt;=1511")+1*SUMIFS($E:$E,$B:$B,"&gt;=1515",$B:$B,"&lt;=1528")</f>
      </c>
      <c r="F16" s="26">
        <f>+1*SUMIFS($F:$F,$B:$B,"&gt;=1511",$B:$B,"&lt;=1511")+1*SUMIFS($F:$F,$B:$B,"&gt;=1515",$B:$B,"&lt;=1528")</f>
      </c>
      <c r="G16" s="26">
        <f>$C16+$D16-$E16-$F16</f>
      </c>
    </row>
    <row r="17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9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157</v>
      </c>
      <c r="B3" s="12">
        <v>1611</v>
      </c>
      <c r="C3" s="13">
        <f>+1*SUMIFS($C:$C,$B:$B,"&gt;=1612",$B:$B,"&lt;=1614")</f>
      </c>
      <c r="D3" s="13">
        <f>+1*SUMIFS($D:$D,$B:$B,"&gt;=1612",$B:$B,"&lt;=1614")</f>
      </c>
      <c r="E3" s="13">
        <f>+1*SUMIFS($E:$E,$B:$B,"&gt;=1612",$B:$B,"&lt;=1614")</f>
      </c>
      <c r="F3" s="13">
        <f>+1*SUMIFS($F:$F,$B:$B,"&gt;=1612",$B:$B,"&lt;=1614")</f>
      </c>
      <c r="G3" s="13">
        <f>$C3+$D3+$E3+$F3</f>
      </c>
    </row>
    <row r="4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160</v>
      </c>
      <c r="B6" s="5">
        <v>1614</v>
      </c>
      <c r="C6" s="4">
        <v>0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6" t="s">
        <v>168</v>
      </c>
      <c r="B14" s="7">
        <v>1629</v>
      </c>
      <c r="C14" s="26">
        <f>+1*SUMIFS($C:$C,$B:$B,"&gt;=1611",$B:$B,"&lt;=1611")+1*SUMIFS($C:$C,$B:$B,"&gt;=1615",$B:$B,"&lt;=1628")</f>
      </c>
      <c r="D14" s="26">
        <f>+1*SUMIFS($D:$D,$B:$B,"&gt;=1611",$B:$B,"&lt;=1611")+1*SUMIFS($D:$D,$B:$B,"&gt;=1615",$B:$B,"&lt;=1628")</f>
      </c>
      <c r="E14" s="26">
        <f>+1*SUMIFS($E:$E,$B:$B,"&gt;=1611",$B:$B,"&lt;=1611")+1*SUMIFS($E:$E,$B:$B,"&gt;=1615",$B:$B,"&lt;=1628")</f>
      </c>
      <c r="F14" s="26">
        <f>+1*SUMIFS($F:$F,$B:$B,"&gt;=1611",$B:$B,"&lt;=1611")+1*SUMIFS($F:$F,$B:$B,"&gt;=1615",$B:$B,"&lt;=1628")</f>
      </c>
      <c r="G14" s="26">
        <f>$C14+$D14+$E14+$F14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>
      <c r="A17" s="11" t="s">
        <v>170</v>
      </c>
      <c r="B17" s="12">
        <v>1631</v>
      </c>
      <c r="C17" s="13">
        <f>+1*SUMIFS($C:$C,$B:$B,"&gt;=1632",$B:$B,"&lt;=1634")</f>
      </c>
      <c r="D17" s="13">
        <f>+1*SUMIFS($D:$D,$B:$B,"&gt;=1632",$B:$B,"&lt;=1634")</f>
      </c>
      <c r="E17" s="13">
        <f>+1*SUMIFS($E:$E,$B:$B,"&gt;=1632",$B:$B,"&lt;=1634")</f>
      </c>
      <c r="F17" s="13">
        <f>+1*SUMIFS($F:$F,$B:$B,"&gt;=1632",$B:$B,"&lt;=1634")</f>
      </c>
      <c r="G17" s="13">
        <f>$C17+$D17+$E17+$F17</f>
      </c>
    </row>
    <row r="18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>$C18+$D18+$E18+$F18</f>
      </c>
    </row>
    <row r="19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>$C19+$D19+$E19+$F19</f>
      </c>
    </row>
    <row r="20">
      <c r="A20" s="3" t="s">
        <v>173</v>
      </c>
      <c r="B20" s="5">
        <v>1634</v>
      </c>
      <c r="C20" s="4">
        <v>171531</v>
      </c>
      <c r="D20" s="4">
        <v>0</v>
      </c>
      <c r="E20" s="4">
        <v>0</v>
      </c>
      <c r="F20" s="4">
        <v>0</v>
      </c>
      <c r="G20" s="4">
        <f>$C20+$D20+$E20+$F20</f>
      </c>
    </row>
    <row r="21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>$C21+$D21+$E21+$F21</f>
      </c>
    </row>
    <row r="22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178</v>
      </c>
      <c r="B25" s="5">
        <v>1639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179</v>
      </c>
      <c r="B26" s="5">
        <v>1640</v>
      </c>
      <c r="C26" s="4">
        <v>30958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181</v>
      </c>
      <c r="B28" s="5">
        <v>1642</v>
      </c>
      <c r="C28" s="4">
        <v>18070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6" t="s">
        <v>182</v>
      </c>
      <c r="B29" s="7">
        <v>1649</v>
      </c>
      <c r="C29" s="26">
        <f>+1*SUMIFS($C:$C,$B:$B,"&gt;=1631",$B:$B,"&lt;=1631")+1*SUMIFS($C:$C,$B:$B,"&gt;=1635",$B:$B,"&lt;=1648")</f>
      </c>
      <c r="D29" s="26">
        <f>+1*SUMIFS($D:$D,$B:$B,"&gt;=1631",$B:$B,"&lt;=1631")+1*SUMIFS($D:$D,$B:$B,"&gt;=1635",$B:$B,"&lt;=1648")</f>
      </c>
      <c r="E29" s="26">
        <f>+1*SUMIFS($E:$E,$B:$B,"&gt;=1631",$B:$B,"&lt;=1631")+1*SUMIFS($E:$E,$B:$B,"&gt;=1635",$B:$B,"&lt;=1648")</f>
      </c>
      <c r="F29" s="26">
        <f>+1*SUMIFS($F:$F,$B:$B,"&gt;=1631",$B:$B,"&lt;=1631")+1*SUMIFS($F:$F,$B:$B,"&gt;=1635",$B:$B,"&lt;=1648")</f>
      </c>
      <c r="G29" s="26">
        <f>$C29+$D29+$E29+$F29</f>
      </c>
    </row>
  </sheetData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7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185</v>
      </c>
      <c r="B2" s="5">
        <v>1711</v>
      </c>
      <c r="C2" s="4">
        <v>19646</v>
      </c>
      <c r="D2" s="4">
        <v>43920</v>
      </c>
    </row>
    <row r="3">
      <c r="A3" s="3" t="s">
        <v>186</v>
      </c>
      <c r="B3" s="5">
        <v>1712</v>
      </c>
      <c r="C3" s="4">
        <v>222052</v>
      </c>
      <c r="D3" s="4">
        <v>184439</v>
      </c>
    </row>
    <row r="4">
      <c r="A4" s="3" t="s">
        <v>187</v>
      </c>
      <c r="B4" s="5">
        <v>1713</v>
      </c>
      <c r="C4" s="4">
        <v>0</v>
      </c>
      <c r="D4" s="4">
        <v>0</v>
      </c>
    </row>
    <row r="5">
      <c r="A5" s="3" t="s">
        <v>188</v>
      </c>
      <c r="B5" s="5">
        <v>1714</v>
      </c>
      <c r="C5" s="4">
        <v>393</v>
      </c>
      <c r="D5" s="4">
        <v>0</v>
      </c>
    </row>
    <row r="6">
      <c r="A6" s="11" t="s">
        <v>189</v>
      </c>
      <c r="B6" s="12">
        <v>1719</v>
      </c>
      <c r="C6" s="13">
        <f>+1*SUMIFS($C:$C,$B:$B,"&gt;=1711",$B:$B,"&lt;=1718")</f>
      </c>
      <c r="D6" s="13">
        <f>+1*SUMIFS($D:$D,$B:$B,"&gt;=1711",$B:$B,"&lt;=1718")</f>
      </c>
    </row>
    <row r="7">
      <c r="A7" s="3"/>
      <c r="C7" s="4">
        <v>0</v>
      </c>
      <c r="D7" s="4">
        <v>0</v>
      </c>
    </row>
  </sheetData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201</v>
      </c>
      <c r="B13" s="12">
        <v>1829</v>
      </c>
      <c r="C13" s="13">
        <f>+1*SUMIFS($C:$C,$B:$B,"&gt;=1811",$B:$B,"&lt;=1828")</f>
      </c>
      <c r="D13" s="13">
        <f>+1*SUMIFS($D:$D,$B:$B,"&gt;=1811",$B:$B,"&lt;=1828")</f>
      </c>
      <c r="E13" s="13">
        <f>+1*SUMIFS($E:$E,$B:$B,"&gt;=1811",$B:$B,"&lt;=1828")</f>
      </c>
      <c r="F13" s="13">
        <f>+1*SUMIFS($F:$F,$B:$B,"&gt;=1811",$B:$B,"&lt;=1828")</f>
      </c>
      <c r="G13" s="13">
        <f>$C13+$D13-$E13-$F13</f>
      </c>
    </row>
  </sheetData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3"/>
  <sheetViews>
    <sheetView workbookViewId="0">
      <pane xSplit="0.0" ySplit="1" topLeftCell="A2" activePane="bottomLeft" state="frozen"/>
    </sheetView>
  </sheetViews>
  <sheetFormatPr defaultRowHeight="15"/>
  <cols>
    <col min="2" max="2" width="5.5546875" customWidth="true"/>
    <col min="1" max="1" width="45.5546875" customWidth="true"/>
    <col min="3" max="3" width="17.5546875" customWidth="true"/>
    <col min="4" max="4" width="17.5546875" customWidth="true"/>
    <col min="5" max="5" width="17.5546875" customWidth="true"/>
    <col min="6" max="6" width="17.5546875" customWidth="true"/>
    <col min="7" max="7" width="17.55468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211</v>
      </c>
      <c r="B13" s="12">
        <v>1929</v>
      </c>
      <c r="C13" s="13">
        <f>+1*SUMIFS($C:$C,$B:$B,"&gt;=1911",$B:$B,"&lt;=1928")</f>
      </c>
      <c r="D13" s="13">
        <f>+1*SUMIFS($D:$D,$B:$B,"&gt;=1911",$B:$B,"&lt;=1928")</f>
      </c>
      <c r="E13" s="13">
        <f>+1*SUMIFS($E:$E,$B:$B,"&gt;=1911",$B:$B,"&lt;=1928")</f>
      </c>
      <c r="F13" s="13">
        <f>+1*SUMIFS($F:$F,$B:$B,"&gt;=1911",$B:$B,"&lt;=1928")</f>
      </c>
      <c r="G13" s="13">
        <f>$C13+$D13-$E13-$F13</f>
      </c>
    </row>
  </sheetData>
</worksheet>
</file>