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 tabRatio="598" firstSheet="11" activeTab="33"/>
  </bookViews>
  <sheets>
    <sheet name="Popis" sheetId="1" state="hidden" r:id="rId1"/>
    <sheet name="Suvaha_BO" sheetId="2" state="hidden" r:id="rId2"/>
    <sheet name="Suvaha_PO" sheetId="3" state="hidden" r:id="rId3"/>
    <sheet name="HK_BO" sheetId="4" state="hidden" r:id="rId4"/>
    <sheet name="HK_PO" sheetId="5" state="hidden" r:id="rId5"/>
    <sheet name="OPO_BO" sheetId="6" state="hidden" r:id="rId6"/>
    <sheet name="OPO_PO" sheetId="7" state="hidden" r:id="rId7"/>
    <sheet name="Uvod" sheetId="8" r:id="rId8"/>
    <sheet name="A." sheetId="9" r:id="rId9"/>
    <sheet name="B." sheetId="10" r:id="rId10"/>
    <sheet name="C. D." sheetId="11" r:id="rId11"/>
    <sheet name="E." sheetId="12" r:id="rId12"/>
    <sheet name="F. a) 1)" sheetId="13" r:id="rId13"/>
    <sheet name="F. a) 2)" sheetId="14" r:id="rId14"/>
    <sheet name="F. b) - h)" sheetId="15" state="hidden" r:id="rId15"/>
    <sheet name="F. i)" sheetId="16" state="hidden" r:id="rId16"/>
    <sheet name="F. j)" sheetId="17" state="hidden" r:id="rId17"/>
    <sheet name="F. j) - m)" sheetId="18" state="hidden" r:id="rId18"/>
    <sheet name="F.n) - p)" sheetId="19" state="hidden" r:id="rId19"/>
    <sheet name="F.q)" sheetId="20" state="hidden" r:id="rId20"/>
    <sheet name="F.r)" sheetId="21" r:id="rId21"/>
    <sheet name="F.w)-z)" sheetId="22" r:id="rId22"/>
    <sheet name="G.a)-b)" sheetId="23" r:id="rId23"/>
    <sheet name="G.c)-i)" sheetId="24" r:id="rId24"/>
    <sheet name="G.j)-m)" sheetId="25" state="hidden" r:id="rId25"/>
    <sheet name="H." sheetId="26" r:id="rId26"/>
    <sheet name="I." sheetId="27" r:id="rId27"/>
    <sheet name="J." sheetId="28" r:id="rId28"/>
    <sheet name="K." sheetId="29" r:id="rId29"/>
    <sheet name="L." sheetId="30" state="hidden" r:id="rId30"/>
    <sheet name="M." sheetId="31" r:id="rId31"/>
    <sheet name="N." sheetId="32" r:id="rId32"/>
    <sheet name="O." sheetId="33" r:id="rId33"/>
    <sheet name="P." sheetId="34" r:id="rId34"/>
    <sheet name="Hárok1" sheetId="35" r:id="rId35"/>
  </sheets>
  <definedNames>
    <definedName name="_xlnm.Print_Area" localSheetId="11">E.!$A$1:$I$151</definedName>
  </definedNames>
  <calcPr calcId="125725"/>
</workbook>
</file>

<file path=xl/calcChain.xml><?xml version="1.0" encoding="utf-8"?>
<calcChain xmlns="http://schemas.openxmlformats.org/spreadsheetml/2006/main">
  <c r="L24" i="28"/>
  <c r="G24"/>
  <c r="K6" i="24"/>
  <c r="E86" i="23"/>
  <c r="M52" i="34"/>
  <c r="K86" i="23"/>
  <c r="I86"/>
  <c r="G86"/>
  <c r="S67" i="22"/>
  <c r="G58" i="34"/>
  <c r="M23"/>
  <c r="M22"/>
  <c r="M21"/>
  <c r="M18"/>
  <c r="M8"/>
  <c r="K27"/>
  <c r="I27"/>
  <c r="G27"/>
  <c r="M54"/>
  <c r="M53"/>
  <c r="K58"/>
  <c r="I58"/>
  <c r="E27"/>
  <c r="E58"/>
  <c r="G20" i="28"/>
  <c r="L20"/>
  <c r="G9" i="24"/>
  <c r="M85" i="23"/>
  <c r="M84"/>
  <c r="K71"/>
  <c r="I71"/>
  <c r="G71"/>
  <c r="E71"/>
  <c r="M67" i="22"/>
  <c r="D32" i="21"/>
  <c r="M58" i="34" l="1"/>
  <c r="M27"/>
  <c r="E25" i="10"/>
  <c r="F25"/>
  <c r="G25"/>
  <c r="I25"/>
  <c r="E39"/>
  <c r="F39"/>
  <c r="G39"/>
  <c r="I39"/>
  <c r="B9" i="13"/>
  <c r="D9"/>
  <c r="E9"/>
  <c r="F9"/>
  <c r="G9"/>
  <c r="H9"/>
  <c r="B10"/>
  <c r="D10"/>
  <c r="E10"/>
  <c r="H10"/>
  <c r="B11"/>
  <c r="C11"/>
  <c r="D11"/>
  <c r="E11"/>
  <c r="F11"/>
  <c r="H11"/>
  <c r="H13" s="1"/>
  <c r="I12"/>
  <c r="B13"/>
  <c r="C13"/>
  <c r="D13"/>
  <c r="E13"/>
  <c r="G13"/>
  <c r="B15"/>
  <c r="D15"/>
  <c r="E15"/>
  <c r="F15"/>
  <c r="I15"/>
  <c r="B16"/>
  <c r="D16"/>
  <c r="E16"/>
  <c r="I16"/>
  <c r="B17"/>
  <c r="C17"/>
  <c r="D17"/>
  <c r="E17"/>
  <c r="F17"/>
  <c r="I17"/>
  <c r="B18"/>
  <c r="C18"/>
  <c r="D18"/>
  <c r="E18"/>
  <c r="F18"/>
  <c r="I18"/>
  <c r="B20"/>
  <c r="C20"/>
  <c r="D20"/>
  <c r="E20"/>
  <c r="F20"/>
  <c r="G20"/>
  <c r="H20"/>
  <c r="I20" s="1"/>
  <c r="B21"/>
  <c r="C21"/>
  <c r="D21"/>
  <c r="E21"/>
  <c r="F21"/>
  <c r="G21"/>
  <c r="H21"/>
  <c r="B22"/>
  <c r="C22"/>
  <c r="D22"/>
  <c r="E22"/>
  <c r="F22"/>
  <c r="F23" s="1"/>
  <c r="G22"/>
  <c r="H22"/>
  <c r="B23"/>
  <c r="C23"/>
  <c r="D23"/>
  <c r="E23"/>
  <c r="G23"/>
  <c r="H23"/>
  <c r="B25"/>
  <c r="C25"/>
  <c r="D25"/>
  <c r="E25"/>
  <c r="F25"/>
  <c r="G25"/>
  <c r="H25"/>
  <c r="B26"/>
  <c r="C26"/>
  <c r="D26"/>
  <c r="E26"/>
  <c r="G26"/>
  <c r="B47"/>
  <c r="D47"/>
  <c r="E47"/>
  <c r="F47"/>
  <c r="G47"/>
  <c r="H47"/>
  <c r="B48"/>
  <c r="D48"/>
  <c r="E48"/>
  <c r="F48"/>
  <c r="G48"/>
  <c r="H48"/>
  <c r="B49"/>
  <c r="C49"/>
  <c r="D49"/>
  <c r="E49"/>
  <c r="F49"/>
  <c r="G49"/>
  <c r="H49"/>
  <c r="I50"/>
  <c r="C51"/>
  <c r="E51"/>
  <c r="G51"/>
  <c r="B53"/>
  <c r="D53"/>
  <c r="E53"/>
  <c r="F53"/>
  <c r="I53" s="1"/>
  <c r="B54"/>
  <c r="D54"/>
  <c r="E54"/>
  <c r="F54"/>
  <c r="B55"/>
  <c r="C55"/>
  <c r="D55"/>
  <c r="E55"/>
  <c r="F55"/>
  <c r="B56"/>
  <c r="C56"/>
  <c r="D56"/>
  <c r="E56"/>
  <c r="F56"/>
  <c r="B58"/>
  <c r="C58"/>
  <c r="D58"/>
  <c r="E58"/>
  <c r="F58"/>
  <c r="G58"/>
  <c r="H58"/>
  <c r="B59"/>
  <c r="C59"/>
  <c r="D59"/>
  <c r="E59"/>
  <c r="F59"/>
  <c r="G59"/>
  <c r="H59"/>
  <c r="B60"/>
  <c r="B61" s="1"/>
  <c r="C60"/>
  <c r="D60"/>
  <c r="D61" s="1"/>
  <c r="E60"/>
  <c r="F60"/>
  <c r="G60"/>
  <c r="H60"/>
  <c r="I60" s="1"/>
  <c r="C61"/>
  <c r="E61"/>
  <c r="E64" s="1"/>
  <c r="G61"/>
  <c r="G64" s="1"/>
  <c r="B63"/>
  <c r="C63"/>
  <c r="D63"/>
  <c r="E63"/>
  <c r="F63"/>
  <c r="G63"/>
  <c r="H63"/>
  <c r="B8" i="14"/>
  <c r="E8"/>
  <c r="F8"/>
  <c r="H8"/>
  <c r="I8"/>
  <c r="B9"/>
  <c r="C9"/>
  <c r="E9"/>
  <c r="F9"/>
  <c r="I9"/>
  <c r="B10"/>
  <c r="E10"/>
  <c r="F10"/>
  <c r="H12"/>
  <c r="I10"/>
  <c r="J11"/>
  <c r="B12"/>
  <c r="C12"/>
  <c r="D12"/>
  <c r="E12"/>
  <c r="F12"/>
  <c r="G12"/>
  <c r="I12"/>
  <c r="E14"/>
  <c r="F14"/>
  <c r="C15"/>
  <c r="E15"/>
  <c r="F15"/>
  <c r="C16"/>
  <c r="E16"/>
  <c r="F16"/>
  <c r="F17" s="1"/>
  <c r="C17"/>
  <c r="D17"/>
  <c r="E17"/>
  <c r="G17"/>
  <c r="B19"/>
  <c r="C19"/>
  <c r="D19"/>
  <c r="E19"/>
  <c r="F19"/>
  <c r="G19"/>
  <c r="H19"/>
  <c r="I19"/>
  <c r="B20"/>
  <c r="C20"/>
  <c r="D20"/>
  <c r="E20"/>
  <c r="F20"/>
  <c r="G20"/>
  <c r="H20"/>
  <c r="I20"/>
  <c r="B21"/>
  <c r="C21"/>
  <c r="D21"/>
  <c r="D22" s="1"/>
  <c r="E21"/>
  <c r="F21"/>
  <c r="F22" s="1"/>
  <c r="G21"/>
  <c r="H21"/>
  <c r="H22" s="1"/>
  <c r="I21"/>
  <c r="J21"/>
  <c r="B22"/>
  <c r="C22"/>
  <c r="E22"/>
  <c r="G22"/>
  <c r="I22"/>
  <c r="B24"/>
  <c r="C24"/>
  <c r="D24"/>
  <c r="E24"/>
  <c r="F24"/>
  <c r="G24"/>
  <c r="H24"/>
  <c r="I24"/>
  <c r="B25"/>
  <c r="C25"/>
  <c r="E25"/>
  <c r="G25"/>
  <c r="I25"/>
  <c r="B45"/>
  <c r="E45"/>
  <c r="F45"/>
  <c r="H45"/>
  <c r="I45"/>
  <c r="J45" s="1"/>
  <c r="B46"/>
  <c r="E46"/>
  <c r="F46"/>
  <c r="I46"/>
  <c r="B47"/>
  <c r="E47"/>
  <c r="F47"/>
  <c r="I47"/>
  <c r="I49" s="1"/>
  <c r="B49"/>
  <c r="C49"/>
  <c r="D49"/>
  <c r="E49"/>
  <c r="F49"/>
  <c r="H49"/>
  <c r="E51"/>
  <c r="F51"/>
  <c r="C52"/>
  <c r="E52"/>
  <c r="F52"/>
  <c r="C53"/>
  <c r="E53"/>
  <c r="E54" s="1"/>
  <c r="F53"/>
  <c r="G54"/>
  <c r="D54"/>
  <c r="F54"/>
  <c r="B56"/>
  <c r="C56"/>
  <c r="D56"/>
  <c r="E56"/>
  <c r="F56"/>
  <c r="G56"/>
  <c r="H56"/>
  <c r="I56"/>
  <c r="B57"/>
  <c r="C57"/>
  <c r="D57"/>
  <c r="E57"/>
  <c r="F57"/>
  <c r="G57"/>
  <c r="H57"/>
  <c r="I57"/>
  <c r="J57"/>
  <c r="B58"/>
  <c r="C58"/>
  <c r="D58"/>
  <c r="E58"/>
  <c r="F58"/>
  <c r="G58"/>
  <c r="H58"/>
  <c r="I58"/>
  <c r="J58" s="1"/>
  <c r="B59"/>
  <c r="C59"/>
  <c r="D59"/>
  <c r="E59"/>
  <c r="F59"/>
  <c r="G59"/>
  <c r="H59"/>
  <c r="B61"/>
  <c r="C61"/>
  <c r="D61"/>
  <c r="E61"/>
  <c r="F61"/>
  <c r="G61"/>
  <c r="H61"/>
  <c r="I61"/>
  <c r="B62"/>
  <c r="D62"/>
  <c r="F62"/>
  <c r="H62"/>
  <c r="L22" i="16"/>
  <c r="B8" i="17"/>
  <c r="C8"/>
  <c r="J8" s="1"/>
  <c r="D8"/>
  <c r="E8"/>
  <c r="F8"/>
  <c r="G8"/>
  <c r="H8"/>
  <c r="I8"/>
  <c r="B9"/>
  <c r="C9"/>
  <c r="D9"/>
  <c r="E9"/>
  <c r="F9"/>
  <c r="G9"/>
  <c r="H9"/>
  <c r="I9"/>
  <c r="B10"/>
  <c r="B12" s="1"/>
  <c r="B20" s="1"/>
  <c r="C10"/>
  <c r="D10"/>
  <c r="D12" s="1"/>
  <c r="D20" s="1"/>
  <c r="E10"/>
  <c r="F10"/>
  <c r="F12" s="1"/>
  <c r="F20" s="1"/>
  <c r="G10"/>
  <c r="H10"/>
  <c r="H12" s="1"/>
  <c r="H20" s="1"/>
  <c r="I10"/>
  <c r="J11"/>
  <c r="C12"/>
  <c r="E12"/>
  <c r="G12"/>
  <c r="I12"/>
  <c r="B14"/>
  <c r="C14"/>
  <c r="D14"/>
  <c r="E14"/>
  <c r="F14"/>
  <c r="G14"/>
  <c r="H14"/>
  <c r="I14"/>
  <c r="B15"/>
  <c r="C15"/>
  <c r="J15" s="1"/>
  <c r="D15"/>
  <c r="E15"/>
  <c r="F15"/>
  <c r="G15"/>
  <c r="H15"/>
  <c r="I15"/>
  <c r="B16"/>
  <c r="C16"/>
  <c r="D16"/>
  <c r="E16"/>
  <c r="F16"/>
  <c r="G16"/>
  <c r="H16"/>
  <c r="I16"/>
  <c r="B17"/>
  <c r="C17"/>
  <c r="C20" s="1"/>
  <c r="D17"/>
  <c r="E17"/>
  <c r="E20" s="1"/>
  <c r="F17"/>
  <c r="G17"/>
  <c r="G20" s="1"/>
  <c r="H17"/>
  <c r="B19"/>
  <c r="C19"/>
  <c r="D19"/>
  <c r="E19"/>
  <c r="F19"/>
  <c r="G19"/>
  <c r="H19"/>
  <c r="I19"/>
  <c r="B47"/>
  <c r="C47"/>
  <c r="D47"/>
  <c r="E47"/>
  <c r="F47"/>
  <c r="G47"/>
  <c r="H47"/>
  <c r="I47"/>
  <c r="J47" s="1"/>
  <c r="B48"/>
  <c r="C48"/>
  <c r="D48"/>
  <c r="E48"/>
  <c r="F48"/>
  <c r="G48"/>
  <c r="H48"/>
  <c r="I48"/>
  <c r="B49"/>
  <c r="B51" s="1"/>
  <c r="C49"/>
  <c r="D49"/>
  <c r="D51" s="1"/>
  <c r="E49"/>
  <c r="E51" s="1"/>
  <c r="F49"/>
  <c r="F51" s="1"/>
  <c r="G49"/>
  <c r="H49"/>
  <c r="H51" s="1"/>
  <c r="I49"/>
  <c r="I51" s="1"/>
  <c r="I59" s="1"/>
  <c r="J50"/>
  <c r="C51"/>
  <c r="G51"/>
  <c r="B53"/>
  <c r="C53"/>
  <c r="D53"/>
  <c r="E53"/>
  <c r="F53"/>
  <c r="G53"/>
  <c r="H53"/>
  <c r="I53"/>
  <c r="B54"/>
  <c r="C54"/>
  <c r="D54"/>
  <c r="E54"/>
  <c r="F54"/>
  <c r="G54"/>
  <c r="H54"/>
  <c r="I54"/>
  <c r="B55"/>
  <c r="B56" s="1"/>
  <c r="C55"/>
  <c r="D55"/>
  <c r="D56" s="1"/>
  <c r="E55"/>
  <c r="F55"/>
  <c r="F56" s="1"/>
  <c r="G55"/>
  <c r="H55"/>
  <c r="H56" s="1"/>
  <c r="I55"/>
  <c r="J55"/>
  <c r="C56"/>
  <c r="C59" s="1"/>
  <c r="E56"/>
  <c r="G56"/>
  <c r="G59" s="1"/>
  <c r="I56"/>
  <c r="B58"/>
  <c r="C58"/>
  <c r="D58"/>
  <c r="E58"/>
  <c r="F58"/>
  <c r="G58"/>
  <c r="H58"/>
  <c r="I58"/>
  <c r="G6" i="18"/>
  <c r="G7"/>
  <c r="G10" s="1"/>
  <c r="G8"/>
  <c r="G9"/>
  <c r="C10"/>
  <c r="D10"/>
  <c r="E10"/>
  <c r="F10"/>
  <c r="G16"/>
  <c r="G17"/>
  <c r="G18"/>
  <c r="G19"/>
  <c r="C20"/>
  <c r="D20"/>
  <c r="E20"/>
  <c r="F20"/>
  <c r="D13" i="19"/>
  <c r="E13"/>
  <c r="F13"/>
  <c r="D14"/>
  <c r="E14"/>
  <c r="F14"/>
  <c r="D15"/>
  <c r="E15"/>
  <c r="F15"/>
  <c r="D16"/>
  <c r="E16"/>
  <c r="E20" s="1"/>
  <c r="F16"/>
  <c r="D17"/>
  <c r="H18"/>
  <c r="D19"/>
  <c r="E19"/>
  <c r="F19"/>
  <c r="G20"/>
  <c r="D8" i="20"/>
  <c r="F8"/>
  <c r="H8"/>
  <c r="D25"/>
  <c r="F25"/>
  <c r="H25"/>
  <c r="G6" i="21"/>
  <c r="E7"/>
  <c r="F7"/>
  <c r="G7"/>
  <c r="E8"/>
  <c r="F8"/>
  <c r="G8"/>
  <c r="E9"/>
  <c r="F9"/>
  <c r="G9"/>
  <c r="E10"/>
  <c r="F10"/>
  <c r="F11" s="1"/>
  <c r="G10"/>
  <c r="H11"/>
  <c r="H18"/>
  <c r="H19"/>
  <c r="H20"/>
  <c r="H21"/>
  <c r="H22"/>
  <c r="D23"/>
  <c r="F23"/>
  <c r="H25"/>
  <c r="H26"/>
  <c r="H27"/>
  <c r="H28"/>
  <c r="H29"/>
  <c r="H30"/>
  <c r="H31"/>
  <c r="F32"/>
  <c r="D41"/>
  <c r="G41"/>
  <c r="D44"/>
  <c r="G44"/>
  <c r="I9" i="22"/>
  <c r="Q9"/>
  <c r="I21"/>
  <c r="M21"/>
  <c r="Q21"/>
  <c r="U21"/>
  <c r="E29"/>
  <c r="I29"/>
  <c r="M29"/>
  <c r="Q29"/>
  <c r="U29"/>
  <c r="G51"/>
  <c r="M51"/>
  <c r="S51"/>
  <c r="I31" i="23"/>
  <c r="I44"/>
  <c r="I55"/>
  <c r="L55"/>
  <c r="M63"/>
  <c r="M64"/>
  <c r="M65"/>
  <c r="M67"/>
  <c r="M68"/>
  <c r="M69"/>
  <c r="M70"/>
  <c r="M71"/>
  <c r="M79"/>
  <c r="M80"/>
  <c r="M82"/>
  <c r="M83"/>
  <c r="M86"/>
  <c r="G6" i="24"/>
  <c r="G30"/>
  <c r="G32" s="1"/>
  <c r="K32"/>
  <c r="G57" i="25"/>
  <c r="K57"/>
  <c r="C67"/>
  <c r="E67"/>
  <c r="G67"/>
  <c r="I67"/>
  <c r="K67"/>
  <c r="M67"/>
  <c r="C14" i="26"/>
  <c r="E14"/>
  <c r="G14"/>
  <c r="I14"/>
  <c r="K14"/>
  <c r="M14"/>
  <c r="I55"/>
  <c r="L55"/>
  <c r="G66"/>
  <c r="K66"/>
  <c r="D25" i="14" l="1"/>
  <c r="J24"/>
  <c r="C64" i="13"/>
  <c r="H32" i="21"/>
  <c r="H23"/>
  <c r="H19" i="19"/>
  <c r="J48" i="17"/>
  <c r="J12"/>
  <c r="E62" i="14"/>
  <c r="J53"/>
  <c r="J51"/>
  <c r="J47"/>
  <c r="J19"/>
  <c r="I58" i="13"/>
  <c r="I55"/>
  <c r="G11" i="21"/>
  <c r="E11"/>
  <c r="G20" i="18"/>
  <c r="E59" i="17"/>
  <c r="J53"/>
  <c r="F59"/>
  <c r="D59"/>
  <c r="B59"/>
  <c r="J16"/>
  <c r="J10"/>
  <c r="J9"/>
  <c r="C54" i="14"/>
  <c r="J54" s="1"/>
  <c r="J52"/>
  <c r="G49"/>
  <c r="G62" s="1"/>
  <c r="H61" i="13"/>
  <c r="I61" s="1"/>
  <c r="F61"/>
  <c r="I59"/>
  <c r="I56"/>
  <c r="I54"/>
  <c r="I10" i="21"/>
  <c r="I9"/>
  <c r="I7"/>
  <c r="F20" i="19"/>
  <c r="H16"/>
  <c r="H14"/>
  <c r="J54" i="17"/>
  <c r="J49"/>
  <c r="J14"/>
  <c r="J19" s="1"/>
  <c r="J61" i="14"/>
  <c r="J56"/>
  <c r="J20"/>
  <c r="J16"/>
  <c r="J14"/>
  <c r="J10"/>
  <c r="J9"/>
  <c r="J8"/>
  <c r="I49" i="13"/>
  <c r="I47"/>
  <c r="I25"/>
  <c r="I22"/>
  <c r="H26"/>
  <c r="I11"/>
  <c r="I8" i="21"/>
  <c r="I6"/>
  <c r="H17" i="19"/>
  <c r="H20" s="1"/>
  <c r="H15"/>
  <c r="H13"/>
  <c r="J56" i="17"/>
  <c r="H59"/>
  <c r="J51"/>
  <c r="J58"/>
  <c r="J46" i="14"/>
  <c r="J22"/>
  <c r="H25"/>
  <c r="F25"/>
  <c r="J17"/>
  <c r="J15"/>
  <c r="J12"/>
  <c r="I63" i="13"/>
  <c r="H51"/>
  <c r="H64" s="1"/>
  <c r="F51"/>
  <c r="F64" s="1"/>
  <c r="D51"/>
  <c r="D64" s="1"/>
  <c r="I48"/>
  <c r="I23"/>
  <c r="I21"/>
  <c r="I10"/>
  <c r="J59" i="17"/>
  <c r="D20" i="19"/>
  <c r="I17" i="17"/>
  <c r="I59" i="14"/>
  <c r="B51" i="13"/>
  <c r="F13"/>
  <c r="I11" i="21" l="1"/>
  <c r="J25" i="14"/>
  <c r="J49"/>
  <c r="C62"/>
  <c r="F26" i="13"/>
  <c r="I26" s="1"/>
  <c r="I13"/>
  <c r="J59" i="14"/>
  <c r="I62"/>
  <c r="I51" i="13"/>
  <c r="B64"/>
  <c r="I64" s="1"/>
  <c r="J17" i="17"/>
  <c r="J20" s="1"/>
  <c r="I20"/>
  <c r="J62" i="14" l="1"/>
</calcChain>
</file>

<file path=xl/sharedStrings.xml><?xml version="1.0" encoding="utf-8"?>
<sst xmlns="http://schemas.openxmlformats.org/spreadsheetml/2006/main" count="2678" uniqueCount="1327">
  <si>
    <t>32503</t>
  </si>
  <si>
    <t>416-416*</t>
  </si>
  <si>
    <t>391-391*</t>
  </si>
  <si>
    <t>194-194*</t>
  </si>
  <si>
    <t>F.h) Prehľad o výskumnej a vývojovej činnosti v bežnom období</t>
  </si>
  <si>
    <t>c/ rozpracované v časti G.</t>
  </si>
  <si>
    <t>E. Informácie o účtovných zásadách a účtovných metódach</t>
  </si>
  <si>
    <t>Stav OP na konci účtovného obdobia</t>
  </si>
  <si>
    <t>ZC predaného DHM a DNM</t>
  </si>
  <si>
    <t>Príjmy budúcich období</t>
  </si>
  <si>
    <t>DPH odpočet-tuzemsko 19%</t>
  </si>
  <si>
    <t>Stroje,prístroje a zvlášne tech.zariad.</t>
  </si>
  <si>
    <t>474-474*</t>
  </si>
  <si>
    <t>Záväzky sociálneho fondu (472)</t>
  </si>
  <si>
    <t>štatutárnych</t>
  </si>
  <si>
    <t>54801</t>
  </si>
  <si>
    <t>Ostat.služby /nečlenené/nezahŕň.do DPPO</t>
  </si>
  <si>
    <t>51809</t>
  </si>
  <si>
    <t>Pestovateľské celky trval. porastov (025) - /085, 092A/</t>
  </si>
  <si>
    <t>H. f) Mimoriadne výnosy, týkajúce sa bežného obdobia a týkajúce sa minulých období</t>
  </si>
  <si>
    <t>Časť 2 - Bezprostredne predchádzajúce účtovné obdobie</t>
  </si>
  <si>
    <t>51807</t>
  </si>
  <si>
    <t>33620</t>
  </si>
  <si>
    <t>025-025*</t>
  </si>
  <si>
    <t>A. c) Priemerný počet zamestnancov počas účtovného obdobia</t>
  </si>
  <si>
    <t>Bankové účty termínované</t>
  </si>
  <si>
    <t>64201</t>
  </si>
  <si>
    <t>Úroky platené bankou - bežný účet</t>
  </si>
  <si>
    <t>Pohľadávky z derivátov</t>
  </si>
  <si>
    <t>Ostat.pohľ.-zložené kaucie/prenájom</t>
  </si>
  <si>
    <t>Obstar.hmot.dlh.majteku od 160-1700,-Eur</t>
  </si>
  <si>
    <t>Zmena základného imania (+/- 419)</t>
  </si>
  <si>
    <t>Rozsah účtov</t>
  </si>
  <si>
    <t>Očakávané budúce obchody dosiaľ zmluvne nezabezpečené</t>
  </si>
  <si>
    <t>Prevod do nerozdeleného zisku minulých rokov</t>
  </si>
  <si>
    <t>A. f) Dátum schválenia účtovnej závierky za predchádzajúce obdobie:</t>
  </si>
  <si>
    <t>b</t>
  </si>
  <si>
    <t>Prijaté pôžičky-Marek Vojtech</t>
  </si>
  <si>
    <t>Záväzky voči spoločníkom a združeniu (364, 365, 366, 367, 368, 398A, 478A, 479A)</t>
  </si>
  <si>
    <t>Oceňovacie rozdiely z precenenia pri zlúčení, splynutí a rozdelení (+/- 416)</t>
  </si>
  <si>
    <t>083-083*</t>
  </si>
  <si>
    <t>-</t>
  </si>
  <si>
    <t>Zmena spoločníkov účtovnej jednotky</t>
  </si>
  <si>
    <t>Položka vlastného imania</t>
  </si>
  <si>
    <t>Inventár</t>
  </si>
  <si>
    <t>Ostatné významné položky výnosov z hospodárskej činnosti, z toho:</t>
  </si>
  <si>
    <t>j/ rozpracované v časti O.</t>
  </si>
  <si>
    <t>54601</t>
  </si>
  <si>
    <t>Platnosť zmluvy od - do</t>
  </si>
  <si>
    <t>Stav OP na začiatku účt. Obdobia</t>
  </si>
  <si>
    <t>Poistený majetok</t>
  </si>
  <si>
    <t>Poskyt- nuté preddav- ky na DFM</t>
  </si>
  <si>
    <t>Hodnota vlastných akcií vlastnená účtovnou jednotkou alebo ňou ovládanými osobami, v ktorých má účtovná jednotka podstatný vplyv</t>
  </si>
  <si>
    <t>Poštovné</t>
  </si>
  <si>
    <t>383-383*</t>
  </si>
  <si>
    <t>G. h) Vydané dlhopisy</t>
  </si>
  <si>
    <t>Rezerva na nevybr.dovolen.min.rok</t>
  </si>
  <si>
    <t>DIČ</t>
  </si>
  <si>
    <t>091-091*</t>
  </si>
  <si>
    <t>DPH plnenie-nákup z EÚ 19%</t>
  </si>
  <si>
    <t>41101</t>
  </si>
  <si>
    <t>Obstarávanie krátkodobého finanč. majetku</t>
  </si>
  <si>
    <t>Stav zamestnancov ku dňu, ku ktorému sa zostavuje účtovná závierka, z toho:</t>
  </si>
  <si>
    <t>Výdavky budúcich období krátkodobé, z toho</t>
  </si>
  <si>
    <t>Opravná položka k pohľadávkam /315/</t>
  </si>
  <si>
    <t>Vyradenie pôžičky z účtovníctva v účtovnom období</t>
  </si>
  <si>
    <t>Výnosy budúcich období krátkodobé, z toho</t>
  </si>
  <si>
    <t>Prídel do zákonného rezervného fondu</t>
  </si>
  <si>
    <t>Pokladnica ústredie/P01 v EUR</t>
  </si>
  <si>
    <t>351-351*</t>
  </si>
  <si>
    <t>Práva z licenčných zmlúv</t>
  </si>
  <si>
    <t>Účtovná strata</t>
  </si>
  <si>
    <t>Dlhodobý finančný majetok</t>
  </si>
  <si>
    <t>Dát.zmeny</t>
  </si>
  <si>
    <t>Dcérska účtovná jednotka / Materská účtovná jednotka</t>
  </si>
  <si>
    <t>343219</t>
  </si>
  <si>
    <t>412-412*</t>
  </si>
  <si>
    <t>395-395*</t>
  </si>
  <si>
    <t>341-341*; 342-342*; 343-343*; 345-345*; 347-347*</t>
  </si>
  <si>
    <t>N. a) Zoznam obchodov medzi účtovnou jednotkou a spriaznenými osobami</t>
  </si>
  <si>
    <t>Z poskytnutých záruk</t>
  </si>
  <si>
    <t>Dlhodobý nehmotný majetok, na ktorý je zriadené záložné právo</t>
  </si>
  <si>
    <t>Záv.z mandát.zml./rulety/prevádzky</t>
  </si>
  <si>
    <t>Obstará- vaný DFM</t>
  </si>
  <si>
    <t>Náklady budúcich období krátkodobé, z toho:</t>
  </si>
  <si>
    <t>Zvýšenie hodnoty</t>
  </si>
  <si>
    <t>Dlhové CP držané do splatnosti</t>
  </si>
  <si>
    <t>individuálnej účtovnej závierky</t>
  </si>
  <si>
    <t>Opravy a udržiavanie ostatné</t>
  </si>
  <si>
    <t>021-021*</t>
  </si>
  <si>
    <t>Kurzové zisky, z toho:</t>
  </si>
  <si>
    <t>dozorných</t>
  </si>
  <si>
    <t>Číslo telefónu</t>
  </si>
  <si>
    <t>Obstar. hodnota</t>
  </si>
  <si>
    <t>Názov obce</t>
  </si>
  <si>
    <t>Spotreba papiera/kancelársky/</t>
  </si>
  <si>
    <t>26101</t>
  </si>
  <si>
    <t>043-043*</t>
  </si>
  <si>
    <t>Poskytnuté preddavky na dlhodobý hmotný majetok (052) - 095A</t>
  </si>
  <si>
    <t>032-032*; 084-084*; 088-088*; 089-089*</t>
  </si>
  <si>
    <t>POZNÁMKY</t>
  </si>
  <si>
    <t>Pôžičky ÚJ v kons. Celku</t>
  </si>
  <si>
    <t>N. Informácie k údajom o ekonomických vzťahoch so spriaznenými osobami</t>
  </si>
  <si>
    <t>Iné záväzky-pokuty,penále,sankč.úr.</t>
  </si>
  <si>
    <t>Krátkodobý finančný majetok (251, 253, 256, 257, 25X) - /291, 29X/</t>
  </si>
  <si>
    <t>F.i) Štruktúra dlhodobého finančného majetku podľa položiek súvahy</t>
  </si>
  <si>
    <t>Krátkodobé finančné výpomoci</t>
  </si>
  <si>
    <t>h</t>
  </si>
  <si>
    <t>53806</t>
  </si>
  <si>
    <t>Vnútorné zúčt.-rulety z mand.zml.</t>
  </si>
  <si>
    <t>097-097*; 098-098*</t>
  </si>
  <si>
    <t>Poskytnuté preddavky na dlhodobý nehm. majetok (051) - 095A</t>
  </si>
  <si>
    <t>Spotreba ostatného materiálu</t>
  </si>
  <si>
    <t>Nevyfakturované dodávky</t>
  </si>
  <si>
    <t>419-419*</t>
  </si>
  <si>
    <t>PS</t>
  </si>
  <si>
    <t>Dôvod na zostavenie mimoriadnej účtovnej závierky:</t>
  </si>
  <si>
    <t>Peňažné preddavky</t>
  </si>
  <si>
    <t>Kurzové zisky-z prepočtu meny 31.12.</t>
  </si>
  <si>
    <t>38104</t>
  </si>
  <si>
    <t>Peniaze na ceste-BÚ/P01,vnútroprevody</t>
  </si>
  <si>
    <t>124-124*</t>
  </si>
  <si>
    <t>Zmeny hodnoty majetku pri použití metódy vlastného imania</t>
  </si>
  <si>
    <t>Dátum založenia:</t>
  </si>
  <si>
    <t>Suma istiny v príslušnej mene za bežné účtovné obdobie</t>
  </si>
  <si>
    <t>Spoločník, akcionár do dňa zmeny v štruktúre spoločníkov, akcionárov</t>
  </si>
  <si>
    <t>F.c) 2) Prehľad o dlhodobom hmotnom majetku, na ktorý je zriadené záložné právo, alebo pri ktorom má účtovná jednotka obmedzené právo s ním nakladať</t>
  </si>
  <si>
    <t>Obstará- vaný DNM</t>
  </si>
  <si>
    <t>Vplyv ocenenia na výsledok hospodárenia bežného účtovného obdobia</t>
  </si>
  <si>
    <t>Dátum vzniku:</t>
  </si>
  <si>
    <t>C. a)</t>
  </si>
  <si>
    <t>51803</t>
  </si>
  <si>
    <t>08201</t>
  </si>
  <si>
    <t>Náklady budúcich období krátkodobé (381A, 382A)</t>
  </si>
  <si>
    <t>051-051*</t>
  </si>
  <si>
    <t>Pestova- teľské celky trvalých porastov</t>
  </si>
  <si>
    <t>Pohľadávky voči spoločníkom, členom a združeniu</t>
  </si>
  <si>
    <t>DPH plnenie-nákup z EÚ 20%</t>
  </si>
  <si>
    <t>31101</t>
  </si>
  <si>
    <t>f</t>
  </si>
  <si>
    <t>D celkový</t>
  </si>
  <si>
    <t>Oceňovacie rozdiely z precenenia majetku a záväzkov</t>
  </si>
  <si>
    <t>095-095*</t>
  </si>
  <si>
    <t>Nepeňažné príjmy</t>
  </si>
  <si>
    <t>Pohľ. voči spoločníkom, členom a združeniu (354A, 355A, 358A, 35XA, 398A) - 391A</t>
  </si>
  <si>
    <t>Krátkodobé finančné výpomoci (241, 249, 24X, 473A, /-/255A)</t>
  </si>
  <si>
    <t>G.b) 2.)Tvorba a čerpanie rezerv v bezprostredne predchádzajúcom roku</t>
  </si>
  <si>
    <t>Prírastky</t>
  </si>
  <si>
    <t>Dlhodobý finančný majetok, na ktorý je zriadené záložné právo</t>
  </si>
  <si>
    <t>02101</t>
  </si>
  <si>
    <t>Aktivované náklady na vývoj</t>
  </si>
  <si>
    <t>Účtovné jednotky s podstatným vplyvom</t>
  </si>
  <si>
    <t>Opravy a udržiavanie VT,strojov a zariad</t>
  </si>
  <si>
    <t>Výsledok hospodárenia pred zdanením, z toho</t>
  </si>
  <si>
    <t>Adresa registrového súdu, ktorý vedie obchodný register, v ktorom sa uložia tieto kosolidované účtovné závierky:</t>
  </si>
  <si>
    <t>02101</t>
  </si>
  <si>
    <t>Názov orgánu</t>
  </si>
  <si>
    <t>Krátkodobý finančný majetok spolu</t>
  </si>
  <si>
    <t>Účtovný zisk</t>
  </si>
  <si>
    <t>Tržby z prenájmu-systém Dostihy</t>
  </si>
  <si>
    <t>Názov vydaného dlhopisu</t>
  </si>
  <si>
    <t>Kurzové zisky ku dňu, ku ktorému sa zostavuje účtovná závierka</t>
  </si>
  <si>
    <t>481-481*</t>
  </si>
  <si>
    <t>Vplyv ocenenia na vlastné imanie</t>
  </si>
  <si>
    <t>Zmena základného imania</t>
  </si>
  <si>
    <t>J. Informácie k údajom o daniach z príjmov</t>
  </si>
  <si>
    <t>32302</t>
  </si>
  <si>
    <t>014-014*</t>
  </si>
  <si>
    <t>Prijatie rozhodnutia o predaji účtovnej jednotky alebo jej časti</t>
  </si>
  <si>
    <t>Zníženie hodnoty</t>
  </si>
  <si>
    <t>Samos- tatné hnuteľné veci a súbory hn. vecí</t>
  </si>
  <si>
    <t>343319</t>
  </si>
  <si>
    <t>51820</t>
  </si>
  <si>
    <t>DPH odpočet-tuzemsko 20%</t>
  </si>
  <si>
    <t>Pohľadávky za upísané vlastné imanie</t>
  </si>
  <si>
    <t>Oceňovacie rozdiely z precenenia pri zlúčení, splynutí a rozdelení</t>
  </si>
  <si>
    <t>l/ rozpracované v časti R.</t>
  </si>
  <si>
    <t>Náklady na zákazkovú výrobu</t>
  </si>
  <si>
    <t>Spotr.drobného majetku od 31-160,-Eur</t>
  </si>
  <si>
    <t>Záväzky voči dcérskej účtovnej jednotke a materskej účtovnej jednotke (361A, 471A)</t>
  </si>
  <si>
    <t>Dlhodobý hmotný majetok</t>
  </si>
  <si>
    <t>G. m) Majetok prenajatý formou finančného prenájmu - u nájomcu</t>
  </si>
  <si>
    <t>395051</t>
  </si>
  <si>
    <t>Ostatný DNM</t>
  </si>
  <si>
    <t>Dlhodobé bankové úvery</t>
  </si>
  <si>
    <t>Tvorba sociálneho fondu zo zisku</t>
  </si>
  <si>
    <t>51805</t>
  </si>
  <si>
    <t>Tvorba a zúčt.oprav.polož.k pohľ./ostatn</t>
  </si>
  <si>
    <t>od</t>
  </si>
  <si>
    <t>Dlhodobý hmotný majetok, na ktorý je zriadené záložné právo</t>
  </si>
  <si>
    <t>417-418*</t>
  </si>
  <si>
    <t>Zostavené dňa:</t>
  </si>
  <si>
    <t>/</t>
  </si>
  <si>
    <t>DPH plnenie-tuzemsko 20%</t>
  </si>
  <si>
    <t>34101</t>
  </si>
  <si>
    <t>Krátkodobé pohľadávky spolu</t>
  </si>
  <si>
    <t>Schválené dňa:</t>
  </si>
  <si>
    <t>Oceniteľné práva</t>
  </si>
  <si>
    <t>Súvisiace audítorské služby</t>
  </si>
  <si>
    <t>54905</t>
  </si>
  <si>
    <t>39501</t>
  </si>
  <si>
    <t>Druh podmieneného záväzku</t>
  </si>
  <si>
    <t>F.j. 3) Štruktúra dlhových cenných papierov držaných do splatnosti</t>
  </si>
  <si>
    <t>Suma istiny v príslušnej mene za bezprostredne predchádzajúce účtovné obdobie</t>
  </si>
  <si>
    <t>Výnosy zo zákazkovej výroby</t>
  </si>
  <si>
    <t>Bezprostredne predchá- dzajúce účtovné obdobie</t>
  </si>
  <si>
    <t>Spriaznenými osobami sú právnické osoby, ktoré sú vo vzťahu k účtovnej jednotke ovládanou osobou alebo ovládajúcou osobou, ktoré vykonávajú podstatný vplyv v účtovnej jednotke alebo je v nich vykonávaný podstatný vplyv účtovnou jednotkou, fyzické osoby, prostredníctvom ktorých vykonáva iná osoba v účtovnej jednotke podstatný vplyv, zamestnanci, zodpovední za riadenie a kontrolu činnosti účtovnej jednotky a ich blízke osoby a osoby zodpovedné za riadenie a kontrolu činnosti účtovnej jednotky, ktoré nie sú zamestnancami a ich blízke osoby, právnické osoby, v ktorých fyzické osoby horeuvedené vykonávajú podstatný vplyv a to aj sprostredkovane, osoby, ktoré vykonávajú v účtovnej jednotke a súčasne v inej účtovnej jednotke prostredníctvom členov štatutárnych orgánov, dozorných orgánov a iných orgánov taký vplyv, že súschopné ovplyvniť ekonomické zámery oboch účtovných jednotiek, osoby, ktoré poskytli účtovnej jednotke úver, a z tohto dôvodu sú schopné ovplyvniť ekonomické vzťahy s účtovnou jednotkou, osoby, s ktorými účtovná jednotka realizuje taký objem obchodov, že je od týchto osôb hospodársky závislá, vplyvom sa rozumie priamy aj sprostredkovaný vplyv.</t>
  </si>
  <si>
    <t>Spotreba elektrickej energie</t>
  </si>
  <si>
    <t>364-368*</t>
  </si>
  <si>
    <t>121-122*</t>
  </si>
  <si>
    <t>Majetok</t>
  </si>
  <si>
    <t>Úhrada straty spoločníkmi</t>
  </si>
  <si>
    <t>Spotr.čistiacich a hygien.,ochran.prostr</t>
  </si>
  <si>
    <t>Pohľ.voči zam-com/stravné lístky</t>
  </si>
  <si>
    <t>Software nad 2400,- Eur</t>
  </si>
  <si>
    <t>261-261*</t>
  </si>
  <si>
    <t>Ostatný DFM</t>
  </si>
  <si>
    <t>Mena</t>
  </si>
  <si>
    <t>Podielové CP a podiely v spoloč- nosti s podstat- ným vplyvom</t>
  </si>
  <si>
    <t>A. d) Podniky, v ktorých je podnik neobmedzene ručiacim spoločníkom</t>
  </si>
  <si>
    <t xml:space="preserve">zostavenej k </t>
  </si>
  <si>
    <t>Splatnosť</t>
  </si>
  <si>
    <t>701</t>
  </si>
  <si>
    <t>51801</t>
  </si>
  <si>
    <t>51104</t>
  </si>
  <si>
    <t>Spotreba kancelár.potrieb a tlačív</t>
  </si>
  <si>
    <t>Krátkodobé rezervy-VLT Amatic /náj.</t>
  </si>
  <si>
    <t>Typ výrobkov, tovarov, služieb (napr. A)</t>
  </si>
  <si>
    <t>Vlastné akcie a vlastné obchodné podiely</t>
  </si>
  <si>
    <t>Meno, Priezvisko, (obch. meno) člena</t>
  </si>
  <si>
    <t>Tržby z mandát.činností /par.41 DPH/</t>
  </si>
  <si>
    <t>31103</t>
  </si>
  <si>
    <t>F.q.4) Prehľad o zákazkovej výstavbe nehnuteľnosti určenej na predaj</t>
  </si>
  <si>
    <t>Záväzky zo sociálneho poistenia (336, 479A)</t>
  </si>
  <si>
    <t>Stavby</t>
  </si>
  <si>
    <t>M. Informácie k údajom o príjmoch členov orgánov spoločnosti</t>
  </si>
  <si>
    <t>d</t>
  </si>
  <si>
    <t>39505</t>
  </si>
  <si>
    <t>j</t>
  </si>
  <si>
    <t>Pred exportom vymažte ich obsah.</t>
  </si>
  <si>
    <t>Zo súdnych rozhodnutí</t>
  </si>
  <si>
    <t>Oprávky</t>
  </si>
  <si>
    <t>d/ rozpracované v časti H.</t>
  </si>
  <si>
    <t>Tržby z prenájmu-VLT videohry</t>
  </si>
  <si>
    <t>53101</t>
  </si>
  <si>
    <t>Sociálna poisťovňa-7000155733/8180</t>
  </si>
  <si>
    <t>32505</t>
  </si>
  <si>
    <t>Dlhodobý nehmotný majetok</t>
  </si>
  <si>
    <t>Dlhodobý hmotný majetok, pri ktorom má účtovná jednotka obmedzené právo s ním nakladať</t>
  </si>
  <si>
    <t>325051</t>
  </si>
  <si>
    <t>Výnosy budúcich období krátkodobé (384A)</t>
  </si>
  <si>
    <t>Mimoriadne výnosy, z toho:</t>
  </si>
  <si>
    <t>Tržby z predaja služieb</t>
  </si>
  <si>
    <t>F.b) Spôsob a výška poistenia dlhodobého majetku</t>
  </si>
  <si>
    <t>072-072*</t>
  </si>
  <si>
    <t>G. i. 1) Bankové úvery</t>
  </si>
  <si>
    <t>Podiel ÚJ na hlasovacích právach v %</t>
  </si>
  <si>
    <t>50202</t>
  </si>
  <si>
    <t>431-431*</t>
  </si>
  <si>
    <t>F.j. 1) Štruktúra dlhodobého finančného majetku a jeho zmena stavu</t>
  </si>
  <si>
    <t>Počet akcií (a.s.)</t>
  </si>
  <si>
    <t>Hodnota zákazkovej výroby</t>
  </si>
  <si>
    <t>428-428*</t>
  </si>
  <si>
    <t>Zvieratá</t>
  </si>
  <si>
    <t>Práva z investovania prostriedkov získaných oslobodením od dane z príjmov</t>
  </si>
  <si>
    <t>Spotreba plynu, tepla....</t>
  </si>
  <si>
    <t>Hospodár.výsledok v schvaľovaní</t>
  </si>
  <si>
    <t>Nemeňte názov týchto hárkov, inak nebudú správne fungovať vzorce, zabezpečujúce prenos údajov do tabuliek v Poznámkach.</t>
  </si>
  <si>
    <t>DPH plnenie-tuzemsko 19%</t>
  </si>
  <si>
    <t>Vlastné akcie a vlastné obchodné podiely (/-/252)</t>
  </si>
  <si>
    <t>mesiac</t>
  </si>
  <si>
    <t>Nerozdelený zisk r.2010</t>
  </si>
  <si>
    <t>Bezprostredne predchádzajúce obdobie</t>
  </si>
  <si>
    <t>viac ako päť rokov</t>
  </si>
  <si>
    <t>Goodwill</t>
  </si>
  <si>
    <t>F. Informácie k údajom vykázaným na strane aktív súvahy</t>
  </si>
  <si>
    <t>Konečný zostatok sociálneho fondu</t>
  </si>
  <si>
    <t>Zúčtovanie OP z dôvodu zániku opodstatne- nosti</t>
  </si>
  <si>
    <t>Spôsob výpočtu hodnoty</t>
  </si>
  <si>
    <t>A. Základné informácie o účtovnej jednotke</t>
  </si>
  <si>
    <t>B. Informácie o členoch štatutárnych orgánov, dozorných orgánov a iných orgánov účtovnej jednotky</t>
  </si>
  <si>
    <t>Odpis pohľadávky</t>
  </si>
  <si>
    <t>22101</t>
  </si>
  <si>
    <t>Nerozdelený zisk minulých rokov (428)</t>
  </si>
  <si>
    <t>381-382*</t>
  </si>
  <si>
    <t>G. Informácie k údajom vykázaným na strane pasív súvahy</t>
  </si>
  <si>
    <t>42905</t>
  </si>
  <si>
    <t>K. Informácie k údajom na podsúvahových účtoch</t>
  </si>
  <si>
    <t>Názov položky</t>
  </si>
  <si>
    <t>51819</t>
  </si>
  <si>
    <t>343320</t>
  </si>
  <si>
    <t>F.o.2) Nehnuteľnosti na predaj</t>
  </si>
  <si>
    <t>*) Vyznačuje sa krížikom</t>
  </si>
  <si>
    <t>Nerozdelený zisk minulých rokov</t>
  </si>
  <si>
    <t>Kurzové zisky-zahranič.fakt.,úhrady</t>
  </si>
  <si>
    <t>Náklady budúc.období /fa 32101/</t>
  </si>
  <si>
    <t>08101</t>
  </si>
  <si>
    <t>Výsledok hospodárenia bežného účtovného obdobia</t>
  </si>
  <si>
    <t>Podpisový záznam člena štatutárneho orgánu účtovnej jednotky alebo fyzickej osoby, ktorá je účt. jednotkou:</t>
  </si>
  <si>
    <t>Obchodné meno a sídlo spoločnosti, v ktorej má ÚJ umiestnený DFM</t>
  </si>
  <si>
    <t>56303</t>
  </si>
  <si>
    <t>51817</t>
  </si>
  <si>
    <t>Pohľad.z mand.zml./VLT,VHP/Synot,Uniplay</t>
  </si>
  <si>
    <t>331-331*; 333-333*</t>
  </si>
  <si>
    <t>063-063*; 065-065*</t>
  </si>
  <si>
    <t>Ostatné významné položky nákladov za poskytnuté služby, z toho:</t>
  </si>
  <si>
    <t>Čistý obrat celkom</t>
  </si>
  <si>
    <t>A. e) Právny dôvod na zostavenie účtovnej závierky</t>
  </si>
  <si>
    <t>predchádzajúce obdobie</t>
  </si>
  <si>
    <t>Tržby z predaja služieb-ostatné/zahranič</t>
  </si>
  <si>
    <t>Odpisy DHM nad 1700,- Eur</t>
  </si>
  <si>
    <t>Z hárku Suvaha_BO - F. a) 1), F. a) 2), F. j), F. o), F. r)</t>
  </si>
  <si>
    <t>Záväzky so zostatkovou dobou splatnosti do jedného roka vrátane</t>
  </si>
  <si>
    <t>Náklady budúcich období dlhodobé, z toho:</t>
  </si>
  <si>
    <t>Stav na začiatku účtovného obdobia</t>
  </si>
  <si>
    <t>38501</t>
  </si>
  <si>
    <t>Zamestnanci</t>
  </si>
  <si>
    <t>075-075*</t>
  </si>
  <si>
    <t>Číslo</t>
  </si>
  <si>
    <t>Bežné účtovné obdobie</t>
  </si>
  <si>
    <t>Bezpr. predch .obdobie</t>
  </si>
  <si>
    <t>Vyradenie dlhového CP z účtovníctva v účtovnom období</t>
  </si>
  <si>
    <t>Iné pohľadávky</t>
  </si>
  <si>
    <t>Kurzové straty ku dňu, ku ktorému sa zostavuje účtovná závierka</t>
  </si>
  <si>
    <t>Náklady</t>
  </si>
  <si>
    <t>51899</t>
  </si>
  <si>
    <t>32102</t>
  </si>
  <si>
    <t>Dlhodobé prijaté preddavky (475A)</t>
  </si>
  <si>
    <t>Zákonný rezervný fond (Nedeliteľný fond) z kapitálových vkladov (417, 418)</t>
  </si>
  <si>
    <t>mimoradna</t>
  </si>
  <si>
    <t>Ostatné realizovateľné CP</t>
  </si>
  <si>
    <t>Iné položky</t>
  </si>
  <si>
    <t>Záväzky po lehote splatnosti</t>
  </si>
  <si>
    <t>60205</t>
  </si>
  <si>
    <t>39102</t>
  </si>
  <si>
    <t>Materiál (112, 119, 11X) - /191, 19X/</t>
  </si>
  <si>
    <t>Stavby (021) - /081, 092A/</t>
  </si>
  <si>
    <t>Za obdobie</t>
  </si>
  <si>
    <t>Ostatné dlhodobé CP a podiely</t>
  </si>
  <si>
    <t>Bezprostredne predchádzajúce účtovné obdobie</t>
  </si>
  <si>
    <t>37801</t>
  </si>
  <si>
    <t>31504</t>
  </si>
  <si>
    <t>MD kladný</t>
  </si>
  <si>
    <t>Účty v bankách (221A, 22X +/-261)</t>
  </si>
  <si>
    <t>Spotreba vody, vodné a stočné</t>
  </si>
  <si>
    <t>Nerozdelený zisk r.2008</t>
  </si>
  <si>
    <t>Oceniteľné práva (014) - /074, 091A/</t>
  </si>
  <si>
    <t>Prvotné ocenenie</t>
  </si>
  <si>
    <t>Odložená daň z príjmov</t>
  </si>
  <si>
    <t>Nájomné-terminály videohrier /VLT/</t>
  </si>
  <si>
    <t>Poskytnuté preddavky na DNM</t>
  </si>
  <si>
    <t>Ostatné dôležité skutočnosti</t>
  </si>
  <si>
    <t>G.a. 5) Prehľad o zisku a strate, ktorá nebola účtovaná ako náklad alebo výnos, ale priamo na účty vlastného imania</t>
  </si>
  <si>
    <t>Druh majetku</t>
  </si>
  <si>
    <t>52101</t>
  </si>
  <si>
    <t>Miestne dane a popl./zák.582/2004</t>
  </si>
  <si>
    <t>Tovar (132, 133, 13X, 139) - /196, 19X/</t>
  </si>
  <si>
    <t>Peniaze na ceste</t>
  </si>
  <si>
    <t>Dôvod</t>
  </si>
  <si>
    <t>Krátkodobé rezervy, z toho:</t>
  </si>
  <si>
    <t>Zmeny významných položiek dlhodobého finančného majetku</t>
  </si>
  <si>
    <t>Spotreba odbornej literatúry</t>
  </si>
  <si>
    <t>33611</t>
  </si>
  <si>
    <t>Zákonný rezervný fond (421)</t>
  </si>
  <si>
    <t>Ostatné významné položky finančných nákladov, z toho:</t>
  </si>
  <si>
    <t>Peňažné príjmy</t>
  </si>
  <si>
    <t>Hodnota splateného základného imania</t>
  </si>
  <si>
    <t>60201</t>
  </si>
  <si>
    <t>Miestne popl. odpad,reklama/zák.544/1990</t>
  </si>
  <si>
    <t>Opr. položka k nadobudnutému majetku (+/- 097) +/- 098</t>
  </si>
  <si>
    <t>Záväzok vykázaný v súvahe</t>
  </si>
  <si>
    <t>Tvorba</t>
  </si>
  <si>
    <t>55102</t>
  </si>
  <si>
    <t>Neuhradená strata r.2006</t>
  </si>
  <si>
    <t>34506</t>
  </si>
  <si>
    <t>Nevyfakturované dodávky (326, 476A)</t>
  </si>
  <si>
    <t>F.a) 1) Prehľad o pohybe dlhodobého nehmotného majetku</t>
  </si>
  <si>
    <t>Záložným právom</t>
  </si>
  <si>
    <t>50104</t>
  </si>
  <si>
    <t>i/ rozpracované v časti M. a N.</t>
  </si>
  <si>
    <t>Náklady na zákazkovú výstavbu nehnuteľnosti určenej na predaj</t>
  </si>
  <si>
    <t>F.y) Krátkodobý finančný majetok, na ktorý bolo zriadené záložné právo, alebo pri ktorom má účtovná jednotka obmedzené právo s ním nakladať</t>
  </si>
  <si>
    <t>Emisné kvóty (komodity)</t>
  </si>
  <si>
    <t>F.q.1) Prehľad o zákazkovej výrobe</t>
  </si>
  <si>
    <t>J. f),  g) Porovnanie splatnej a odloženej dane z príjmov s daňou z výsledku hospodárenia pred zdanením</t>
  </si>
  <si>
    <t>Krátkodobé bankové úvery</t>
  </si>
  <si>
    <t>Softvér</t>
  </si>
  <si>
    <t>39599</t>
  </si>
  <si>
    <t>37903</t>
  </si>
  <si>
    <t>Úbytky</t>
  </si>
  <si>
    <t>371-371*</t>
  </si>
  <si>
    <t>Bežné účt. obdobie</t>
  </si>
  <si>
    <t>2) Výsledné hárky (Uvod až P.)</t>
  </si>
  <si>
    <t>Mimoriadne udalosti - živelné pohromy</t>
  </si>
  <si>
    <t>Zúčtovanie OP z dôvodu zániku opodstatnenosti</t>
  </si>
  <si>
    <t>Iné</t>
  </si>
  <si>
    <t>52702</t>
  </si>
  <si>
    <t>42901</t>
  </si>
  <si>
    <t>Oprávky k strojom,prístrojom a zariad.</t>
  </si>
  <si>
    <t>Hodnota upísaného vlastného imania</t>
  </si>
  <si>
    <t>Príjmy budúcich období dlhodobé, z toho:</t>
  </si>
  <si>
    <t>34203</t>
  </si>
  <si>
    <t>22105</t>
  </si>
  <si>
    <t>Oprávky k softwaru</t>
  </si>
  <si>
    <t>Krátkodobý finančný majetok</t>
  </si>
  <si>
    <t>Tržby z predaja služieb-ostatné/tuzemsko</t>
  </si>
  <si>
    <t>013-013*</t>
  </si>
  <si>
    <t>Záväzky so zostatkovou dobou splatnosti nad päť rokov</t>
  </si>
  <si>
    <t>O. Informácie o skutočnostiach, ktoré nastali po dni, ku ktorému sa zostavuje účtovná závierka do dňa zostavenia účtovnej závierky</t>
  </si>
  <si>
    <t>v eurocentoch</t>
  </si>
  <si>
    <t>Poznámka</t>
  </si>
  <si>
    <t>64101</t>
  </si>
  <si>
    <t>Nákl.na prepravné a špedičné služby</t>
  </si>
  <si>
    <t>Nerozdelená strata minulých rokov (/-/429)</t>
  </si>
  <si>
    <t>Vysporiadanie účtovnej straty</t>
  </si>
  <si>
    <t>e/ rozpracované v časti I.</t>
  </si>
  <si>
    <t>Záväzky zo soc.fondu /tvorba a čerpanie/</t>
  </si>
  <si>
    <t>Z ručenia</t>
  </si>
  <si>
    <t>Tieto hárky obsahujú sformátované údaje pre tlač poznámok.</t>
  </si>
  <si>
    <t>Zúčtovanie OP z dôvodu vyradenia majetku z účtovníctva</t>
  </si>
  <si>
    <t>Miestne popl. odpad,reklama/nezahŕň.DPPO</t>
  </si>
  <si>
    <t>od jedného roka do patich rokov vrátane</t>
  </si>
  <si>
    <t>092-092*</t>
  </si>
  <si>
    <t>Z hárku Suvaha_PO - F. a) 1), F. a) 2), F. j), F. o), F. r)</t>
  </si>
  <si>
    <t>Práva z poistných zmlúv</t>
  </si>
  <si>
    <t>Pohľadávky voči dcérskej účtovnej jednotke a materskej účtovnej jednotke</t>
  </si>
  <si>
    <t>F.c) 1) Prehľad o dlhodobom nehmotnom majetku, na ktorý je zriadené záložné právo, alebo pri ktorom má účtovná jednotka obmedzené právo s ním nakladať</t>
  </si>
  <si>
    <t>Spolu</t>
  </si>
  <si>
    <t>Výnosy budúcich období dlhodobé (384A)</t>
  </si>
  <si>
    <t>Pozemky</t>
  </si>
  <si>
    <t>E. c) Spôsob oceňovania jednotlivých zložiek majetku a záväzkov:</t>
  </si>
  <si>
    <t>Pôžičky s dobou splatnosti najviac jeden rok</t>
  </si>
  <si>
    <t>Emisné kvóty</t>
  </si>
  <si>
    <t>Odberatelia zahraniční</t>
  </si>
  <si>
    <t>D záporný</t>
  </si>
  <si>
    <t>Suma MD</t>
  </si>
  <si>
    <t>Druh podmieneného majetku</t>
  </si>
  <si>
    <t>37905</t>
  </si>
  <si>
    <t>Obstarávanie krátkodobého finančného majetku</t>
  </si>
  <si>
    <t>Záväzky z leasingu</t>
  </si>
  <si>
    <t>Iné prípady</t>
  </si>
  <si>
    <t>iných</t>
  </si>
  <si>
    <t>Po lehote</t>
  </si>
  <si>
    <t>326-326*</t>
  </si>
  <si>
    <t>123-123*</t>
  </si>
  <si>
    <t>Goodwill (015) - /075, 091A/</t>
  </si>
  <si>
    <t>Príjmy členov orgánov</t>
  </si>
  <si>
    <t>Istina</t>
  </si>
  <si>
    <t>33503</t>
  </si>
  <si>
    <t>Zabezpečovacia položka</t>
  </si>
  <si>
    <t>Celková daň z príjmov</t>
  </si>
  <si>
    <t>55104</t>
  </si>
  <si>
    <t>Hodnota za bežné účtovné obdobie</t>
  </si>
  <si>
    <t>E.d) Spôsob zostavenia odpisového plánu dlhodobého majetku</t>
  </si>
  <si>
    <t>Emisný kurz</t>
  </si>
  <si>
    <t>60207</t>
  </si>
  <si>
    <t>Sankcie z poruš.zákona /DP,DPH,hazardn..</t>
  </si>
  <si>
    <t>Dlhodobé pohľadávky spolu</t>
  </si>
  <si>
    <t>Náklady voči audítorovi, audítorskej spoločnosti, z toho:</t>
  </si>
  <si>
    <t>Spôsob nadobudnutia goodwillu</t>
  </si>
  <si>
    <t>Vydané dlhopisy (473A /-/255A)</t>
  </si>
  <si>
    <t>Finančný vklad</t>
  </si>
  <si>
    <t>b/ rozpracované v časti F.</t>
  </si>
  <si>
    <t>56301</t>
  </si>
  <si>
    <t>51815</t>
  </si>
  <si>
    <t>026-026*</t>
  </si>
  <si>
    <t>Zvýšenie / zníženie hodnoty (+/-)</t>
  </si>
  <si>
    <t>Iné:</t>
  </si>
  <si>
    <t>Základné imanie celkom</t>
  </si>
  <si>
    <t>Po lehote splatnosti</t>
  </si>
  <si>
    <t>47901</t>
  </si>
  <si>
    <t>Za bezprostredne</t>
  </si>
  <si>
    <t>do</t>
  </si>
  <si>
    <t>Iné uisťovacie audítorské služby</t>
  </si>
  <si>
    <t>rok</t>
  </si>
  <si>
    <t>H. c), d), e) Významné položky výnosov pri aktivácii nákladov a o výnosoch z hospodárskej činnosti, finančnej činnosti a mimoriadnej činnosti</t>
  </si>
  <si>
    <t>Iné záväzky</t>
  </si>
  <si>
    <t>Zák.soc.poistenie-použ.rezervy min.rok</t>
  </si>
  <si>
    <t>Základné imanie zapís.do OR/vklady/</t>
  </si>
  <si>
    <t>Daň z príjmu zo záv.činn.FO/preddavky/</t>
  </si>
  <si>
    <t>Výdavky budúcich období dlhodobé, z toho</t>
  </si>
  <si>
    <t>Ostatné kapitálové fondy</t>
  </si>
  <si>
    <t>415-415*</t>
  </si>
  <si>
    <t>Dcérske účtovné jednotky</t>
  </si>
  <si>
    <t>34303</t>
  </si>
  <si>
    <t>Výdavky budúcich období dlhodobé (383A)</t>
  </si>
  <si>
    <t>Ostatné dlhodobé rezervy (459A, 45XA)</t>
  </si>
  <si>
    <t>N. b) Zoznam obchodov podľa bodu N.a) ktoré sú rovnakého druhu kumulovane</t>
  </si>
  <si>
    <t>Prevod do neuhradenej straty z minulých rokov</t>
  </si>
  <si>
    <t>Tržby za tovar</t>
  </si>
  <si>
    <t>42801</t>
  </si>
  <si>
    <t>Tvorba OP</t>
  </si>
  <si>
    <t>Poplatky,kolky/správne,súdne,notárske/</t>
  </si>
  <si>
    <t>Poskytnuté preddavky na dlhodobý finančný majetok (053) - 095A</t>
  </si>
  <si>
    <t>052-052*</t>
  </si>
  <si>
    <t>Názov</t>
  </si>
  <si>
    <t>Prenajatý majetok</t>
  </si>
  <si>
    <t>Prídel na zvýšenie základného imania</t>
  </si>
  <si>
    <t>Zásoby</t>
  </si>
  <si>
    <t>Poskytnuté preddavky na zásoby</t>
  </si>
  <si>
    <t>Iné podmienené záväzky</t>
  </si>
  <si>
    <t>Vyfaktúrované nároky za vykonanú prácu na zákazkovej výrobe</t>
  </si>
  <si>
    <t>F.n) Ocenenie dlhodobého finančného majetku ku dňu zostavenia účtovnej závierky</t>
  </si>
  <si>
    <t>096-096*</t>
  </si>
  <si>
    <t>C. c )</t>
  </si>
  <si>
    <t>Umorenie daňovej straty</t>
  </si>
  <si>
    <t>Odpisová metóda</t>
  </si>
  <si>
    <t>Odberatelia tuzemskí</t>
  </si>
  <si>
    <t>Záväzky so zostatkovou dobou splatnosti jeden rok až päť rokov</t>
  </si>
  <si>
    <t>G. k. 2) Významné položky derivátov</t>
  </si>
  <si>
    <t>42903</t>
  </si>
  <si>
    <t>461-461*</t>
  </si>
  <si>
    <t>Nedeliteľný fond (422)</t>
  </si>
  <si>
    <t>Inou formou zabezpečenia</t>
  </si>
  <si>
    <t>343220</t>
  </si>
  <si>
    <t>34201</t>
  </si>
  <si>
    <t>32601</t>
  </si>
  <si>
    <t>G.b) 1.)Tvorba a čerpanie rezerv v bežnom roku</t>
  </si>
  <si>
    <t>478-478*</t>
  </si>
  <si>
    <t>Opis predmetu záložného práva</t>
  </si>
  <si>
    <t>Úprava nárokov podľa stupňa dokončenia alebo metódou nulového zisku</t>
  </si>
  <si>
    <t>Hodnota a percentuálna výška ich podielu na základnom imaní. Výška podielu na ostatných položkách vlastného imania sa uvádza v prípade, ak sa percentuálny podiel spoločníkov na základnom imaní odlišuje od podielu spoločníkov na ostatných položkách vlastného imania.</t>
  </si>
  <si>
    <t>Materiál</t>
  </si>
  <si>
    <t>Prídel do štatutárnych a ostatných fondov</t>
  </si>
  <si>
    <t>Ostatný dlhodobý nehmotný majetok (019, 01X) - /079, 07X, 091A/</t>
  </si>
  <si>
    <t>31502</t>
  </si>
  <si>
    <t>G. l) Majetok a záväzky zabezpečené derivátmi</t>
  </si>
  <si>
    <t>Hodnota zákazkovej výstavby nehnuteľnosti určenej na predaj</t>
  </si>
  <si>
    <t>G.a. 3. 1) Rozdelenie účtovného zisku alebo vysporiadanie účtovnej straty</t>
  </si>
  <si>
    <t>Nominálna hodnota 1 akcie (a.s.)</t>
  </si>
  <si>
    <t>Kurzové straty, z toho:</t>
  </si>
  <si>
    <t>50106</t>
  </si>
  <si>
    <t>31502</t>
  </si>
  <si>
    <t>Záv.zo zml.-náj.NP vrát.mandátnych zmlúv</t>
  </si>
  <si>
    <t>Pohľadávky z mand.zml./rulety/</t>
  </si>
  <si>
    <t>02201</t>
  </si>
  <si>
    <t>Sociálne poistenie (336) - 391A</t>
  </si>
  <si>
    <t>Dlhodobé CP so splatnosťou do jedného roka obdržané do splatnosti</t>
  </si>
  <si>
    <t>F.w. 2) Krátkodobý finančný majetok</t>
  </si>
  <si>
    <t>Rozd.z pomer.odpoč.DPH par.50</t>
  </si>
  <si>
    <t>354-355*; 358-358*</t>
  </si>
  <si>
    <t>Daňové pohľadávky a dotácie</t>
  </si>
  <si>
    <t>Výnosy budúcich období dlhodobé, z toho</t>
  </si>
  <si>
    <t>Kurzové straty-z prepočtu meny 31.12.</t>
  </si>
  <si>
    <t>36501</t>
  </si>
  <si>
    <t>Výdavky budúcich období krátkodobé (383A)</t>
  </si>
  <si>
    <t>022-022*</t>
  </si>
  <si>
    <t>Počet</t>
  </si>
  <si>
    <t>V lehote splatnosti</t>
  </si>
  <si>
    <t>52103</t>
  </si>
  <si>
    <t>Nákl.na testovanie a overov./št.skúšobňa</t>
  </si>
  <si>
    <t>07301</t>
  </si>
  <si>
    <t>Ostatné kapitálové fondy (413)</t>
  </si>
  <si>
    <t>x</t>
  </si>
  <si>
    <t>Základné stádo a ťažné zvieratá (026) - /086, 092A/</t>
  </si>
  <si>
    <t>Pohľadávky z leasingu</t>
  </si>
  <si>
    <t>Zrušenie</t>
  </si>
  <si>
    <t>G.a. 3. 2) Rozdelenie účtovného zisku alebo straty z predchádzajúceho roka</t>
  </si>
  <si>
    <t>Kód SK NACE</t>
  </si>
  <si>
    <t>PSČ</t>
  </si>
  <si>
    <t>60203</t>
  </si>
  <si>
    <t>Zák.soc.poistenie-SP/nemoc,starob,invali</t>
  </si>
  <si>
    <t>Daňové záväzky a dotácie (341, 342, 343, 345, 346, 347, 34X)</t>
  </si>
  <si>
    <t>473-473*</t>
  </si>
  <si>
    <t>Hodnota celkom</t>
  </si>
  <si>
    <t>Zisk na akciu alebo podiel na základnom imaní</t>
  </si>
  <si>
    <t>Úrok p.a. v %</t>
  </si>
  <si>
    <t>Tržby z prenájmu-nebyt.priestory</t>
  </si>
  <si>
    <t>50108</t>
  </si>
  <si>
    <t>32104</t>
  </si>
  <si>
    <t>411-411*</t>
  </si>
  <si>
    <t>Ostatné pohľadávky v rámci konsolidovaného celku (351A) - 391A</t>
  </si>
  <si>
    <t>Iný podiel na ostatných položkách VI ako na ZI v %</t>
  </si>
  <si>
    <t>Zásoby, pri ktorých má účtovná jednotka obmedzené právo s nimi nakladať</t>
  </si>
  <si>
    <t>Spotr.mat.na opr.,údržbu/ND PC,tlačiarne</t>
  </si>
  <si>
    <t>KS</t>
  </si>
  <si>
    <t>Pohľadávky za upísané vlastné imanie (/-/353)</t>
  </si>
  <si>
    <t>Finančné výnosy, z toho:</t>
  </si>
  <si>
    <t>F.s.2) Pohľadávky podľa zostatkovej doby splatnosti</t>
  </si>
  <si>
    <t>Pohľadávky so zostatkovou dobou splatnosti do jedného roka</t>
  </si>
  <si>
    <t>Bankové úvery dlhodobé (461A, 46XA)</t>
  </si>
  <si>
    <t>398-398*</t>
  </si>
  <si>
    <t>Ostatný dlhodobý hmotný majetok (029, 02X, 032) - /089, 08X, 092A/</t>
  </si>
  <si>
    <t>Sumár od začiatku zákazkovej výroby až do konca bežného účtovného obdobia</t>
  </si>
  <si>
    <t>50201</t>
  </si>
  <si>
    <t>Náklady budúc.období /fa 32104/Siam</t>
  </si>
  <si>
    <t>Ostatné dlhodobé záväzky (474A, 479A, 47XA, 372A, 373A, 377A)</t>
  </si>
  <si>
    <t>G. g) Záväzky zo sociálneho fondu</t>
  </si>
  <si>
    <t>Sídlo</t>
  </si>
  <si>
    <t>V lehote</t>
  </si>
  <si>
    <t>341-341*; 342-342*; 343-343*; 345-345*; 346-346*; 347-347*</t>
  </si>
  <si>
    <t>Za bezprostredne predchádzajúce účtovné obdobie</t>
  </si>
  <si>
    <t>F.f) Charakteristika Goodwillu</t>
  </si>
  <si>
    <t>54702</t>
  </si>
  <si>
    <t>Obstarávaný dlhodobý hmotný majetok (042) - 094</t>
  </si>
  <si>
    <t>093-093*</t>
  </si>
  <si>
    <t>43101</t>
  </si>
  <si>
    <t>251-251*; 253-253*; 256-256*; 257-257*</t>
  </si>
  <si>
    <t>F.q.2) Prehľad o zákazkovej výrobe</t>
  </si>
  <si>
    <t>Doba odpisovania</t>
  </si>
  <si>
    <t>252-252*</t>
  </si>
  <si>
    <t>Finančné náklady, z toho:</t>
  </si>
  <si>
    <t>Získanie alebo odobratie licencie alebo iného povolenia významného pre činnosť</t>
  </si>
  <si>
    <t>Podielové CP a podiely v DÚJ</t>
  </si>
  <si>
    <t>Neuhradená strata minulých rokov</t>
  </si>
  <si>
    <t>Dlhové CP držané do splatnosti spolu</t>
  </si>
  <si>
    <t>Poskyt- nuté preddav- ky na DHM</t>
  </si>
  <si>
    <t>Záväzky z opcií derivátov</t>
  </si>
  <si>
    <t>Menovitá hodnota</t>
  </si>
  <si>
    <t>Iné práva</t>
  </si>
  <si>
    <t>Krátkodobé pohľadávky</t>
  </si>
  <si>
    <t>56801</t>
  </si>
  <si>
    <t>476-476*</t>
  </si>
  <si>
    <t>Dátum vzniku účtovnej jednotky</t>
  </si>
  <si>
    <t>Nedeliteľný fond</t>
  </si>
  <si>
    <t>Odpisy DNM nad 2400,- Eur</t>
  </si>
  <si>
    <t>414-414*</t>
  </si>
  <si>
    <t>196-196*</t>
  </si>
  <si>
    <t>g</t>
  </si>
  <si>
    <t>IČO:</t>
  </si>
  <si>
    <t>B. b. 1) Štruktúra spoločníkov a akcionárov ku dňu, ku ktorému sa zostavuje účtovná závierka</t>
  </si>
  <si>
    <t>Ostatné neaudítorské služby</t>
  </si>
  <si>
    <t>Pohľadávky z obchodného styku</t>
  </si>
  <si>
    <t>47201</t>
  </si>
  <si>
    <t>Drob.hmotný dlh.majetok od 160-1700,-Eur</t>
  </si>
  <si>
    <t>Oceňovacie rozdiely z precenenia majetku a záväzkov (+/- 414)</t>
  </si>
  <si>
    <t>Náklady na výskum</t>
  </si>
  <si>
    <t>Výrobky</t>
  </si>
  <si>
    <t>G. i. 2) Pôžičky, krátkodobé finančné výpomoci</t>
  </si>
  <si>
    <t>Rozdelenie účtovného zisku</t>
  </si>
  <si>
    <t>54101</t>
  </si>
  <si>
    <t>K. Podsúvahové účty</t>
  </si>
  <si>
    <t>Hodnota</t>
  </si>
  <si>
    <t>Zásoby, na ktoré je zriadené záložné právo</t>
  </si>
  <si>
    <t>Ostatné manká a škody majetku a zásob</t>
  </si>
  <si>
    <t>66201</t>
  </si>
  <si>
    <t>259-259*</t>
  </si>
  <si>
    <t>081-081*</t>
  </si>
  <si>
    <t>Práva zo servisných zmlúv</t>
  </si>
  <si>
    <t>i</t>
  </si>
  <si>
    <t>Oprávky k drob.dlh.hmot.maj. od 160-1700</t>
  </si>
  <si>
    <t>Súčasní členovia orgánov</t>
  </si>
  <si>
    <t>Ostatné významné položky nákladov z hospodárskej činnosti, z toho:</t>
  </si>
  <si>
    <t>Tvorba sociálneho fondu na ťarchu nákladov</t>
  </si>
  <si>
    <t>E-mailová adresa</t>
  </si>
  <si>
    <t>Spoločník, akcionár</t>
  </si>
  <si>
    <t>J. a), až e) Odložená daň</t>
  </si>
  <si>
    <t>c</t>
  </si>
  <si>
    <t>Kód druhu obchodu</t>
  </si>
  <si>
    <t>Dodávatelia dlhodobý majetok</t>
  </si>
  <si>
    <t>385-385*</t>
  </si>
  <si>
    <t>Samostatné hnuteľné veci a súbory hnuteľných vecí (022) - /082, 092A/</t>
  </si>
  <si>
    <t>Dlhodobé rezervy, z toho:</t>
  </si>
  <si>
    <t>F.j. 4) a l) Štruktúra poskytnutých dlhodobých pôžičiek</t>
  </si>
  <si>
    <t>a/ rozpracované v časti E.</t>
  </si>
  <si>
    <t>51806</t>
  </si>
  <si>
    <t>Náklady na občerstvenie /reprezentačné/</t>
  </si>
  <si>
    <t>51103</t>
  </si>
  <si>
    <t>479-479*</t>
  </si>
  <si>
    <t>323-323*</t>
  </si>
  <si>
    <t>Tvorba sociálneho fondu</t>
  </si>
  <si>
    <t>Ceniny- strav.lístky H/3,- Accor Ticket</t>
  </si>
  <si>
    <t>Oceňovacie rozdiely z kapitálových účastín (+/- 415)</t>
  </si>
  <si>
    <t>Príjmy budúcich období krátkodobé (385A)</t>
  </si>
  <si>
    <t>I. Informácie k údajom vykázaným v nákladoch</t>
  </si>
  <si>
    <t>E. b) Zmeny účtovných zásad a metód</t>
  </si>
  <si>
    <t>F.za) Ocenenie dlhodobého finančného  majetku ku dňu zostavenia účtovnej závierky reálnou hodnotou</t>
  </si>
  <si>
    <t>F.s.1) Veková štruktúra pohľadávok</t>
  </si>
  <si>
    <t>38101</t>
  </si>
  <si>
    <t>053-053*</t>
  </si>
  <si>
    <t>Účtovná hodnota DFM</t>
  </si>
  <si>
    <t>66303</t>
  </si>
  <si>
    <t>51808</t>
  </si>
  <si>
    <t>33101</t>
  </si>
  <si>
    <t>031-031*</t>
  </si>
  <si>
    <t>Revízie a prehliadky zariadení</t>
  </si>
  <si>
    <t>34102</t>
  </si>
  <si>
    <t>343519</t>
  </si>
  <si>
    <t>Pohľadávky po lehote splatnosti</t>
  </si>
  <si>
    <t>Dlhodobé záväzky spolu</t>
  </si>
  <si>
    <t>Sociálne poistenie</t>
  </si>
  <si>
    <t>Účtovná závierka:*)</t>
  </si>
  <si>
    <t>Úrok</t>
  </si>
  <si>
    <t>Daň z bankových úrokov</t>
  </si>
  <si>
    <t>353-353*</t>
  </si>
  <si>
    <t>Základné stádo a ťažné zvieratá</t>
  </si>
  <si>
    <t>Pohľadávky so zostatkovou dobou splatnosti jeden rok až 5 rokov</t>
  </si>
  <si>
    <t>Formát súboru musí byť xls (Excel 97 - 2003), kvôli exportu z Magicu.</t>
  </si>
  <si>
    <t>472-472*</t>
  </si>
  <si>
    <t>Obstará- vaný DHM</t>
  </si>
  <si>
    <t>F.r) Opravné položky k pohľadávkam</t>
  </si>
  <si>
    <t>Obstarávaný DFM na účely vykonania vplyvu v inej ÚJ</t>
  </si>
  <si>
    <t>záväzku</t>
  </si>
  <si>
    <t>Z nerozdeleného zisku minulých rokov</t>
  </si>
  <si>
    <t>P. Informácie k údajom o zmenách vlastného imania</t>
  </si>
  <si>
    <t>Podielové cenné papiere a podiely v dcérskej účtovnej jednotke (061) - 096A</t>
  </si>
  <si>
    <t>085-085*</t>
  </si>
  <si>
    <t>Softvér (013) - /073, 091A/</t>
  </si>
  <si>
    <t>Náklady budúcich období dlhodobé (381A, 382A)</t>
  </si>
  <si>
    <t>Splatná daň z príjmov</t>
  </si>
  <si>
    <t>Daňové poradenstvo</t>
  </si>
  <si>
    <t>Poskytnuté úvery</t>
  </si>
  <si>
    <t>Zákonné soc. poistenie-Dôvera</t>
  </si>
  <si>
    <t>343720</t>
  </si>
  <si>
    <t>32301</t>
  </si>
  <si>
    <t>041-041*</t>
  </si>
  <si>
    <t>Daň zrážkou /§ 43, §16 zák.DPPO/</t>
  </si>
  <si>
    <t>Tržby za vlastné výrobky</t>
  </si>
  <si>
    <t>schválená</t>
  </si>
  <si>
    <t>01301</t>
  </si>
  <si>
    <t>231-232*</t>
  </si>
  <si>
    <t>316-316*</t>
  </si>
  <si>
    <t>Ostatné položky vlastného imania</t>
  </si>
  <si>
    <t>Druh CP</t>
  </si>
  <si>
    <t>Podielové cenné papiere a podiely v spol. s podstatným vplyvom (062) - 096A</t>
  </si>
  <si>
    <t>Hodnota pohľadávky</t>
  </si>
  <si>
    <t>Ostatný DHM</t>
  </si>
  <si>
    <t>Zákonný rezervný fond (nedeliteľný fond) z kapitálových vkladov</t>
  </si>
  <si>
    <t>Bývalí členovia orgánov</t>
  </si>
  <si>
    <t>Sídlo:</t>
  </si>
  <si>
    <t>Dlhodobý finančný majetok, pri ktorom má účtovná jednotka obmedzené právo s ním nakladať</t>
  </si>
  <si>
    <t>do jedného roka vrátane</t>
  </si>
  <si>
    <t>Záv.z mandát.zml./rulety/SLOT,Synot</t>
  </si>
  <si>
    <t>Peniaze (211, 213, 21X)</t>
  </si>
  <si>
    <t>Podiel ÚJ na ZI v %</t>
  </si>
  <si>
    <t>F.d) Prehľad o dlhodobom nehmotnom a hmotnom majetku, pri ktorom vlastnícke práva nadobudol veriteľ zmluvou o zabezpečovacom prevode práva, alebo ktorý užíva účtovná jednotka na základe zmluvy o výpožičke</t>
  </si>
  <si>
    <t>32504</t>
  </si>
  <si>
    <t>Pohľ. z obchodného styku  (311A, 312A, 313A, 314A, 315A, 31XA) - 391A</t>
  </si>
  <si>
    <t>Teoretická daň</t>
  </si>
  <si>
    <t>Drob.nehmot.maj.do 160,-+zhodn.do 1700.-</t>
  </si>
  <si>
    <t>Štatutárne fondy a ostatné fondy (423, 427, 42X)</t>
  </si>
  <si>
    <t>011-011*; 018-018*; 019-019*</t>
  </si>
  <si>
    <t>Hodnota podielov podľa spoločníkov (obchodná spoločnosť)</t>
  </si>
  <si>
    <t>Oblasť odbytu</t>
  </si>
  <si>
    <t>POČIATOČNÝ ÚČET SÚVAHOVÝ</t>
  </si>
  <si>
    <t>04201</t>
  </si>
  <si>
    <t>Napĺňajú sa automaticky prevodom zo zdrojových hárkov podľa nadefinovaného vzorca alebo manuálne.</t>
  </si>
  <si>
    <t>Zo zmluvy o podriadenom záväzku</t>
  </si>
  <si>
    <t>Významné položky pri aktivácii nákladov, z toho:</t>
  </si>
  <si>
    <t>B. b. 2) Štruktúra spoločníkov a akcionárov do dňa jej zmeny vzniknutej v priebehu účtovného obdobia</t>
  </si>
  <si>
    <t>f/ rozpracované v časti J.</t>
  </si>
  <si>
    <t>e</t>
  </si>
  <si>
    <t>Techn.preúčtovací účet/OP PÚ/</t>
  </si>
  <si>
    <t>-; -</t>
  </si>
  <si>
    <t>211-213*</t>
  </si>
  <si>
    <t>131-131*; 132-132*; 133-133*; 139-139*</t>
  </si>
  <si>
    <t>066-066*</t>
  </si>
  <si>
    <t>Ostatné služby /nečlenené/</t>
  </si>
  <si>
    <t>Provízia /sprostredkovanie stravného/</t>
  </si>
  <si>
    <t>Záv.z mandát.zml./VLT,VHP/Synot,Uniplay</t>
  </si>
  <si>
    <t>Hrubý zisk / hrubá strata</t>
  </si>
  <si>
    <t>Tovar</t>
  </si>
  <si>
    <t>Oceňovacie rozdiely z kapitálových účastín</t>
  </si>
  <si>
    <t>Do splatnosti od jedného roka do troch rokov vrátane</t>
  </si>
  <si>
    <t>Výnosy zo zákazkovej výstavby nehnuteľnosti určenej na predaj</t>
  </si>
  <si>
    <t>Prijaté pôžičky-Nosko Peter</t>
  </si>
  <si>
    <t>Iné pohľadávky (335A, 33XA, 371A, 373A, 374A, 375A, 376A, 378A) - 391A</t>
  </si>
  <si>
    <t>Nedokončená výroba a polotovary vlastnej výroby</t>
  </si>
  <si>
    <t>Práva z koncesionálnych zmlúv</t>
  </si>
  <si>
    <t>Sídlo účtovnej jednotky</t>
  </si>
  <si>
    <t>Účet 491 - Vlastné imanie fyzickej osoby - podnikateľa</t>
  </si>
  <si>
    <t>F.w. 1) Krátkodobý finančný majetok</t>
  </si>
  <si>
    <t>Náklady na právne,prekladateľ.služby</t>
  </si>
  <si>
    <t>MD záporný</t>
  </si>
  <si>
    <t>Zo štatutárnych a ostatných fondov</t>
  </si>
  <si>
    <t>Druh formy zabezpečenia záväzku</t>
  </si>
  <si>
    <t>F.q.3) Prehľad o zákazkovej výstavbe nehnuteľnosti určenej na predaj</t>
  </si>
  <si>
    <t>Náj.-odm.mandátarom /rulety,VLT,VHP</t>
  </si>
  <si>
    <t>Výrobky (123) - 194</t>
  </si>
  <si>
    <t>074-074*</t>
  </si>
  <si>
    <t>Hodnotové vyjadrenie obchodu</t>
  </si>
  <si>
    <t>Hodnota a percentuálna výška ich podielu na základnom imaní v prípade ich zmeny v účtovnom období. Výška podielu na ostatných položkách vlastného imania sa uvádza v prípade, ak sa percentuálny podiel spoločníkov na základnom imaní odlišuje od podielu spoločníkov na ostatných položkách vlastného imania.</t>
  </si>
  <si>
    <t>Do splatnosti od troch rokov do piatich rokov vrátane</t>
  </si>
  <si>
    <t>Bankové poplatky-z bežného účtu</t>
  </si>
  <si>
    <t>Obstarávaný krátkodobý finančný majetok (259, 314A) - 291</t>
  </si>
  <si>
    <t>Do splatnosti do jedného roka vrátane</t>
  </si>
  <si>
    <t>Nákl.na prevádz.tech.zar./výbery,závierk</t>
  </si>
  <si>
    <t>50203</t>
  </si>
  <si>
    <t>21101</t>
  </si>
  <si>
    <t>52420</t>
  </si>
  <si>
    <t>08401</t>
  </si>
  <si>
    <t>02801</t>
  </si>
  <si>
    <t>Ostatné výnosy z hospodárskej činnosti</t>
  </si>
  <si>
    <t>451-451*</t>
  </si>
  <si>
    <t>335-335*; 373-376*; 378-378*</t>
  </si>
  <si>
    <t>Pohľadávky so zostatkovou dobou splatnosti dlhšou ako 5 rokov</t>
  </si>
  <si>
    <t>Náklady na obstarávanie nehnuteľností na predaj za účtovné obdobie</t>
  </si>
  <si>
    <t>Tržby z predaja dlh.hmot.a nehmot.majet.</t>
  </si>
  <si>
    <t>NBO nájomné NP/fa 32103,32503/</t>
  </si>
  <si>
    <t>Pozemky (031) - 092A</t>
  </si>
  <si>
    <t>Podpisový záznam osoby zodpovednej za vedenie účtovníctva:</t>
  </si>
  <si>
    <t>Použitie</t>
  </si>
  <si>
    <t>Práva z privatizácie</t>
  </si>
  <si>
    <t>Dlhodobé pôžičky</t>
  </si>
  <si>
    <t>VÚB 2408250459/0200-flexibiznis účet</t>
  </si>
  <si>
    <t>H. a) Tržby za vlastné výkony a tovar</t>
  </si>
  <si>
    <t>Hodnota pohľadávok, na ktoré sa zriadilo záložné právo</t>
  </si>
  <si>
    <t>Ostatná tvorba sociálneho fondu</t>
  </si>
  <si>
    <t>Začiatočný stav sociálneho fondu</t>
  </si>
  <si>
    <t>51821</t>
  </si>
  <si>
    <t>P. a) až n. 1) Zmeny zložiek vlastného imania</t>
  </si>
  <si>
    <t>062-062*</t>
  </si>
  <si>
    <t>absolútne</t>
  </si>
  <si>
    <t>Pohľadávky spolu</t>
  </si>
  <si>
    <t>Ostatné realizovateľné CP a podiely</t>
  </si>
  <si>
    <t>Náklady vynaložené v bežnom období na vývoj - neaktivované</t>
  </si>
  <si>
    <t>Zost. hodnota</t>
  </si>
  <si>
    <t>Stav OP na začiatku účtovného obdobia</t>
  </si>
  <si>
    <t>Dlhové CP na obchodovanie</t>
  </si>
  <si>
    <t>64401</t>
  </si>
  <si>
    <t>Zákonný rezervný fond /zo zisku/</t>
  </si>
  <si>
    <t>Ostat.dlhodobé cenné papiere a podiely (063, 065) - 096A</t>
  </si>
  <si>
    <t>Hodnota vplyvu na príslušnú zložku bilancie</t>
  </si>
  <si>
    <t>Krátkodobý finančný majetok, pri ktorom bolo obmedzené právo s ním nakladať</t>
  </si>
  <si>
    <t>Zlúčenie, splynutie, rozdelenie a zmena právnej formy</t>
  </si>
  <si>
    <t>38103</t>
  </si>
  <si>
    <t>Stavby-techn.zhodn.prenajatého majetku</t>
  </si>
  <si>
    <t>Ostatné významné položky finančných výnosov, z toho:</t>
  </si>
  <si>
    <t>Majetok vykázaný v súvahe</t>
  </si>
  <si>
    <t>66301</t>
  </si>
  <si>
    <t>54802</t>
  </si>
  <si>
    <t>Nemeňte poradie týchto hárkov v dokumente, musia byť na pozícii 2 až 5, inak nebude export fungovať správne.</t>
  </si>
  <si>
    <t>Presuny</t>
  </si>
  <si>
    <t>53801</t>
  </si>
  <si>
    <t>Typ výrobkov, tovarov, služieb (napr. C)</t>
  </si>
  <si>
    <t>421-421*</t>
  </si>
  <si>
    <t>Vydanie dlhopisov a iných cenných papierov</t>
  </si>
  <si>
    <t>Záloha na prac.cesty-tuzemské/TPC/</t>
  </si>
  <si>
    <t>G. j) Významné položky časového rozlíšenia na strane pasív</t>
  </si>
  <si>
    <t>G. e) Hodnota záväzkov zabezpečená záložným právom</t>
  </si>
  <si>
    <t>Časť 1 - Bežné účtovné obdobie</t>
  </si>
  <si>
    <t>Dohodnutá cena podkladového nástroja</t>
  </si>
  <si>
    <t>a</t>
  </si>
  <si>
    <t>Vydavky budúcich období /32101/</t>
  </si>
  <si>
    <t>Poskytnuté preddavky tuzemsko</t>
  </si>
  <si>
    <t>Nedokončená výroba a polotovary vlastnej výroby (121, 122, 12X) - /192, 193, 19X/</t>
  </si>
  <si>
    <t>IČO</t>
  </si>
  <si>
    <t>.</t>
  </si>
  <si>
    <t>Podpisový záznam osoby zodpovednej za zostavenie účtovnej závierky:</t>
  </si>
  <si>
    <t>51804</t>
  </si>
  <si>
    <t>51101</t>
  </si>
  <si>
    <t>Výnosy zo zákazky</t>
  </si>
  <si>
    <t>F.m) Prehľad o dlhodobom finančnom majetku, na ktorý je zriadené záložné právo, alebo pri ktorom má účtovná jednotka obmedzené právo s ním nakladať</t>
  </si>
  <si>
    <t>Automaticky napĺňané tabuľky:</t>
  </si>
  <si>
    <t>Číslo faxu</t>
  </si>
  <si>
    <t>Hodnota záväzku zabezpečená</t>
  </si>
  <si>
    <t>Rezervy zákonné krátkodobé (323A, 451A)</t>
  </si>
  <si>
    <t>111-111*; 112-112*; 119-119*</t>
  </si>
  <si>
    <t>012-012*</t>
  </si>
  <si>
    <t>Poznámky Úč POD 3 - 04</t>
  </si>
  <si>
    <t>A. a) Obchodné meno účtovnej jednotky</t>
  </si>
  <si>
    <t>Zostatková hodnota</t>
  </si>
  <si>
    <t>37902</t>
  </si>
  <si>
    <t>015-015*</t>
  </si>
  <si>
    <t>Zmluvy, ktoré sa neúčtujú na súvahových účtoch</t>
  </si>
  <si>
    <t>53899</t>
  </si>
  <si>
    <t>F.x) Opravné položky ku krátkodobému finančnému majetku</t>
  </si>
  <si>
    <t>Majetkové CP na obchodovanie</t>
  </si>
  <si>
    <t>50105</t>
  </si>
  <si>
    <t>Neuhradená strata r.2009</t>
  </si>
  <si>
    <t>31501</t>
  </si>
  <si>
    <t>C. Informácie o konsolidovanom celku, ak je účtovná jednotka jeho súčasťou</t>
  </si>
  <si>
    <t>G.a. 1), 2), 4), 6) Údaje o vlastnom imaní</t>
  </si>
  <si>
    <t>E. a) Účtovná jednotka bude nepretržite pokračovať vo svojej činnosti:</t>
  </si>
  <si>
    <t>Dodávatelia tuzemsko-nečlenené</t>
  </si>
  <si>
    <t>Tvorba sociálneho fondu spolu</t>
  </si>
  <si>
    <t>Nákl.na rekl.a propag/nápisy,panely,verb</t>
  </si>
  <si>
    <t>Neuhradená strata r.2007</t>
  </si>
  <si>
    <t>Príjmy budúcich období dlhodobé (385A)</t>
  </si>
  <si>
    <t>ID</t>
  </si>
  <si>
    <t>Zmeny reálnej hodnoty majetku</t>
  </si>
  <si>
    <t>Účtovná hodnota</t>
  </si>
  <si>
    <t>Daňové pohľadávky a dotácie (341, 342, 343, 345, 346, 347) - 391A</t>
  </si>
  <si>
    <t>Za bežné účtovné obdobie</t>
  </si>
  <si>
    <t>G. k. 1) Významné položky derivátov</t>
  </si>
  <si>
    <t>Náklady na obstaranie nehnuteľností na predaj od začiatku obstarávania</t>
  </si>
  <si>
    <t>33610</t>
  </si>
  <si>
    <t>Ostat.záv.voči spol.a čl.-Chudyba/Bouma</t>
  </si>
  <si>
    <t>Emisné ážio (412)</t>
  </si>
  <si>
    <t>078-078*; 079-079*</t>
  </si>
  <si>
    <t>Štatutárne fondy a ostatné fondy</t>
  </si>
  <si>
    <t>1) Zdrojové hárky (Suvaha_BO, Suvaha_PO, HK_BO, HK_PO, OPO_BO, OPO_PO)</t>
  </si>
  <si>
    <t>Ostatné záväzky (372A, 373A, 377A, 379A, 474A, 479A, 47X)</t>
  </si>
  <si>
    <t>Záväzky voči zamestnancom (331,333, 33X, 479A)</t>
  </si>
  <si>
    <t>067-067*; 069-069*</t>
  </si>
  <si>
    <t>Tieto hárky sú exportované z účtovného modulu IS Magic a slúžia ako zdroj údajov pre tabuľky v Poznámkach.</t>
  </si>
  <si>
    <t>Začatie alebo ukončenie činnosti časti účtovnej jednotky /napr. prevádzkárne/</t>
  </si>
  <si>
    <t>L. a), b), 1) Významné položky o podmienených záväzkoch</t>
  </si>
  <si>
    <t>64805</t>
  </si>
  <si>
    <t>51812</t>
  </si>
  <si>
    <t>Krátkodobé rezervy</t>
  </si>
  <si>
    <t>Pôžičky účtovnej jednotke v konsolidovanom celku (066A) - 096A</t>
  </si>
  <si>
    <t>51203</t>
  </si>
  <si>
    <t>08801</t>
  </si>
  <si>
    <t>02401</t>
  </si>
  <si>
    <t>Čistá hodnota zákazky (316A)</t>
  </si>
  <si>
    <t>F.o.1) Opravné položky k zásobám</t>
  </si>
  <si>
    <t>v celých eurách *)</t>
  </si>
  <si>
    <t>372-373*; 377-377*; 379-379*</t>
  </si>
  <si>
    <t>k/ rozpracované v časti P.</t>
  </si>
  <si>
    <t>Tržba z predaja materiálu</t>
  </si>
  <si>
    <t>321-322*; 324-325*</t>
  </si>
  <si>
    <t>Aktivované náklady na vývoj (012) - /072, 091A/</t>
  </si>
  <si>
    <t>g/ rozpracované v časti K.</t>
  </si>
  <si>
    <t>Rok, ktorého sa účtovanie týkalo</t>
  </si>
  <si>
    <t>Prijaté zmluv.pokuty,úr.z omeškania</t>
  </si>
  <si>
    <t>Základné imanie (411 alebo +/- 491)</t>
  </si>
  <si>
    <t>Čerpanie sociálneho fondu</t>
  </si>
  <si>
    <t>Výnosy nepodliehajúce dani</t>
  </si>
  <si>
    <t>Hodnota vlastného imania ÚJ, v ktorej má  ÚJ umiestnený DFM</t>
  </si>
  <si>
    <t>Dodávatelia-nájomné</t>
  </si>
  <si>
    <t>Práva zo súdnych sporov</t>
  </si>
  <si>
    <t>51301</t>
  </si>
  <si>
    <t>Krátkodobé pôžičky</t>
  </si>
  <si>
    <t>výsledok hospodárenia</t>
  </si>
  <si>
    <t>Vyplatené dividendy</t>
  </si>
  <si>
    <t>64801</t>
  </si>
  <si>
    <t>51816</t>
  </si>
  <si>
    <t>073-073*</t>
  </si>
  <si>
    <t>DIČ:</t>
  </si>
  <si>
    <t>A. b) Opis hospodárskej činnosti účtovnej jednotky</t>
  </si>
  <si>
    <t>Pri účtovaní zásob postupoval podnik podľa Postupov účtovania, ÚT I, čl.2.</t>
  </si>
  <si>
    <t>L. Informácie k údajom o iných aktívach a pasívach</t>
  </si>
  <si>
    <t>Pohľadávky kryté záložným právom alebo inou formou zabezpečenia</t>
  </si>
  <si>
    <t>Kurzové straty-zahranič.fakt.,úhrady</t>
  </si>
  <si>
    <t>Prevádz.náklady-drob.rozdiely/zaokrúhľ.</t>
  </si>
  <si>
    <t>Nákl. na stravné /55%/</t>
  </si>
  <si>
    <t>Mzdové náklady</t>
  </si>
  <si>
    <t>51818</t>
  </si>
  <si>
    <t>361-361*</t>
  </si>
  <si>
    <t>Poistná suma</t>
  </si>
  <si>
    <t>42802</t>
  </si>
  <si>
    <t>459-459*</t>
  </si>
  <si>
    <t>Základ dane</t>
  </si>
  <si>
    <t>Bežné bankové účty</t>
  </si>
  <si>
    <t>422-422*</t>
  </si>
  <si>
    <t>DPH odpočet-nákup z EÚ 19%</t>
  </si>
  <si>
    <t>42904</t>
  </si>
  <si>
    <t>MD celkový</t>
  </si>
  <si>
    <t>Nehnuteľnosť na predaj</t>
  </si>
  <si>
    <t>riadna</t>
  </si>
  <si>
    <t>Druh ocenenia (reálnou hodnotou alebo metódou vlastného imania)</t>
  </si>
  <si>
    <t>Prídel do sociálneho fondu</t>
  </si>
  <si>
    <t>Náklady vynaložené v bežnom období na vývoj - aktivované</t>
  </si>
  <si>
    <t>Sumár od začiatku zákazkovej výstavby nehnuteľnosti určenej na predaj až do konca bežného účt. obdobia</t>
  </si>
  <si>
    <t>Náklady za poskytnuté služby, z toho:</t>
  </si>
  <si>
    <t>Krátkodobý finančný majetok, na ktorý bolo zriadené záložné právo</t>
  </si>
  <si>
    <t>Vnútorné zúčtovanie-zápočty</t>
  </si>
  <si>
    <t>061-061*</t>
  </si>
  <si>
    <t>Suma prijatých preddavkov</t>
  </si>
  <si>
    <t>Vnútorné zúčt.-rulety z mand.zml./odvody</t>
  </si>
  <si>
    <t>D kladný</t>
  </si>
  <si>
    <t>192-193*</t>
  </si>
  <si>
    <t>Zmena výšky rezerv a opravných položiek o ktorých sa účtovná jednotka dozvedela v horeuvedenom období</t>
  </si>
  <si>
    <t>Dôvod účtovania</t>
  </si>
  <si>
    <t>Prevádz.výnosy-drob.rozdiely/zaokrúhľ/</t>
  </si>
  <si>
    <t>50101</t>
  </si>
  <si>
    <t>31505</t>
  </si>
  <si>
    <t>311-315*</t>
  </si>
  <si>
    <t>Daň</t>
  </si>
  <si>
    <t>Daň z motorových vozidiel /cestná/</t>
  </si>
  <si>
    <t>32103</t>
  </si>
  <si>
    <t>G. c), d) Výška záväzkov do lehoty a po lehote splatnosti</t>
  </si>
  <si>
    <t>F.g) Prehľad o položkách účtovaných na účte 097 - opravná položka k nadobudnutému majetku</t>
  </si>
  <si>
    <t>F.p) Prehľad o zásobách, na ktoré je zriadené záložné právo, alebo pri ktorých má účtovná jednotka obmedzené právo s nimi nakladať</t>
  </si>
  <si>
    <t>60204</t>
  </si>
  <si>
    <t>Položky výnosov</t>
  </si>
  <si>
    <t>Rozdelenie podielu spoločníkom, členom</t>
  </si>
  <si>
    <t>zostavená</t>
  </si>
  <si>
    <t>Podiel na hlasovacích 
právach 
v %</t>
  </si>
  <si>
    <t>Dátum splatnosti</t>
  </si>
  <si>
    <t>241-241*; 249-249*</t>
  </si>
  <si>
    <t>429-429*</t>
  </si>
  <si>
    <t>Reálna hodnota</t>
  </si>
  <si>
    <t>Odpísané pohľadávky</t>
  </si>
  <si>
    <t>Odložený daňový záväzok (481A)</t>
  </si>
  <si>
    <t>Dôvod zmeny</t>
  </si>
  <si>
    <t>C. b)</t>
  </si>
  <si>
    <t>Typ výrobkov, tovarov, služieb (napr. B)</t>
  </si>
  <si>
    <t>42101</t>
  </si>
  <si>
    <t>221-221*</t>
  </si>
  <si>
    <t>Úhrada straty z minulých období</t>
  </si>
  <si>
    <t>M. a), b), c) Príjmy a výhody členov štatutárnych, dozorných a iných orgánov</t>
  </si>
  <si>
    <t>Pokles alebo zvýšenie trhovej ceny finančného majetku ako dôsledku oklností, ktoré nastali po dni, ku ktorému sa zostavuje účtovná závierka do dňa zostavenia účtovnej závierky</t>
  </si>
  <si>
    <t>Priemerný prepočítaný počet zamestnancov</t>
  </si>
  <si>
    <t>Dodávatelia zahraničie - EÚ</t>
  </si>
  <si>
    <t>Obstarávaný dlhodobý finančný majetok (043) - 096A</t>
  </si>
  <si>
    <t>D. Ďalšie informácie</t>
  </si>
  <si>
    <t>Emisné ážio</t>
  </si>
  <si>
    <t>Majetok v nájme (operatívny prenájom)</t>
  </si>
  <si>
    <t>52701</t>
  </si>
  <si>
    <t>42902</t>
  </si>
  <si>
    <t>Súbor Poznamky.xls obsahuje dva druhy hárkov:</t>
  </si>
  <si>
    <t>vlastné imanie</t>
  </si>
  <si>
    <t>L. a), b), 2) Významné položky o podmienených záväzkoch</t>
  </si>
  <si>
    <t>082-082*</t>
  </si>
  <si>
    <t>Obstarávaný dlhodobý nehm. majetok (041)  - 093</t>
  </si>
  <si>
    <t>Nepeňažné preddavky</t>
  </si>
  <si>
    <t>DPH-vratky/nadmerný odpočet/</t>
  </si>
  <si>
    <t>195-195*</t>
  </si>
  <si>
    <t>023-023*; 024-024*; 028-028*; 029-029*</t>
  </si>
  <si>
    <t>H. g) Čistý obrat</t>
  </si>
  <si>
    <t>Výnosy z nehnuteľnosti na predaj</t>
  </si>
  <si>
    <t>475-475*</t>
  </si>
  <si>
    <t>Krátkodobé záväzky spolu</t>
  </si>
  <si>
    <t>L. c) Opis a hodnota podmieneného majetku</t>
  </si>
  <si>
    <t>Obchodné meno a sídlo konsolidujúcej účtovnej jednotky, ktorá zostavuje konsolidovanú účtovnú závierku za všetky skupiny účtovných jednotiek konsolidovaného celku, pre ktorú je účtovná jednotka konsolidovanou účtovnou jednotkou:</t>
  </si>
  <si>
    <t>Zo všeobecne záväzných predpisov</t>
  </si>
  <si>
    <t>Spl.daň z príj.vybr.zrážkou-úroky bank.</t>
  </si>
  <si>
    <t>51810</t>
  </si>
  <si>
    <t>Pokladnica, ceniny</t>
  </si>
  <si>
    <t>Vplyv ocenenia na výsledok hospodárenia a na výšku vlastného imania</t>
  </si>
  <si>
    <t>Zabezpečovacie deriváty, z toho</t>
  </si>
  <si>
    <t>Náklady na telefón sl./hlasové</t>
  </si>
  <si>
    <t>Bežné bankové úvery (221A, 231, 232, 23X, 461A, 46XA)</t>
  </si>
  <si>
    <t>336-336*</t>
  </si>
  <si>
    <t>Odložená daňová pohľadávka (481A)</t>
  </si>
  <si>
    <t>Zoznam udalostí, ktoré nastali, alebo sú dôsledkom okolností po dni, ku ktorému sa zostavuje účtovná závierka do dňa zostavenia účt. závierky</t>
  </si>
  <si>
    <t>F.t) u) Pohľadávky zabezpečené záložným právom alebo inou formou zabezpečenia</t>
  </si>
  <si>
    <t>F.e) Prehľad o dlhodobom nehnuteľnom majetku, pri ktorom nebolo vlastnícke právo zapísané vkladom do katastra nehnuteľností ku dňu zostavenia účtovnej závierky a táto ho užíva</t>
  </si>
  <si>
    <t>Ulica</t>
  </si>
  <si>
    <t>Prijaté pôžičky-Nosko Igor</t>
  </si>
  <si>
    <t>55101</t>
  </si>
  <si>
    <t>50109</t>
  </si>
  <si>
    <t>Neuhradená strata r.2005</t>
  </si>
  <si>
    <t>Daň z príjmov PO /vrát.preddavkov/</t>
  </si>
  <si>
    <t>423-423*; 427-427*</t>
  </si>
  <si>
    <t>F.a) 2) Prehľad o pohybe dlhodobého hmotného majetku</t>
  </si>
  <si>
    <t>Pohľadávky podľa zostatkovej doby splatnosti</t>
  </si>
  <si>
    <t>54502</t>
  </si>
  <si>
    <t>Opravy minulých období /r.2007</t>
  </si>
  <si>
    <t>v %</t>
  </si>
  <si>
    <t>Daňovo neuznané náklady</t>
  </si>
  <si>
    <t>59102</t>
  </si>
  <si>
    <t>Deriváty určené na obchodovanie, z toho</t>
  </si>
  <si>
    <t>H. Informácie k údajom vykázaným vo výnosoch</t>
  </si>
  <si>
    <t>Cestovné-TPC/pau.použ.vl.mot.vozidl./</t>
  </si>
  <si>
    <t>21303</t>
  </si>
  <si>
    <t>Dlhodobý nehmotný majetok, pri ktorom má účtovná jednotka obmedzené právo s ním nakladať</t>
  </si>
  <si>
    <t>Druh zmeny zásady alebo metódy</t>
  </si>
  <si>
    <t>Zmena reálnej hodnoty (+/-) s vplyvom na</t>
  </si>
  <si>
    <t>OTP 8691782/5200-Biznis konto</t>
  </si>
  <si>
    <t>B. a) Štatutárne, dozorné a iné orgány</t>
  </si>
  <si>
    <t>52430</t>
  </si>
  <si>
    <t>50107</t>
  </si>
  <si>
    <t>Záväzky z obchodného styku (321, 322, 324, 325, 32X, 475A, 478A, 479A, 47XA)</t>
  </si>
  <si>
    <t>Iné výnosy súvisiace s bežnou činnosťou</t>
  </si>
  <si>
    <t>F.zb) Významné položky časového rozlíšenia nákladov budúcich období a príjmov budúcich období</t>
  </si>
  <si>
    <t>Ostatné záväzky voči spol.a čl.-Chudyba</t>
  </si>
  <si>
    <t>Náklady na telefón sl./datové</t>
  </si>
  <si>
    <t>Účet</t>
  </si>
  <si>
    <t>Dlhodobé pôžičky spolu</t>
  </si>
  <si>
    <t>Výška podielu 
na základnom imaní</t>
  </si>
  <si>
    <t>Servis/udržiav.dát a softvéru /Navi Pro</t>
  </si>
  <si>
    <t>343520</t>
  </si>
  <si>
    <t>32101</t>
  </si>
  <si>
    <t>384-384*; 387-387*</t>
  </si>
  <si>
    <t>Opravné položky</t>
  </si>
  <si>
    <t>Dlhodobé pohľadávky</t>
  </si>
  <si>
    <t>60206</t>
  </si>
  <si>
    <t>086-086*</t>
  </si>
  <si>
    <t>Suma Dal</t>
  </si>
  <si>
    <t>Daň v %</t>
  </si>
  <si>
    <t>Ostatné pohľadávky</t>
  </si>
  <si>
    <t>Oprávky k stavbám-techn.zhodn.prejnaj.m.</t>
  </si>
  <si>
    <t>Rezervy zákonné dlhodobé (451A)</t>
  </si>
  <si>
    <t>Právna forma</t>
  </si>
  <si>
    <t>Spriaznená osoba</t>
  </si>
  <si>
    <t>od jedného roka do piatich rokov vrátane</t>
  </si>
  <si>
    <t>Zdr.poisť-Apollo-7000196295/8180</t>
  </si>
  <si>
    <t>Pohľadávky</t>
  </si>
  <si>
    <t>Výsledok hospodárenia ÚJ, v ktorej má ÚJ umiestnený DFM</t>
  </si>
  <si>
    <t>Oprávky k inventáru</t>
  </si>
  <si>
    <t>Nákl.na monitorovanie/bezpeč.služba</t>
  </si>
  <si>
    <t>DPH odpočet-nákup z EÚ 20%</t>
  </si>
  <si>
    <t>I. a), b), c), d), e) Významné položky nákladov za poskytnuté služby</t>
  </si>
  <si>
    <t>Nákl.na monitorovanie/bezpeč.služba</t>
  </si>
  <si>
    <t>042-042*</t>
  </si>
  <si>
    <t>33502</t>
  </si>
  <si>
    <t>Ostat.dlhodob.záväzky-voči spoloč.Bouma</t>
  </si>
  <si>
    <t>Obchodné meno a sídlo bezprostredne konsolidujúcej účtovnej jednotky, ktorá zostavuje konsolidovanú účtovnú závierku za tú skupinu účtovných jednotiek konsolidovaného celku, ktorého súčasťou je aj účtovná jednotka</t>
  </si>
  <si>
    <t>Zo zákonného rezervného fondu</t>
  </si>
  <si>
    <t>Nákl.na sprostred./zml.Siam</t>
  </si>
  <si>
    <t>37904</t>
  </si>
  <si>
    <t>Zdr.poisť-Dôvera-7000747747/8180</t>
  </si>
  <si>
    <t>31401</t>
  </si>
  <si>
    <t>Zvieratá (124) - 195</t>
  </si>
  <si>
    <t>413-413*</t>
  </si>
  <si>
    <t>191-191*</t>
  </si>
  <si>
    <t>Do splatnosti viac ako päť rokov</t>
  </si>
  <si>
    <t>Obchodné meno (názov) účtovnej jednotky</t>
  </si>
  <si>
    <t>50103</t>
  </si>
  <si>
    <t>VÚB 2632477754/0200-CZK</t>
  </si>
  <si>
    <t>471-471*</t>
  </si>
  <si>
    <t>Majetok prijatý do úschovy</t>
  </si>
  <si>
    <t>Stav na konci účtovného obdobia</t>
  </si>
  <si>
    <t>Opis položky časového rozlíšenia</t>
  </si>
  <si>
    <t>50% odpis drob.DHM od 160-1700,-Eur</t>
  </si>
  <si>
    <t>DPH-platby/daňová povinnosť/</t>
  </si>
  <si>
    <t>34302</t>
  </si>
  <si>
    <t>pohľadávky</t>
  </si>
  <si>
    <t>343719</t>
  </si>
  <si>
    <t>255-255*</t>
  </si>
  <si>
    <t>počet vedúcich zamestnancov</t>
  </si>
  <si>
    <t>Obchodné meno a sídlo konsolidujúcej účtovnej jednotky, v ktorej  je možné tieto konsolidované účtovné závierky získať:</t>
  </si>
  <si>
    <t>38301</t>
  </si>
  <si>
    <t>52411</t>
  </si>
  <si>
    <t>22102</t>
  </si>
  <si>
    <t>Zásoby spolu</t>
  </si>
  <si>
    <t>Ostatné pohľadávky v rámci konsolidovaného celku</t>
  </si>
  <si>
    <t>Hodnota predmetu</t>
  </si>
  <si>
    <t>Hodnota voči spriazneným osobám</t>
  </si>
  <si>
    <t>Nájomné-nebytové priestory</t>
  </si>
  <si>
    <t>Spotr.drobného majetku do 30,- Eur</t>
  </si>
  <si>
    <t>291-291*</t>
  </si>
  <si>
    <t>094-094*</t>
  </si>
  <si>
    <t>F.j. 2) Štruktúra dlhodobého finančného majetku a jeho zmena stavu</t>
  </si>
  <si>
    <t>Základné imanie</t>
  </si>
  <si>
    <t>h/ rozpracované v časti L.</t>
  </si>
  <si>
    <t>Suma zadržanej platby</t>
  </si>
  <si>
    <t>N. c) Zoznam obchodov účtovnej jednotky s dcérskou účtovnou jednotkou a materskou účtovnou jednotkou bez ohľadu na to, či sa obchody medzi nimi v bežnom účtovnom období uskutočnili, alebo neuskutočnili</t>
  </si>
  <si>
    <t>Ostatný dlhodobý finančný majetok (067A, 069, 06XA) - 096A</t>
  </si>
  <si>
    <t>Obchodné meno</t>
  </si>
  <si>
    <t>Náklady na overenie individuálnej účtovnej závierky</t>
  </si>
  <si>
    <t>Vyfaktúrované nároky za vykonanú prácu na zákazkovej výstavbe nehnuteľnosti určenej na predaj</t>
  </si>
  <si>
    <t>priebežná</t>
  </si>
  <si>
    <t>S</t>
  </si>
  <si>
    <t>L</t>
  </si>
  <si>
    <t>O</t>
  </si>
  <si>
    <t>V</t>
  </si>
  <si>
    <t>A</t>
  </si>
  <si>
    <t>K</t>
  </si>
  <si>
    <t>I</t>
  </si>
  <si>
    <t>R</t>
  </si>
  <si>
    <t>E</t>
  </si>
  <si>
    <t>N</t>
  </si>
  <si>
    <t>T</t>
  </si>
  <si>
    <t>P</t>
  </si>
  <si>
    <t>B</t>
  </si>
  <si>
    <t>Č</t>
  </si>
  <si>
    <t>SLOVAKIA RENT, s.r.o.</t>
  </si>
  <si>
    <t>Kopčianska 65</t>
  </si>
  <si>
    <t>prenájom strojov, prístrojov a zariadení</t>
  </si>
  <si>
    <t>konateľ</t>
  </si>
  <si>
    <t>Ing. Igor Nosko</t>
  </si>
  <si>
    <t>vznik funkcie 16.6. 2008</t>
  </si>
  <si>
    <t>Ing. Igor Nosko, Vyšehradská 3, BA</t>
  </si>
  <si>
    <t>Petr Bouma, Senohrabská 8, Praha</t>
  </si>
  <si>
    <t>neboli zmeny</t>
  </si>
  <si>
    <t>Spoločnosť nie je súčasťou konsolidovaného celku.</t>
  </si>
  <si>
    <t>Petr Bouma</t>
  </si>
  <si>
    <t>Účtovné metódy a všeobecné účtovné zásady boi účtovnou jednotkou konzistentne</t>
  </si>
  <si>
    <t>aplikované. Účtovníctvo je vedené na základe dodržania časovej a vecnej súvislosti nákladov a</t>
  </si>
  <si>
    <t xml:space="preserve">výnosov. Za základ sa berú všetky náklady a výnosy, ktoré sa vzťahujú na účtovné obdobie </t>
  </si>
  <si>
    <t>bez ohľadu na dátum ich úhrady, inkasa alebo deň vyrovnania iným spôsobom.</t>
  </si>
  <si>
    <t>žiadne</t>
  </si>
  <si>
    <t xml:space="preserve">Pri oceňovaní sa uplatňuje princíp historických cien. </t>
  </si>
  <si>
    <t xml:space="preserve">Spôsob oceňovania jetnotlivých zložiek majetku a záväzkov ku dňu ukutočnenia účtovného </t>
  </si>
  <si>
    <t>prípadu je nasledovný:</t>
  </si>
  <si>
    <t xml:space="preserve"> </t>
  </si>
  <si>
    <t>1. Dlhodobý nehmotný a dlhodobý hmotný majetok</t>
  </si>
  <si>
    <r>
      <t xml:space="preserve"> Ddlhodobý majetok nakupovaný  </t>
    </r>
    <r>
      <rPr>
        <sz val="10"/>
        <color indexed="8"/>
        <rFont val="Calibri"/>
        <family val="2"/>
        <charset val="238"/>
      </rPr>
      <t>sa oceňuje obstarávacou cenou, ktorá zahŕňa cenu obstarania</t>
    </r>
  </si>
  <si>
    <t>a náklady súvisiace s obsrataním</t>
  </si>
  <si>
    <r>
      <t xml:space="preserve">Dlhodobý majetok vytvorený vlastnou činnosťou  </t>
    </r>
    <r>
      <rPr>
        <sz val="10"/>
        <color theme="1"/>
        <rFont val="Calibri"/>
        <family val="2"/>
        <charset val="238"/>
        <scheme val="minor"/>
      </rPr>
      <t xml:space="preserve">sa oceňuje vlastnými nákladmi v zložení: </t>
    </r>
  </si>
  <si>
    <r>
      <t xml:space="preserve">Dlhodobý majetok obstaraný iným spôsobom  </t>
    </r>
    <r>
      <rPr>
        <sz val="10"/>
        <color theme="1"/>
        <rFont val="Calibri"/>
        <family val="2"/>
        <charset val="238"/>
        <scheme val="minor"/>
      </rPr>
      <t>je oceňovaný reprodukčnou obstarávacou cenou.</t>
    </r>
  </si>
  <si>
    <t>2. Cenné papiere a podiely</t>
  </si>
  <si>
    <t>Cenné papiere a podiely sa oceňujú obstarávacími cenami vrátane nákladov súvisiacich</t>
  </si>
  <si>
    <t>s obstaraním.</t>
  </si>
  <si>
    <t>Spoločnosť v účtovnom období neúčtovala o cenných papieroch.</t>
  </si>
  <si>
    <t>3. Zásoby</t>
  </si>
  <si>
    <r>
      <t xml:space="preserve">Nakupované zásoby  </t>
    </r>
    <r>
      <rPr>
        <sz val="10"/>
        <color indexed="8"/>
        <rFont val="Calibri"/>
        <family val="2"/>
        <charset val="238"/>
      </rPr>
      <t>sa oceňujú :</t>
    </r>
  </si>
  <si>
    <r>
      <rPr>
        <b/>
        <sz val="10"/>
        <color indexed="8"/>
        <rFont val="Calibri"/>
        <family val="2"/>
        <charset val="238"/>
      </rPr>
      <t>Zásoby vytvorené vlastnou činnosťou</t>
    </r>
    <r>
      <rPr>
        <sz val="10"/>
        <color indexed="8"/>
        <rFont val="Calibri"/>
        <family val="2"/>
        <charset val="238"/>
      </rPr>
      <t xml:space="preserve"> sa oceňujú vlastnými nákladmi</t>
    </r>
  </si>
  <si>
    <t>-priame náklady /priamy materiál, priame mzdy, ostatné priame náklady</t>
  </si>
  <si>
    <t>-časť nepriamych nákladov bezprostredne  súvisiacich s ich vytváraním -výrobná réžia</t>
  </si>
  <si>
    <t xml:space="preserve">   </t>
  </si>
  <si>
    <t xml:space="preserve">4. Zákazková výroba </t>
  </si>
  <si>
    <t>Spoločnosť nemá činnosť charakteru zákazkovej výroby.</t>
  </si>
  <si>
    <t>5. Pohľadávky</t>
  </si>
  <si>
    <t>Pohľadávky pri ich vzniku sa oceňujú ich menovitou hodnotou, postúpené pohľadávky nadobud-</t>
  </si>
  <si>
    <t xml:space="preserve">nuté vkladom do základného imania sa oceňujú obstarávacou cenou vrátane nákladov </t>
  </si>
  <si>
    <t>súvisiacich s obstaraním. Toto ocenenie sa znižuje o opravné položky, tvorené k pochybným,</t>
  </si>
  <si>
    <t>rizikovým a nevymožiteľným pohľadávkam.</t>
  </si>
  <si>
    <t>6. Peňažné prostriedky a ceniny</t>
  </si>
  <si>
    <t>Peňažné prostriedky a ceniny sa oceňujú ich menovitou hodnotou.</t>
  </si>
  <si>
    <t>7. Náklady budúcich období a príjmy budúcich období</t>
  </si>
  <si>
    <t xml:space="preserve">Vykazujú sa vo výške, ktorá je potrebná na dodržanie zásady vecenej a časovej súvislosti </t>
  </si>
  <si>
    <t>s účtovným obdobím.</t>
  </si>
  <si>
    <t>8. Rezervy</t>
  </si>
  <si>
    <t xml:space="preserve">Sú záväzky s neurčitým časovým vymedzením alebo výškou, tvoria sa  na budúce straty a záväzky, </t>
  </si>
  <si>
    <t xml:space="preserve">u ktorých je viac než pravdepodobné, že nastanú na základe minulých udalostí, a ktoré sa </t>
  </si>
  <si>
    <t>dajú odhadnúť.</t>
  </si>
  <si>
    <t>9. Záväzky</t>
  </si>
  <si>
    <t xml:space="preserve">Záväzky pri ich vzniku vrátane rezerv, dlhopisov, pôžičiek a úverov sú oceňované menovitou </t>
  </si>
  <si>
    <t>hodnotou. Ak sa pri inventarizácii zistí, že suma záväzkov je iná ako ich výška v účtovníctve,</t>
  </si>
  <si>
    <t>uvedú sa záväzky v účtovníctve a v účtovnej závierke v tomto zistení.</t>
  </si>
  <si>
    <t>10. Daň z príjmov</t>
  </si>
  <si>
    <t>Daň z príjmov predstavuje 19% daňového základu, ktorý sa vypočítal úpravou účtovného výsledku</t>
  </si>
  <si>
    <t>hospodárenia pred zdanením  o pripočítateľné a odpočítateľné položky.</t>
  </si>
  <si>
    <t xml:space="preserve">11. Výdavky budúcich období a výnosy budúcich období </t>
  </si>
  <si>
    <t>Sú oceňované menotitou hodnotou a vykazujú sa vo výške, ktorá je potrebná na dodržanie</t>
  </si>
  <si>
    <t>zásady vecnej a časovej súvislosti s účtovným obdobím.</t>
  </si>
  <si>
    <t>12. Prenajatý majetok a majetok obstaraný na základe zmluvy o kúpe prenajatej veci</t>
  </si>
  <si>
    <t>Spoločnosť nemá uzavretú žiadnu zmluvu na finančný prenájom.</t>
  </si>
  <si>
    <t>13. Cudzia mena</t>
  </si>
  <si>
    <t>Majetok a záväzky vyjadrené v cudzej mene sa ku dňu uskutočnenia účtovného prípadu</t>
  </si>
  <si>
    <t>prepočítavajú na Eurá kurzom určeným v kurzovom lístku Národnej banky Slovenska /alebo ECB/</t>
  </si>
  <si>
    <t>platným v deň predchádzajúci dňu ukutočnenia účtovného prípadu.</t>
  </si>
  <si>
    <t>Majetok a záväzky vyjadrené v cudzej mene (okrem prijatých a poskytnutých preddavkov)</t>
  </si>
  <si>
    <t xml:space="preserve">sa ku dňu ku ktorému sa zostavuje účtovná závierka prepočítavajú na eurá kurzom určeným </t>
  </si>
  <si>
    <t>v kurzovom lístku NBS alebo ECB platným v deň, ku ktorému sa zostavuje účtovná závierka</t>
  </si>
  <si>
    <t>a účtujú sa v vplyvom na výsledok hospodárenia.</t>
  </si>
  <si>
    <t>14. Výnosy</t>
  </si>
  <si>
    <t>Tržby za vlastné výkony a tovar neobsahujú daň z pridanej hodnoty a predstavujú sumy</t>
  </si>
  <si>
    <t>znížené a prípadné zľavy a zrážky (rabaty, bonusy, skontá a pod.)</t>
  </si>
  <si>
    <r>
      <rPr>
        <b/>
        <sz val="10"/>
        <color indexed="8"/>
        <rFont val="Calibri"/>
        <family val="2"/>
        <charset val="238"/>
      </rPr>
      <t>Odpisy dlhodobého nehmotného majetku</t>
    </r>
    <r>
      <rPr>
        <sz val="10"/>
        <color indexed="8"/>
        <rFont val="Calibri"/>
        <family val="2"/>
        <charset val="238"/>
      </rPr>
      <t xml:space="preserve"> sú stanovené so zohľadnením predpokladanej doby</t>
    </r>
  </si>
  <si>
    <t xml:space="preserve">jeho používania. Odpisovať sa začína v mesiaci zaradenia majetku do používania. Drobný </t>
  </si>
  <si>
    <t>smernicou.</t>
  </si>
  <si>
    <r>
      <t xml:space="preserve">Odpisy dlhodobého hmotného majetku  </t>
    </r>
    <r>
      <rPr>
        <sz val="10"/>
        <color indexed="8"/>
        <rFont val="Calibri"/>
        <family val="2"/>
        <charset val="238"/>
      </rPr>
      <t>sú stanovené so zohľadnením predpokladanej doby</t>
    </r>
  </si>
  <si>
    <t>a predpokladaného priebehu opotrebenia majetku. Odpisovať sa začína v mesiaci zaradenia</t>
  </si>
  <si>
    <t>a vyššia, spoločnosť odpisuje dva roky počnúc mesiacom zaradenia. Drobný hmotný majetok</t>
  </si>
  <si>
    <t>spoločnosti.</t>
  </si>
  <si>
    <t>Doba odpisovania technického zhodnotenia vykonaného v prenajatých priestoroch zodpovedá</t>
  </si>
  <si>
    <t>dobe prenájmu podľa uzavretej nájomnej zmluvy /resp. mandátnej zmluvy/, pokiaľ je doba</t>
  </si>
  <si>
    <t>prenájmu neurčitá, odpisuje sa 20 rokov.</t>
  </si>
  <si>
    <t>Spôsob zostavenia účtovného odpisového plánu pre dlhodobý majetok a použité účtovné odpisové metódy pri stanovení účtovných odpisov uvádza nasledovná tabuľka:</t>
  </si>
  <si>
    <t>Sadzba odpisov v %</t>
  </si>
  <si>
    <t>4 roky</t>
  </si>
  <si>
    <t>rovnomerná</t>
  </si>
  <si>
    <t>2 roky</t>
  </si>
  <si>
    <t>Budovy a stavky</t>
  </si>
  <si>
    <t>20 rokov</t>
  </si>
  <si>
    <t>Stroje, prístroje a zariadenia</t>
  </si>
  <si>
    <t>4-12 rokov</t>
  </si>
  <si>
    <t>8,3 -25</t>
  </si>
  <si>
    <t>Dopravné prostriedky</t>
  </si>
  <si>
    <t>6 rokov</t>
  </si>
  <si>
    <t xml:space="preserve">Spoločnosť neúčtuje o odloženej dani. </t>
  </si>
  <si>
    <t>nehmotný majetok, ktorého obstarávacia cena je 160,- Eur a vyššia, spoločnosť odpisuje dva</t>
  </si>
  <si>
    <t>roky. Drobný nehmotný majetok do 160,- Eur sa účtuje priamo do nákladov v súlade s internou</t>
  </si>
  <si>
    <t>majetku do používania. Drobný hmotný dlhodobý majetok, ktorého obstarávacia cena je Eur  160,-</t>
  </si>
  <si>
    <t>do 160,- Eur sa účtuje priamo do nákladov ako spotreba materiálu v súlade s internou smernicou</t>
  </si>
  <si>
    <t>DDNM nad 160,- Eur</t>
  </si>
  <si>
    <t>Špeciálny softvér</t>
  </si>
  <si>
    <t>5 rokov</t>
  </si>
  <si>
    <t>DDHM nad 160,- Eur</t>
  </si>
  <si>
    <t xml:space="preserve">Spoločnosť tvorí k rizikovým pohľadávkam z obchodného styku (po splatnosti nad 360 dní) </t>
  </si>
  <si>
    <t>opravné položky v nasledovnej špecifikácii:</t>
  </si>
  <si>
    <t xml:space="preserve">1/ vo výške 20% menovitej hodnoty pohľadávky (po splatnosti nad 360 dní) </t>
  </si>
  <si>
    <t xml:space="preserve">2/ vo výške 30% menovitej hodnoty pohľadávky (po splatnosti nad 720 dní) </t>
  </si>
  <si>
    <t>3/ vo výške 50% menovitej hodnoty pohľadávky (po splatnosti nad 1080 dní)</t>
  </si>
  <si>
    <t>Hodnota pohľadávok, pri ktorých je obmedzené právo s nimi nakladať</t>
  </si>
  <si>
    <t>xxx</t>
  </si>
  <si>
    <t>Príjmy budúcich období krátkodobé, z toho:</t>
  </si>
  <si>
    <t>provízia za prenájom stávkového systému</t>
  </si>
  <si>
    <t>časové rozlíšenie spolu</t>
  </si>
  <si>
    <t>energie a služby</t>
  </si>
  <si>
    <t>prenájom terminálov</t>
  </si>
  <si>
    <t>mzdy na nevybr.dovolenku</t>
  </si>
  <si>
    <t>poistné k mzdám</t>
  </si>
  <si>
    <t>nevyfaktur.služby,energie</t>
  </si>
  <si>
    <t>spoločnosť nemá záväzky zabezpečené</t>
  </si>
  <si>
    <t>záložným právom</t>
  </si>
  <si>
    <t>G. f) Informácie o odloženom daňovom záväzku a pohľadávke</t>
  </si>
  <si>
    <t>Spoločnosť neúčtuje o odloženom daňovom záväzku a odloženej daňovej pohľadávke</t>
  </si>
  <si>
    <t>Eur</t>
  </si>
  <si>
    <t>prenájom VLT</t>
  </si>
  <si>
    <t>prenáj.Dostihy</t>
  </si>
  <si>
    <t>mand.činnosti</t>
  </si>
  <si>
    <t>ostatné</t>
  </si>
  <si>
    <t>výnosové úroky</t>
  </si>
  <si>
    <t>Mimoriadne náklady, z toho:</t>
  </si>
  <si>
    <t>nájomné za VLT</t>
  </si>
  <si>
    <t>nájomné nebyt. priestorov</t>
  </si>
  <si>
    <t>rozdiel z pomerného odpočtu DPH</t>
  </si>
  <si>
    <t>Splatná daň z  príj.vybr.zrážkou</t>
  </si>
  <si>
    <t>splátka bezúročnej pôžičky</t>
  </si>
  <si>
    <t>Igor Nosko</t>
  </si>
  <si>
    <t>Vlastné imanie spolu</t>
  </si>
  <si>
    <t>Zákonný rezervný fond zo zisku</t>
  </si>
  <si>
    <t>strana</t>
  </si>
  <si>
    <t>str.3</t>
  </si>
  <si>
    <t>str.4</t>
  </si>
  <si>
    <t>str.5</t>
  </si>
  <si>
    <t>str.6</t>
  </si>
  <si>
    <t>str.7</t>
  </si>
  <si>
    <t>str.8</t>
  </si>
  <si>
    <t>str.9</t>
  </si>
  <si>
    <t>str.10</t>
  </si>
  <si>
    <t>str.11</t>
  </si>
  <si>
    <t>str.12</t>
  </si>
  <si>
    <t>str.13</t>
  </si>
  <si>
    <t>str.14</t>
  </si>
  <si>
    <t>str.15</t>
  </si>
  <si>
    <t>str.17</t>
  </si>
  <si>
    <t>str.18</t>
  </si>
  <si>
    <t>str.16</t>
  </si>
  <si>
    <t>str.19</t>
  </si>
  <si>
    <t>str.20</t>
  </si>
  <si>
    <t>str.21</t>
  </si>
  <si>
    <t>str.22</t>
  </si>
  <si>
    <t>Spoločnosť neúčtuje o odloženej dani, nemá povinnosť overenia účtovnej závierky audítorom.</t>
  </si>
  <si>
    <t>str.23</t>
  </si>
  <si>
    <t>str.24</t>
  </si>
  <si>
    <t>str.25</t>
  </si>
  <si>
    <t>str.26</t>
  </si>
  <si>
    <t>str.27</t>
  </si>
  <si>
    <t>4-6</t>
  </si>
  <si>
    <t>7-14</t>
  </si>
  <si>
    <t>15-18</t>
  </si>
  <si>
    <t>19-20</t>
  </si>
  <si>
    <t>21</t>
  </si>
  <si>
    <t>22</t>
  </si>
  <si>
    <t>0</t>
  </si>
  <si>
    <t>25</t>
  </si>
  <si>
    <t>26-27</t>
  </si>
  <si>
    <t>spoločnosť nemá povinnosť overenia účtovnej</t>
  </si>
  <si>
    <t>závierky audítorom</t>
  </si>
  <si>
    <t>str.2</t>
  </si>
  <si>
    <t>31.  12.</t>
  </si>
  <si>
    <t>ročné zúčt.koeficientu DPH</t>
  </si>
  <si>
    <t>splátka pôžičky</t>
  </si>
  <si>
    <t xml:space="preserve">ukončenie mandátnych  činností </t>
  </si>
  <si>
    <t xml:space="preserve">ukončenie prenájmov videohier /VLT </t>
  </si>
  <si>
    <t xml:space="preserve">Zákonný rezervný fond zo zisku </t>
  </si>
  <si>
    <t xml:space="preserve">V tomto účtovnom období spoločnosť tvorila OP vo výške 50% k pohľadávke za predaj stolíkov </t>
  </si>
  <si>
    <t>k VLT.</t>
  </si>
  <si>
    <t>23-24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</si>
</sst>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3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7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Tahoma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9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wrapText="1"/>
    </xf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vertical="top" wrapText="1"/>
    </xf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1" xfId="0" applyNumberFormat="1" applyFont="1" applyBorder="1"/>
    <xf numFmtId="0" fontId="4" fillId="0" borderId="0" xfId="0" applyFont="1" applyAlignment="1"/>
    <xf numFmtId="0" fontId="0" fillId="0" borderId="0" xfId="0" applyAlignment="1"/>
    <xf numFmtId="0" fontId="7" fillId="0" borderId="0" xfId="0" applyFont="1" applyAlignment="1"/>
    <xf numFmtId="49" fontId="7" fillId="0" borderId="0" xfId="0" applyNumberFormat="1" applyFont="1"/>
    <xf numFmtId="0" fontId="7" fillId="0" borderId="0" xfId="0" applyFont="1"/>
    <xf numFmtId="0" fontId="3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Font="1" applyAlignment="1"/>
    <xf numFmtId="0" fontId="3" fillId="0" borderId="2" xfId="0" applyFont="1" applyBorder="1" applyAlignment="1">
      <alignment horizontal="center"/>
    </xf>
    <xf numFmtId="0" fontId="2" fillId="0" borderId="1" xfId="0" applyFont="1" applyBorder="1" applyAlignment="1"/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/>
    <xf numFmtId="0" fontId="8" fillId="0" borderId="0" xfId="0" applyFont="1"/>
    <xf numFmtId="0" fontId="0" fillId="0" borderId="0" xfId="0" applyAlignment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0" fillId="0" borderId="0" xfId="0" applyBorder="1" applyAlignment="1"/>
    <xf numFmtId="0" fontId="1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14" fillId="0" borderId="4" xfId="0" applyFont="1" applyBorder="1" applyAlignment="1">
      <alignment vertical="center"/>
    </xf>
    <xf numFmtId="0" fontId="14" fillId="0" borderId="5" xfId="0" applyFont="1" applyBorder="1" applyAlignment="1">
      <alignment horizontal="center"/>
    </xf>
    <xf numFmtId="0" fontId="14" fillId="0" borderId="4" xfId="0" applyFont="1" applyBorder="1" applyAlignment="1">
      <alignment vertical="center" wrapText="1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2" fillId="0" borderId="4" xfId="0" applyFont="1" applyBorder="1" applyAlignment="1"/>
    <xf numFmtId="0" fontId="3" fillId="0" borderId="5" xfId="0" applyFont="1" applyBorder="1" applyAlignment="1">
      <alignment horizont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4" fillId="0" borderId="0" xfId="0" applyFont="1" applyBorder="1" applyAlignment="1">
      <alignment horizontal="right" vertical="center"/>
    </xf>
    <xf numFmtId="0" fontId="0" fillId="0" borderId="0" xfId="0"/>
    <xf numFmtId="0" fontId="14" fillId="0" borderId="0" xfId="0" applyFont="1" applyBorder="1" applyAlignment="1">
      <alignment vertical="center" wrapText="1"/>
    </xf>
    <xf numFmtId="0" fontId="0" fillId="0" borderId="0" xfId="0"/>
    <xf numFmtId="0" fontId="14" fillId="0" borderId="1" xfId="0" applyFont="1" applyBorder="1"/>
    <xf numFmtId="0" fontId="13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15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right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0" fillId="0" borderId="0" xfId="0" applyBorder="1" applyAlignment="1"/>
    <xf numFmtId="0" fontId="0" fillId="0" borderId="0" xfId="0"/>
    <xf numFmtId="0" fontId="0" fillId="0" borderId="0" xfId="0"/>
    <xf numFmtId="0" fontId="11" fillId="0" borderId="0" xfId="0" applyFont="1"/>
    <xf numFmtId="0" fontId="12" fillId="0" borderId="0" xfId="0" applyFont="1"/>
    <xf numFmtId="0" fontId="0" fillId="0" borderId="0" xfId="0" applyAlignment="1">
      <alignment horizontal="center" wrapText="1"/>
    </xf>
    <xf numFmtId="0" fontId="0" fillId="0" borderId="0" xfId="0"/>
    <xf numFmtId="0" fontId="0" fillId="0" borderId="0" xfId="0" applyBorder="1"/>
    <xf numFmtId="0" fontId="8" fillId="0" borderId="0" xfId="0" applyFont="1" applyBorder="1" applyAlignment="1"/>
    <xf numFmtId="0" fontId="8" fillId="0" borderId="0" xfId="0" applyFont="1" applyBorder="1"/>
    <xf numFmtId="14" fontId="2" fillId="0" borderId="1" xfId="0" applyNumberFormat="1" applyFont="1" applyBorder="1" applyAlignment="1"/>
    <xf numFmtId="0" fontId="0" fillId="0" borderId="0" xfId="0" applyAlignment="1"/>
    <xf numFmtId="0" fontId="2" fillId="0" borderId="15" xfId="0" applyFont="1" applyBorder="1" applyAlignment="1"/>
    <xf numFmtId="0" fontId="2" fillId="0" borderId="16" xfId="0" applyFont="1" applyBorder="1" applyAlignment="1"/>
    <xf numFmtId="0" fontId="2" fillId="0" borderId="2" xfId="0" applyFont="1" applyBorder="1" applyAlignment="1"/>
    <xf numFmtId="0" fontId="7" fillId="0" borderId="0" xfId="0" applyFont="1" applyAlignment="1">
      <alignment wrapText="1"/>
    </xf>
    <xf numFmtId="0" fontId="3" fillId="0" borderId="5" xfId="0" applyFont="1" applyBorder="1" applyAlignment="1">
      <alignment horizontal="center"/>
    </xf>
    <xf numFmtId="0" fontId="14" fillId="0" borderId="1" xfId="0" applyFont="1" applyBorder="1" applyAlignment="1">
      <alignment horizontal="right"/>
    </xf>
    <xf numFmtId="0" fontId="0" fillId="0" borderId="0" xfId="0"/>
    <xf numFmtId="0" fontId="14" fillId="0" borderId="1" xfId="0" applyFont="1" applyBorder="1"/>
    <xf numFmtId="0" fontId="18" fillId="0" borderId="0" xfId="0" applyFont="1"/>
    <xf numFmtId="0" fontId="0" fillId="0" borderId="0" xfId="0" applyFont="1"/>
    <xf numFmtId="0" fontId="8" fillId="0" borderId="0" xfId="0" applyFont="1" applyBorder="1" applyAlignment="1">
      <alignment horizontal="right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/>
    <xf numFmtId="0" fontId="19" fillId="0" borderId="0" xfId="0" applyFont="1"/>
    <xf numFmtId="0" fontId="20" fillId="0" borderId="0" xfId="0" applyFont="1" applyAlignment="1"/>
    <xf numFmtId="0" fontId="21" fillId="0" borderId="0" xfId="0" applyFont="1"/>
    <xf numFmtId="0" fontId="11" fillId="0" borderId="0" xfId="0" applyFont="1" applyAlignment="1">
      <alignment horizontal="left"/>
    </xf>
    <xf numFmtId="0" fontId="1" fillId="0" borderId="0" xfId="0" applyFont="1" applyAlignment="1"/>
    <xf numFmtId="0" fontId="20" fillId="0" borderId="0" xfId="0" applyFont="1"/>
    <xf numFmtId="0" fontId="2" fillId="0" borderId="4" xfId="0" applyFont="1" applyBorder="1" applyAlignment="1">
      <alignment horizontal="center"/>
    </xf>
    <xf numFmtId="0" fontId="14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right" vertical="center" wrapText="1"/>
    </xf>
    <xf numFmtId="49" fontId="0" fillId="0" borderId="0" xfId="0" applyNumberFormat="1" applyFont="1"/>
    <xf numFmtId="0" fontId="14" fillId="0" borderId="0" xfId="0" applyFont="1"/>
    <xf numFmtId="0" fontId="0" fillId="0" borderId="8" xfId="0" applyBorder="1" applyAlignment="1"/>
    <xf numFmtId="0" fontId="0" fillId="0" borderId="0" xfId="0" applyBorder="1" applyAlignment="1"/>
    <xf numFmtId="0" fontId="0" fillId="0" borderId="9" xfId="0" applyBorder="1" applyAlignment="1"/>
    <xf numFmtId="0" fontId="0" fillId="0" borderId="0" xfId="0" applyAlignment="1"/>
    <xf numFmtId="0" fontId="0" fillId="0" borderId="10" xfId="0" applyBorder="1" applyAlignment="1"/>
    <xf numFmtId="0" fontId="0" fillId="0" borderId="3" xfId="0" applyBorder="1" applyAlignment="1"/>
    <xf numFmtId="0" fontId="0" fillId="0" borderId="11" xfId="0" applyBorder="1" applyAlignment="1"/>
    <xf numFmtId="0" fontId="10" fillId="0" borderId="12" xfId="0" applyFont="1" applyBorder="1" applyAlignment="1">
      <alignment vertical="top" wrapText="1"/>
    </xf>
    <xf numFmtId="0" fontId="10" fillId="0" borderId="13" xfId="0" applyFont="1" applyBorder="1" applyAlignment="1">
      <alignment vertical="top" wrapText="1"/>
    </xf>
    <xf numFmtId="0" fontId="10" fillId="0" borderId="14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14" fontId="6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12" xfId="0" applyFont="1" applyBorder="1" applyAlignment="1"/>
    <xf numFmtId="0" fontId="0" fillId="0" borderId="13" xfId="0" applyBorder="1" applyAlignment="1"/>
    <xf numFmtId="0" fontId="0" fillId="0" borderId="14" xfId="0" applyBorder="1" applyAlignment="1"/>
    <xf numFmtId="0" fontId="6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/>
    <xf numFmtId="0" fontId="2" fillId="0" borderId="1" xfId="0" applyFont="1" applyBorder="1" applyAlignment="1"/>
    <xf numFmtId="0" fontId="0" fillId="0" borderId="1" xfId="0" applyBorder="1" applyAlignment="1"/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3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2" fillId="0" borderId="10" xfId="0" applyFont="1" applyBorder="1" applyAlignment="1"/>
    <xf numFmtId="0" fontId="2" fillId="0" borderId="3" xfId="0" applyFont="1" applyBorder="1" applyAlignment="1"/>
    <xf numFmtId="0" fontId="2" fillId="0" borderId="11" xfId="0" applyFont="1" applyBorder="1" applyAlignment="1"/>
    <xf numFmtId="0" fontId="2" fillId="0" borderId="4" xfId="0" applyFont="1" applyBorder="1" applyAlignment="1">
      <alignment wrapText="1"/>
    </xf>
    <xf numFmtId="0" fontId="2" fillId="0" borderId="15" xfId="0" applyFont="1" applyBorder="1" applyAlignment="1"/>
    <xf numFmtId="0" fontId="0" fillId="0" borderId="2" xfId="0" applyBorder="1" applyAlignment="1"/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6" xfId="0" applyFont="1" applyBorder="1" applyAlignment="1"/>
    <xf numFmtId="0" fontId="2" fillId="0" borderId="2" xfId="0" applyFont="1" applyBorder="1" applyAlignment="1"/>
    <xf numFmtId="0" fontId="0" fillId="0" borderId="5" xfId="0" applyBorder="1" applyAlignment="1">
      <alignment horizontal="center" wrapText="1"/>
    </xf>
    <xf numFmtId="0" fontId="2" fillId="0" borderId="4" xfId="0" applyFont="1" applyBorder="1" applyAlignment="1"/>
    <xf numFmtId="0" fontId="0" fillId="0" borderId="4" xfId="0" applyBorder="1" applyAlignment="1"/>
    <xf numFmtId="14" fontId="2" fillId="0" borderId="15" xfId="0" applyNumberFormat="1" applyFont="1" applyBorder="1" applyAlignment="1"/>
    <xf numFmtId="0" fontId="3" fillId="0" borderId="17" xfId="0" applyFon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6" xfId="0" applyBorder="1" applyAlignment="1"/>
    <xf numFmtId="0" fontId="0" fillId="0" borderId="15" xfId="0" applyBorder="1" applyAlignment="1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5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2" xfId="0" applyBorder="1" applyAlignment="1">
      <alignment wrapText="1"/>
    </xf>
    <xf numFmtId="0" fontId="3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0" fillId="0" borderId="0" xfId="0" applyFont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2" fillId="0" borderId="15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7" fillId="0" borderId="0" xfId="0" applyFont="1" applyAlignment="1">
      <alignment wrapText="1"/>
    </xf>
    <xf numFmtId="0" fontId="3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shrinkToFit="1"/>
    </xf>
    <xf numFmtId="0" fontId="2" fillId="0" borderId="16" xfId="0" applyFont="1" applyBorder="1" applyAlignment="1">
      <alignment shrinkToFit="1"/>
    </xf>
    <xf numFmtId="0" fontId="2" fillId="0" borderId="2" xfId="0" applyFont="1" applyBorder="1" applyAlignment="1">
      <alignment shrinkToFit="1"/>
    </xf>
    <xf numFmtId="0" fontId="1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/>
    <xf numFmtId="0" fontId="0" fillId="0" borderId="4" xfId="0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/>
    <xf numFmtId="0" fontId="13" fillId="0" borderId="1" xfId="0" applyFont="1" applyBorder="1" applyAlignment="1"/>
    <xf numFmtId="0" fontId="14" fillId="0" borderId="1" xfId="0" applyFont="1" applyBorder="1" applyAlignment="1">
      <alignment horizontal="center"/>
    </xf>
    <xf numFmtId="0" fontId="13" fillId="0" borderId="4" xfId="0" applyFont="1" applyBorder="1" applyAlignment="1"/>
    <xf numFmtId="0" fontId="13" fillId="0" borderId="1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4" fillId="0" borderId="17" xfId="0" applyFont="1" applyBorder="1" applyAlignment="1">
      <alignment horizontal="center"/>
    </xf>
    <xf numFmtId="0" fontId="14" fillId="0" borderId="10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13" fillId="0" borderId="15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wrapText="1"/>
    </xf>
    <xf numFmtId="0" fontId="14" fillId="0" borderId="4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5" xfId="0" applyFont="1" applyBorder="1" applyAlignment="1">
      <alignment horizont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3" fillId="0" borderId="4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14" fillId="0" borderId="4" xfId="0" applyFont="1" applyBorder="1" applyAlignment="1">
      <alignment horizontal="left"/>
    </xf>
    <xf numFmtId="0" fontId="14" fillId="0" borderId="4" xfId="0" applyFont="1" applyBorder="1" applyAlignment="1">
      <alignment horizontal="right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right"/>
    </xf>
    <xf numFmtId="0" fontId="14" fillId="0" borderId="20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4" fillId="0" borderId="4" xfId="0" applyFont="1" applyBorder="1" applyAlignment="1">
      <alignment horizontal="right" vertical="center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0" fillId="0" borderId="22" xfId="0" applyBorder="1" applyAlignment="1">
      <alignment wrapText="1"/>
    </xf>
    <xf numFmtId="0" fontId="14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right" vertical="center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3" fillId="0" borderId="15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15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3" fillId="0" borderId="15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right" vertical="center"/>
    </xf>
    <xf numFmtId="0" fontId="13" fillId="0" borderId="14" xfId="0" applyFont="1" applyBorder="1" applyAlignment="1">
      <alignment horizontal="right" vertical="center"/>
    </xf>
    <xf numFmtId="0" fontId="13" fillId="0" borderId="20" xfId="0" applyFont="1" applyBorder="1" applyAlignment="1">
      <alignment horizontal="left"/>
    </xf>
    <xf numFmtId="0" fontId="11" fillId="0" borderId="21" xfId="0" applyFont="1" applyBorder="1" applyAlignment="1">
      <alignment horizontal="left"/>
    </xf>
    <xf numFmtId="0" fontId="11" fillId="0" borderId="22" xfId="0" applyFont="1" applyBorder="1" applyAlignment="1">
      <alignment horizontal="left"/>
    </xf>
    <xf numFmtId="0" fontId="14" fillId="0" borderId="1" xfId="0" applyFont="1" applyBorder="1"/>
    <xf numFmtId="0" fontId="0" fillId="0" borderId="1" xfId="0" applyBorder="1"/>
    <xf numFmtId="0" fontId="13" fillId="0" borderId="1" xfId="0" applyFont="1" applyBorder="1"/>
    <xf numFmtId="0" fontId="0" fillId="0" borderId="7" xfId="0" applyBorder="1"/>
    <xf numFmtId="0" fontId="14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vertical="center" wrapText="1"/>
    </xf>
    <xf numFmtId="0" fontId="13" fillId="0" borderId="5" xfId="0" applyFont="1" applyBorder="1" applyAlignment="1">
      <alignment horizontal="center" wrapText="1"/>
    </xf>
    <xf numFmtId="0" fontId="14" fillId="0" borderId="7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14" fillId="0" borderId="7" xfId="0" applyFont="1" applyBorder="1"/>
    <xf numFmtId="0" fontId="14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/>
    </xf>
    <xf numFmtId="0" fontId="14" fillId="0" borderId="7" xfId="0" applyFont="1" applyBorder="1" applyAlignment="1">
      <alignment horizontal="center"/>
    </xf>
    <xf numFmtId="0" fontId="0" fillId="0" borderId="0" xfId="0"/>
    <xf numFmtId="0" fontId="0" fillId="0" borderId="7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13" fillId="0" borderId="15" xfId="0" applyFont="1" applyBorder="1"/>
    <xf numFmtId="0" fontId="13" fillId="0" borderId="2" xfId="0" applyFont="1" applyBorder="1"/>
    <xf numFmtId="0" fontId="14" fillId="0" borderId="15" xfId="0" applyFont="1" applyBorder="1"/>
    <xf numFmtId="0" fontId="14" fillId="0" borderId="2" xfId="0" applyFont="1" applyBorder="1"/>
    <xf numFmtId="0" fontId="13" fillId="0" borderId="7" xfId="0" applyFont="1" applyBorder="1"/>
    <xf numFmtId="0" fontId="4" fillId="0" borderId="0" xfId="0" applyFont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right"/>
    </xf>
    <xf numFmtId="0" fontId="14" fillId="0" borderId="7" xfId="0" applyFont="1" applyBorder="1" applyAlignment="1">
      <alignment horizontal="left" wrapText="1"/>
    </xf>
    <xf numFmtId="0" fontId="14" fillId="0" borderId="7" xfId="0" applyFont="1" applyBorder="1" applyAlignment="1">
      <alignment horizontal="right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/>
    <xf numFmtId="0" fontId="14" fillId="0" borderId="21" xfId="0" applyFont="1" applyBorder="1" applyAlignment="1"/>
    <xf numFmtId="0" fontId="14" fillId="0" borderId="22" xfId="0" applyFont="1" applyBorder="1" applyAlignment="1"/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4" fillId="0" borderId="10" xfId="0" applyFont="1" applyBorder="1" applyAlignment="1"/>
    <xf numFmtId="0" fontId="14" fillId="0" borderId="3" xfId="0" applyFont="1" applyBorder="1" applyAlignment="1"/>
    <xf numFmtId="0" fontId="14" fillId="0" borderId="11" xfId="0" applyFont="1" applyBorder="1" applyAlignment="1"/>
    <xf numFmtId="0" fontId="14" fillId="0" borderId="15" xfId="0" applyFont="1" applyBorder="1" applyAlignment="1"/>
    <xf numFmtId="0" fontId="14" fillId="0" borderId="16" xfId="0" applyFont="1" applyBorder="1" applyAlignment="1"/>
    <xf numFmtId="0" fontId="14" fillId="0" borderId="2" xfId="0" applyFont="1" applyBorder="1" applyAlignment="1"/>
    <xf numFmtId="0" fontId="13" fillId="0" borderId="15" xfId="0" applyFont="1" applyBorder="1" applyAlignment="1"/>
    <xf numFmtId="0" fontId="13" fillId="0" borderId="16" xfId="0" applyFont="1" applyBorder="1" applyAlignment="1"/>
    <xf numFmtId="0" fontId="13" fillId="0" borderId="2" xfId="0" applyFont="1" applyBorder="1" applyAlignment="1"/>
    <xf numFmtId="0" fontId="13" fillId="0" borderId="5" xfId="0" applyFont="1" applyBorder="1" applyAlignment="1">
      <alignment horizontal="left" wrapText="1"/>
    </xf>
    <xf numFmtId="0" fontId="13" fillId="0" borderId="7" xfId="0" applyFont="1" applyBorder="1" applyAlignment="1">
      <alignment horizontal="left" wrapText="1"/>
    </xf>
    <xf numFmtId="0" fontId="14" fillId="0" borderId="4" xfId="0" applyFont="1" applyBorder="1" applyAlignment="1">
      <alignment horizontal="left" wrapText="1"/>
    </xf>
    <xf numFmtId="0" fontId="15" fillId="0" borderId="0" xfId="0" applyFont="1" applyAlignment="1">
      <alignment horizontal="center"/>
    </xf>
    <xf numFmtId="0" fontId="13" fillId="0" borderId="5" xfId="0" applyFont="1" applyBorder="1" applyAlignment="1">
      <alignment vertical="center" wrapText="1"/>
    </xf>
    <xf numFmtId="0" fontId="14" fillId="0" borderId="4" xfId="0" applyFont="1" applyBorder="1" applyAlignment="1">
      <alignment wrapText="1"/>
    </xf>
    <xf numFmtId="0" fontId="14" fillId="0" borderId="4" xfId="0" applyFont="1" applyBorder="1" applyAlignment="1"/>
    <xf numFmtId="0" fontId="14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14" fillId="0" borderId="15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right" vertical="center"/>
    </xf>
    <xf numFmtId="0" fontId="14" fillId="0" borderId="16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0" xfId="0" applyFont="1" applyBorder="1" applyAlignment="1">
      <alignment horizontal="right" vertical="center"/>
    </xf>
    <xf numFmtId="0" fontId="14" fillId="0" borderId="21" xfId="0" applyFont="1" applyBorder="1" applyAlignment="1">
      <alignment horizontal="right" vertical="center"/>
    </xf>
    <xf numFmtId="0" fontId="14" fillId="0" borderId="22" xfId="0" applyFont="1" applyBorder="1" applyAlignment="1">
      <alignment horizontal="right" vertical="center"/>
    </xf>
    <xf numFmtId="0" fontId="13" fillId="0" borderId="20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3" fillId="0" borderId="16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14" fontId="14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7" xfId="0" applyFont="1" applyBorder="1" applyAlignment="1">
      <alignment wrapText="1"/>
    </xf>
    <xf numFmtId="0" fontId="14" fillId="0" borderId="5" xfId="0" applyFont="1" applyBorder="1" applyAlignment="1">
      <alignment horizontal="center" vertical="center"/>
    </xf>
    <xf numFmtId="0" fontId="14" fillId="0" borderId="15" xfId="0" applyFont="1" applyBorder="1" applyAlignment="1">
      <alignment horizontal="right"/>
    </xf>
    <xf numFmtId="0" fontId="14" fillId="0" borderId="16" xfId="0" applyFont="1" applyBorder="1" applyAlignment="1">
      <alignment horizontal="right"/>
    </xf>
    <xf numFmtId="0" fontId="14" fillId="0" borderId="2" xfId="0" applyFont="1" applyBorder="1" applyAlignment="1">
      <alignment horizontal="right"/>
    </xf>
    <xf numFmtId="0" fontId="14" fillId="0" borderId="1" xfId="0" applyFont="1" applyBorder="1" applyAlignment="1">
      <alignment horizontal="right" wrapText="1"/>
    </xf>
    <xf numFmtId="0" fontId="14" fillId="0" borderId="15" xfId="0" applyFont="1" applyBorder="1" applyAlignment="1">
      <alignment horizontal="right" wrapText="1"/>
    </xf>
    <xf numFmtId="0" fontId="14" fillId="0" borderId="16" xfId="0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14" fillId="0" borderId="20" xfId="0" applyFont="1" applyBorder="1" applyAlignment="1">
      <alignment horizontal="right" wrapText="1"/>
    </xf>
    <xf numFmtId="0" fontId="14" fillId="0" borderId="21" xfId="0" applyFont="1" applyBorder="1" applyAlignment="1">
      <alignment horizontal="right" wrapText="1"/>
    </xf>
    <xf numFmtId="0" fontId="14" fillId="0" borderId="22" xfId="0" applyFont="1" applyBorder="1" applyAlignment="1">
      <alignment horizontal="right" wrapText="1"/>
    </xf>
    <xf numFmtId="0" fontId="14" fillId="0" borderId="7" xfId="0" applyFont="1" applyBorder="1" applyAlignment="1">
      <alignment horizontal="right" wrapText="1"/>
    </xf>
    <xf numFmtId="0" fontId="14" fillId="0" borderId="15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3" fillId="0" borderId="7" xfId="0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left" wrapText="1"/>
    </xf>
    <xf numFmtId="0" fontId="14" fillId="0" borderId="15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16" xfId="0" applyFont="1" applyBorder="1"/>
    <xf numFmtId="0" fontId="14" fillId="0" borderId="20" xfId="0" applyFont="1" applyBorder="1" applyAlignment="1">
      <alignment horizontal="left" wrapText="1"/>
    </xf>
    <xf numFmtId="0" fontId="14" fillId="0" borderId="21" xfId="0" applyFont="1" applyBorder="1" applyAlignment="1">
      <alignment horizontal="left" wrapText="1"/>
    </xf>
    <xf numFmtId="0" fontId="14" fillId="0" borderId="22" xfId="0" applyFont="1" applyBorder="1" applyAlignment="1">
      <alignment horizontal="left" wrapText="1"/>
    </xf>
    <xf numFmtId="0" fontId="13" fillId="0" borderId="1" xfId="0" applyFont="1" applyBorder="1" applyAlignment="1">
      <alignment horizontal="right" wrapText="1"/>
    </xf>
    <xf numFmtId="0" fontId="14" fillId="0" borderId="15" xfId="0" applyFont="1" applyBorder="1" applyAlignment="1">
      <alignment wrapText="1"/>
    </xf>
    <xf numFmtId="0" fontId="14" fillId="0" borderId="16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3" fillId="0" borderId="15" xfId="0" applyFont="1" applyBorder="1" applyAlignment="1">
      <alignment horizontal="right" wrapText="1"/>
    </xf>
    <xf numFmtId="0" fontId="13" fillId="0" borderId="16" xfId="0" applyFont="1" applyBorder="1" applyAlignment="1">
      <alignment horizontal="right" wrapText="1"/>
    </xf>
    <xf numFmtId="0" fontId="13" fillId="0" borderId="2" xfId="0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13" fillId="0" borderId="4" xfId="0" applyFont="1" applyBorder="1" applyAlignment="1">
      <alignment horizontal="right"/>
    </xf>
    <xf numFmtId="0" fontId="14" fillId="0" borderId="23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4" fillId="0" borderId="25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center" wrapText="1"/>
    </xf>
    <xf numFmtId="0" fontId="14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16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2" fontId="13" fillId="0" borderId="1" xfId="0" applyNumberFormat="1" applyFont="1" applyBorder="1" applyAlignment="1">
      <alignment horizontal="right" vertical="center"/>
    </xf>
    <xf numFmtId="0" fontId="11" fillId="0" borderId="13" xfId="0" applyFont="1" applyBorder="1"/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14"/>
  <sheetViews>
    <sheetView workbookViewId="0"/>
  </sheetViews>
  <sheetFormatPr defaultRowHeight="15"/>
  <sheetData>
    <row r="2" spans="1:1">
      <c r="A2" s="77" t="s">
        <v>992</v>
      </c>
    </row>
    <row r="3" spans="1:1">
      <c r="A3" s="78" t="s">
        <v>881</v>
      </c>
    </row>
    <row r="4" spans="1:1" s="76" customFormat="1">
      <c r="A4" s="76" t="s">
        <v>885</v>
      </c>
    </row>
    <row r="5" spans="1:1" s="76" customFormat="1">
      <c r="A5" s="76" t="s">
        <v>239</v>
      </c>
    </row>
    <row r="6" spans="1:1" s="76" customFormat="1">
      <c r="A6" s="76" t="s">
        <v>687</v>
      </c>
    </row>
    <row r="7" spans="1:1" s="76" customFormat="1">
      <c r="A7" s="76" t="s">
        <v>821</v>
      </c>
    </row>
    <row r="8" spans="1:1" s="76" customFormat="1">
      <c r="A8" s="76" t="s">
        <v>267</v>
      </c>
    </row>
    <row r="9" spans="1:1">
      <c r="A9" s="78" t="s">
        <v>392</v>
      </c>
    </row>
    <row r="10" spans="1:1">
      <c r="A10" t="s">
        <v>418</v>
      </c>
    </row>
    <row r="11" spans="1:1">
      <c r="A11" t="s">
        <v>736</v>
      </c>
    </row>
    <row r="12" spans="1:1">
      <c r="A12" t="s">
        <v>843</v>
      </c>
    </row>
    <row r="13" spans="1:1">
      <c r="A13" t="s">
        <v>311</v>
      </c>
    </row>
    <row r="14" spans="1:1">
      <c r="A14" s="76" t="s">
        <v>423</v>
      </c>
    </row>
  </sheetData>
  <sheetProtection sheet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3"/>
  <sheetViews>
    <sheetView topLeftCell="A25" workbookViewId="0">
      <selection activeCell="I44" sqref="I44"/>
    </sheetView>
  </sheetViews>
  <sheetFormatPr defaultRowHeight="15"/>
  <cols>
    <col min="1" max="1" width="4.85546875" style="11" customWidth="1"/>
    <col min="2" max="16384" width="9.140625" style="11"/>
  </cols>
  <sheetData>
    <row r="1" spans="1:10" ht="15" customHeight="1">
      <c r="A1" s="193" t="s">
        <v>280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10">
      <c r="A2" s="191"/>
      <c r="B2" s="191"/>
      <c r="C2" s="191"/>
      <c r="D2" s="191"/>
      <c r="E2" s="191"/>
      <c r="F2" s="191"/>
      <c r="G2" s="191"/>
      <c r="H2" s="191"/>
      <c r="I2" s="191"/>
      <c r="J2" s="191"/>
    </row>
    <row r="3" spans="1:10">
      <c r="A3" s="191"/>
      <c r="B3" s="191"/>
      <c r="C3" s="191"/>
      <c r="D3" s="191"/>
      <c r="E3" s="191"/>
      <c r="F3" s="191"/>
      <c r="G3" s="191"/>
      <c r="H3" s="191"/>
      <c r="I3" s="191"/>
      <c r="J3" s="191"/>
    </row>
    <row r="4" spans="1:10">
      <c r="B4" s="21"/>
      <c r="C4" s="21"/>
      <c r="D4" s="21"/>
      <c r="E4" s="21"/>
      <c r="F4" s="21"/>
      <c r="G4" s="21"/>
      <c r="H4" s="21"/>
    </row>
    <row r="5" spans="1:10" ht="15.75">
      <c r="A5" s="12" t="s">
        <v>1042</v>
      </c>
      <c r="B5" s="23"/>
      <c r="C5" s="16"/>
      <c r="D5" s="16"/>
      <c r="E5" s="16"/>
      <c r="F5" s="16"/>
      <c r="G5" s="16"/>
      <c r="H5" s="16"/>
      <c r="I5" s="16"/>
      <c r="J5" s="16"/>
    </row>
    <row r="6" spans="1:10">
      <c r="B6" s="16"/>
      <c r="C6" s="16"/>
      <c r="D6" s="16"/>
      <c r="E6" s="16"/>
      <c r="F6" s="16"/>
      <c r="G6" s="16"/>
      <c r="H6" s="16"/>
      <c r="I6" s="16"/>
      <c r="J6" s="16"/>
    </row>
    <row r="7" spans="1:10" ht="15" customHeight="1">
      <c r="A7" s="160" t="s">
        <v>229</v>
      </c>
      <c r="B7" s="161"/>
      <c r="C7" s="161"/>
      <c r="D7" s="161"/>
      <c r="E7" s="162"/>
      <c r="F7" s="163" t="s">
        <v>156</v>
      </c>
      <c r="G7" s="163"/>
      <c r="H7" s="163" t="s">
        <v>410</v>
      </c>
      <c r="I7" s="163"/>
      <c r="J7" s="163"/>
    </row>
    <row r="8" spans="1:10" ht="15" customHeight="1">
      <c r="A8" s="164"/>
      <c r="B8" s="165"/>
      <c r="C8" s="165"/>
      <c r="D8" s="165"/>
      <c r="E8" s="166"/>
      <c r="F8" s="167"/>
      <c r="G8" s="167"/>
      <c r="H8" s="167"/>
      <c r="I8" s="167"/>
      <c r="J8" s="167"/>
    </row>
    <row r="9" spans="1:10" ht="15" customHeight="1">
      <c r="A9" s="168" t="s">
        <v>1144</v>
      </c>
      <c r="B9" s="174"/>
      <c r="C9" s="174"/>
      <c r="D9" s="174"/>
      <c r="E9" s="175"/>
      <c r="F9" s="173" t="s">
        <v>1143</v>
      </c>
      <c r="G9" s="173"/>
      <c r="H9" s="173" t="s">
        <v>1145</v>
      </c>
      <c r="I9" s="173"/>
      <c r="J9" s="173"/>
    </row>
    <row r="10" spans="1:10" ht="15" customHeight="1">
      <c r="A10" s="168" t="s">
        <v>1150</v>
      </c>
      <c r="B10" s="174"/>
      <c r="C10" s="174"/>
      <c r="D10" s="174"/>
      <c r="E10" s="175"/>
      <c r="F10" s="173" t="s">
        <v>1143</v>
      </c>
      <c r="G10" s="173"/>
      <c r="H10" s="173" t="s">
        <v>1145</v>
      </c>
      <c r="I10" s="173"/>
      <c r="J10" s="173"/>
    </row>
    <row r="11" spans="1:10" ht="15" customHeight="1">
      <c r="A11" s="168"/>
      <c r="B11" s="174"/>
      <c r="C11" s="174"/>
      <c r="D11" s="174"/>
      <c r="E11" s="175"/>
      <c r="F11" s="173"/>
      <c r="G11" s="173"/>
      <c r="H11" s="173"/>
      <c r="I11" s="173"/>
      <c r="J11" s="173"/>
    </row>
    <row r="12" spans="1:10">
      <c r="B12" s="16"/>
      <c r="C12" s="16"/>
      <c r="D12" s="16"/>
      <c r="E12" s="16"/>
      <c r="F12" s="16"/>
      <c r="G12" s="16"/>
      <c r="H12" s="16"/>
      <c r="I12" s="16"/>
      <c r="J12" s="16"/>
    </row>
    <row r="13" spans="1:10">
      <c r="B13" s="16"/>
      <c r="C13" s="16"/>
      <c r="D13" s="16"/>
      <c r="E13" s="16"/>
      <c r="F13" s="16"/>
      <c r="G13" s="16"/>
      <c r="H13" s="16"/>
      <c r="I13" s="16"/>
      <c r="J13" s="16"/>
    </row>
    <row r="14" spans="1:10" ht="30" customHeight="1">
      <c r="A14" s="190" t="s">
        <v>620</v>
      </c>
      <c r="B14" s="191"/>
      <c r="C14" s="191"/>
      <c r="D14" s="191"/>
      <c r="E14" s="191"/>
      <c r="F14" s="191"/>
      <c r="G14" s="191"/>
      <c r="H14" s="191"/>
      <c r="I14" s="191"/>
      <c r="J14" s="191"/>
    </row>
    <row r="15" spans="1:10" ht="36" customHeight="1">
      <c r="A15" s="188" t="s">
        <v>521</v>
      </c>
      <c r="B15" s="189"/>
      <c r="C15" s="189"/>
      <c r="D15" s="189"/>
      <c r="E15" s="189"/>
      <c r="F15" s="189"/>
      <c r="G15" s="189"/>
      <c r="H15" s="189"/>
      <c r="I15" s="189"/>
      <c r="J15" s="189"/>
    </row>
    <row r="17" spans="1:10" ht="27.75" customHeight="1">
      <c r="A17" s="187" t="s">
        <v>645</v>
      </c>
      <c r="B17" s="194"/>
      <c r="C17" s="194"/>
      <c r="D17" s="186"/>
      <c r="E17" s="187" t="s">
        <v>1052</v>
      </c>
      <c r="F17" s="187"/>
      <c r="G17" s="185" t="s">
        <v>969</v>
      </c>
      <c r="H17" s="185"/>
      <c r="I17" s="185" t="s">
        <v>572</v>
      </c>
      <c r="J17" s="185"/>
    </row>
    <row r="18" spans="1:10">
      <c r="A18" s="194"/>
      <c r="B18" s="194"/>
      <c r="C18" s="194"/>
      <c r="D18" s="186"/>
      <c r="E18" s="20" t="s">
        <v>802</v>
      </c>
      <c r="F18" s="20" t="s">
        <v>1031</v>
      </c>
      <c r="G18" s="186"/>
      <c r="H18" s="186"/>
      <c r="I18" s="186"/>
      <c r="J18" s="186"/>
    </row>
    <row r="19" spans="1:10">
      <c r="A19" s="192" t="s">
        <v>832</v>
      </c>
      <c r="B19" s="192"/>
      <c r="C19" s="192"/>
      <c r="D19" s="192"/>
      <c r="E19" s="51" t="s">
        <v>36</v>
      </c>
      <c r="F19" s="51" t="s">
        <v>647</v>
      </c>
      <c r="G19" s="192" t="s">
        <v>236</v>
      </c>
      <c r="H19" s="192"/>
      <c r="I19" s="192" t="s">
        <v>741</v>
      </c>
      <c r="J19" s="192"/>
    </row>
    <row r="20" spans="1:10">
      <c r="A20" s="177" t="s">
        <v>1147</v>
      </c>
      <c r="B20" s="177"/>
      <c r="C20" s="177"/>
      <c r="D20" s="177"/>
      <c r="E20" s="50">
        <v>5312</v>
      </c>
      <c r="F20" s="50">
        <v>80</v>
      </c>
      <c r="G20" s="177">
        <v>80</v>
      </c>
      <c r="H20" s="177"/>
      <c r="I20" s="177">
        <v>80</v>
      </c>
      <c r="J20" s="177"/>
    </row>
    <row r="21" spans="1:10">
      <c r="A21" s="149" t="s">
        <v>1146</v>
      </c>
      <c r="B21" s="149"/>
      <c r="C21" s="149"/>
      <c r="D21" s="149"/>
      <c r="E21" s="4">
        <v>1328</v>
      </c>
      <c r="F21" s="4">
        <v>20</v>
      </c>
      <c r="G21" s="149">
        <v>20</v>
      </c>
      <c r="H21" s="149"/>
      <c r="I21" s="149">
        <v>20</v>
      </c>
      <c r="J21" s="149"/>
    </row>
    <row r="22" spans="1:10">
      <c r="A22" s="149"/>
      <c r="B22" s="149"/>
      <c r="C22" s="149"/>
      <c r="D22" s="149"/>
      <c r="E22" s="4"/>
      <c r="F22" s="4"/>
      <c r="G22" s="149"/>
      <c r="H22" s="149"/>
      <c r="I22" s="149"/>
      <c r="J22" s="149"/>
    </row>
    <row r="23" spans="1:10">
      <c r="A23" s="149"/>
      <c r="B23" s="149"/>
      <c r="C23" s="149"/>
      <c r="D23" s="149"/>
      <c r="E23" s="4"/>
      <c r="F23" s="4"/>
      <c r="G23" s="149"/>
      <c r="H23" s="149"/>
      <c r="I23" s="149"/>
      <c r="J23" s="149"/>
    </row>
    <row r="24" spans="1:10">
      <c r="A24" s="149"/>
      <c r="B24" s="149"/>
      <c r="C24" s="149"/>
      <c r="D24" s="149"/>
      <c r="E24" s="4"/>
      <c r="F24" s="4"/>
      <c r="G24" s="149"/>
      <c r="H24" s="149"/>
      <c r="I24" s="149"/>
      <c r="J24" s="149"/>
    </row>
    <row r="25" spans="1:10">
      <c r="A25" s="195" t="s">
        <v>427</v>
      </c>
      <c r="B25" s="196"/>
      <c r="C25" s="196"/>
      <c r="D25" s="197"/>
      <c r="E25" s="4">
        <f>SUM(E20:E24)</f>
        <v>6640</v>
      </c>
      <c r="F25" s="4">
        <f>SUM(F20:F24)</f>
        <v>100</v>
      </c>
      <c r="G25" s="149">
        <f>SUM(G20:G24)</f>
        <v>100</v>
      </c>
      <c r="H25" s="149"/>
      <c r="I25" s="149">
        <f>SUM(I20:I24)</f>
        <v>100</v>
      </c>
      <c r="J25" s="149"/>
    </row>
    <row r="28" spans="1:10" ht="30" customHeight="1">
      <c r="A28" s="190" t="s">
        <v>739</v>
      </c>
      <c r="B28" s="191"/>
      <c r="C28" s="191"/>
      <c r="D28" s="191"/>
      <c r="E28" s="191"/>
      <c r="F28" s="191"/>
      <c r="G28" s="191"/>
      <c r="H28" s="191"/>
      <c r="I28" s="191"/>
      <c r="J28" s="191"/>
    </row>
    <row r="29" spans="1:10" ht="36" customHeight="1">
      <c r="A29" s="188" t="s">
        <v>771</v>
      </c>
      <c r="B29" s="189"/>
      <c r="C29" s="189"/>
      <c r="D29" s="189"/>
      <c r="E29" s="189"/>
      <c r="F29" s="189"/>
      <c r="G29" s="189"/>
      <c r="H29" s="189"/>
      <c r="I29" s="189"/>
      <c r="J29" s="189"/>
    </row>
    <row r="31" spans="1:10" ht="27.75" customHeight="1">
      <c r="A31" s="200" t="s">
        <v>125</v>
      </c>
      <c r="B31" s="201"/>
      <c r="C31" s="201"/>
      <c r="D31" s="202"/>
      <c r="E31" s="187" t="s">
        <v>1052</v>
      </c>
      <c r="F31" s="187"/>
      <c r="G31" s="185" t="s">
        <v>969</v>
      </c>
      <c r="H31" s="185"/>
      <c r="I31" s="185" t="s">
        <v>572</v>
      </c>
      <c r="J31" s="185"/>
    </row>
    <row r="32" spans="1:10">
      <c r="A32" s="200" t="s">
        <v>645</v>
      </c>
      <c r="B32" s="203"/>
      <c r="C32" s="204"/>
      <c r="D32" s="20" t="s">
        <v>73</v>
      </c>
      <c r="E32" s="20" t="s">
        <v>802</v>
      </c>
      <c r="F32" s="20" t="s">
        <v>1031</v>
      </c>
      <c r="G32" s="186"/>
      <c r="H32" s="186"/>
      <c r="I32" s="186"/>
      <c r="J32" s="186"/>
    </row>
    <row r="33" spans="1:10">
      <c r="A33" s="205" t="s">
        <v>832</v>
      </c>
      <c r="B33" s="161"/>
      <c r="C33" s="162"/>
      <c r="D33" s="51" t="s">
        <v>36</v>
      </c>
      <c r="E33" s="51" t="s">
        <v>647</v>
      </c>
      <c r="F33" s="51" t="s">
        <v>236</v>
      </c>
      <c r="G33" s="192" t="s">
        <v>741</v>
      </c>
      <c r="H33" s="192"/>
      <c r="I33" s="192" t="s">
        <v>139</v>
      </c>
      <c r="J33" s="192"/>
    </row>
    <row r="34" spans="1:10">
      <c r="A34" s="164" t="s">
        <v>1148</v>
      </c>
      <c r="B34" s="124"/>
      <c r="C34" s="125"/>
      <c r="D34" s="53"/>
      <c r="E34" s="50"/>
      <c r="F34" s="50"/>
      <c r="G34" s="177"/>
      <c r="H34" s="177"/>
      <c r="I34" s="177"/>
      <c r="J34" s="177"/>
    </row>
    <row r="35" spans="1:10">
      <c r="A35" s="168"/>
      <c r="B35" s="183"/>
      <c r="C35" s="169"/>
      <c r="D35" s="25"/>
      <c r="E35" s="4"/>
      <c r="F35" s="4"/>
      <c r="G35" s="149"/>
      <c r="H35" s="149"/>
      <c r="I35" s="149"/>
      <c r="J35" s="149"/>
    </row>
    <row r="36" spans="1:10">
      <c r="A36" s="168"/>
      <c r="B36" s="183"/>
      <c r="C36" s="169"/>
      <c r="D36" s="25"/>
      <c r="E36" s="4"/>
      <c r="F36" s="4"/>
      <c r="G36" s="149"/>
      <c r="H36" s="149"/>
      <c r="I36" s="149"/>
      <c r="J36" s="149"/>
    </row>
    <row r="37" spans="1:10">
      <c r="A37" s="168"/>
      <c r="B37" s="183"/>
      <c r="C37" s="169"/>
      <c r="D37" s="25"/>
      <c r="E37" s="4"/>
      <c r="F37" s="4"/>
      <c r="G37" s="149"/>
      <c r="H37" s="149"/>
      <c r="I37" s="149"/>
      <c r="J37" s="149"/>
    </row>
    <row r="38" spans="1:10">
      <c r="A38" s="168"/>
      <c r="B38" s="183"/>
      <c r="C38" s="169"/>
      <c r="D38" s="25"/>
      <c r="E38" s="4"/>
      <c r="F38" s="4"/>
      <c r="G38" s="149"/>
      <c r="H38" s="149"/>
      <c r="I38" s="149"/>
      <c r="J38" s="149"/>
    </row>
    <row r="39" spans="1:10">
      <c r="A39" s="195" t="s">
        <v>427</v>
      </c>
      <c r="B39" s="198"/>
      <c r="C39" s="199"/>
      <c r="D39" s="24" t="s">
        <v>553</v>
      </c>
      <c r="E39" s="4">
        <f>SUM(E34:E38)</f>
        <v>0</v>
      </c>
      <c r="F39" s="4">
        <f>SUM(F34:F38)</f>
        <v>0</v>
      </c>
      <c r="G39" s="149">
        <f>SUM(G34:G38)</f>
        <v>0</v>
      </c>
      <c r="H39" s="149"/>
      <c r="I39" s="149">
        <f>SUM(I34:I38)</f>
        <v>0</v>
      </c>
      <c r="J39" s="149"/>
    </row>
    <row r="43" spans="1:10">
      <c r="J43" s="100" t="s">
        <v>1317</v>
      </c>
    </row>
  </sheetData>
  <mergeCells count="71">
    <mergeCell ref="A37:C37"/>
    <mergeCell ref="G37:H37"/>
    <mergeCell ref="I37:J37"/>
    <mergeCell ref="G35:H35"/>
    <mergeCell ref="I35:J35"/>
    <mergeCell ref="A35:C35"/>
    <mergeCell ref="A36:C36"/>
    <mergeCell ref="G36:H36"/>
    <mergeCell ref="I36:J36"/>
    <mergeCell ref="A31:D31"/>
    <mergeCell ref="A32:C32"/>
    <mergeCell ref="G33:H33"/>
    <mergeCell ref="I33:J33"/>
    <mergeCell ref="A34:C34"/>
    <mergeCell ref="A33:C33"/>
    <mergeCell ref="G34:H34"/>
    <mergeCell ref="I34:J34"/>
    <mergeCell ref="G38:H38"/>
    <mergeCell ref="I38:J38"/>
    <mergeCell ref="G39:H39"/>
    <mergeCell ref="I39:J39"/>
    <mergeCell ref="A38:C38"/>
    <mergeCell ref="A39:C39"/>
    <mergeCell ref="A1:J3"/>
    <mergeCell ref="E31:F31"/>
    <mergeCell ref="G31:H32"/>
    <mergeCell ref="I31:J32"/>
    <mergeCell ref="F11:G11"/>
    <mergeCell ref="H11:J11"/>
    <mergeCell ref="I19:J19"/>
    <mergeCell ref="I25:J25"/>
    <mergeCell ref="A24:D24"/>
    <mergeCell ref="A17:D18"/>
    <mergeCell ref="A25:D25"/>
    <mergeCell ref="G25:H25"/>
    <mergeCell ref="A29:J29"/>
    <mergeCell ref="A28:J28"/>
    <mergeCell ref="G24:H24"/>
    <mergeCell ref="I24:J24"/>
    <mergeCell ref="H10:J10"/>
    <mergeCell ref="A23:D23"/>
    <mergeCell ref="G23:H23"/>
    <mergeCell ref="I23:J23"/>
    <mergeCell ref="A22:D22"/>
    <mergeCell ref="G22:H22"/>
    <mergeCell ref="I22:J22"/>
    <mergeCell ref="A15:J15"/>
    <mergeCell ref="A14:J14"/>
    <mergeCell ref="A19:D19"/>
    <mergeCell ref="G19:H19"/>
    <mergeCell ref="A21:D21"/>
    <mergeCell ref="G21:H21"/>
    <mergeCell ref="I21:J21"/>
    <mergeCell ref="A11:E11"/>
    <mergeCell ref="G17:H18"/>
    <mergeCell ref="I17:J18"/>
    <mergeCell ref="E17:F17"/>
    <mergeCell ref="G20:H20"/>
    <mergeCell ref="I20:J20"/>
    <mergeCell ref="A20:D20"/>
    <mergeCell ref="H7:J7"/>
    <mergeCell ref="F8:G8"/>
    <mergeCell ref="F9:G9"/>
    <mergeCell ref="H9:J9"/>
    <mergeCell ref="H8:J8"/>
    <mergeCell ref="A7:E7"/>
    <mergeCell ref="A8:E8"/>
    <mergeCell ref="A9:E9"/>
    <mergeCell ref="A10:E10"/>
    <mergeCell ref="F7:G7"/>
    <mergeCell ref="F10:G1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49"/>
  <sheetViews>
    <sheetView topLeftCell="A16" workbookViewId="0">
      <selection activeCell="D36" sqref="D36"/>
    </sheetView>
  </sheetViews>
  <sheetFormatPr defaultRowHeight="15"/>
  <cols>
    <col min="1" max="1" width="4.85546875" customWidth="1"/>
  </cols>
  <sheetData>
    <row r="1" spans="1:10" s="11" customFormat="1">
      <c r="B1" s="193" t="s">
        <v>861</v>
      </c>
      <c r="C1" s="208"/>
      <c r="D1" s="208"/>
      <c r="E1" s="208"/>
      <c r="F1" s="208"/>
      <c r="G1" s="208"/>
      <c r="H1" s="208"/>
      <c r="I1" s="208"/>
    </row>
    <row r="2" spans="1:10" s="11" customFormat="1">
      <c r="B2" s="208"/>
      <c r="C2" s="208"/>
      <c r="D2" s="208"/>
      <c r="E2" s="208"/>
      <c r="F2" s="208"/>
      <c r="G2" s="208"/>
      <c r="H2" s="208"/>
      <c r="I2" s="208"/>
    </row>
    <row r="3" spans="1:10" s="11" customFormat="1">
      <c r="B3" s="208"/>
      <c r="C3" s="208"/>
      <c r="D3" s="208"/>
      <c r="E3" s="208"/>
      <c r="F3" s="208"/>
      <c r="G3" s="208"/>
      <c r="H3" s="208"/>
      <c r="I3" s="208"/>
    </row>
    <row r="4" spans="1:10" s="80" customFormat="1">
      <c r="B4" s="79"/>
      <c r="C4" s="79"/>
      <c r="D4" s="79"/>
      <c r="E4" s="79"/>
      <c r="F4" s="79"/>
      <c r="G4" s="79"/>
      <c r="H4" s="79"/>
      <c r="I4" s="79"/>
    </row>
    <row r="5" spans="1:10" s="11" customFormat="1" ht="15.75">
      <c r="A5" s="12" t="s">
        <v>130</v>
      </c>
      <c r="B5" s="206" t="s">
        <v>1006</v>
      </c>
      <c r="C5" s="191"/>
      <c r="D5" s="191"/>
      <c r="E5" s="191"/>
      <c r="F5" s="191"/>
      <c r="G5" s="191"/>
      <c r="H5" s="191"/>
      <c r="I5" s="191"/>
      <c r="J5" s="191"/>
    </row>
    <row r="6" spans="1:10">
      <c r="B6" s="191"/>
      <c r="C6" s="191"/>
      <c r="D6" s="191"/>
      <c r="E6" s="191"/>
      <c r="F6" s="191"/>
      <c r="G6" s="191"/>
      <c r="H6" s="191"/>
      <c r="I6" s="191"/>
      <c r="J6" s="191"/>
    </row>
    <row r="7" spans="1:10">
      <c r="B7" s="191"/>
      <c r="C7" s="191"/>
      <c r="D7" s="191"/>
      <c r="E7" s="191"/>
      <c r="F7" s="191"/>
      <c r="G7" s="191"/>
      <c r="H7" s="191"/>
      <c r="I7" s="191"/>
      <c r="J7" s="191"/>
    </row>
    <row r="8" spans="1:10" s="11" customFormat="1">
      <c r="B8" s="170" t="s">
        <v>1251</v>
      </c>
      <c r="C8" s="171"/>
      <c r="D8" s="171"/>
      <c r="E8" s="171"/>
      <c r="F8" s="171"/>
      <c r="G8" s="171"/>
      <c r="H8" s="171"/>
      <c r="I8" s="171"/>
      <c r="J8" s="172"/>
    </row>
    <row r="10" spans="1:10" s="11" customFormat="1" ht="15.75">
      <c r="A10" s="12" t="s">
        <v>977</v>
      </c>
      <c r="B10" s="206" t="s">
        <v>1080</v>
      </c>
      <c r="C10" s="191"/>
      <c r="D10" s="191"/>
      <c r="E10" s="191"/>
      <c r="F10" s="191"/>
      <c r="G10" s="191"/>
      <c r="H10" s="191"/>
      <c r="I10" s="191"/>
      <c r="J10" s="191"/>
    </row>
    <row r="11" spans="1:10" s="11" customFormat="1">
      <c r="B11" s="191"/>
      <c r="C11" s="191"/>
      <c r="D11" s="191"/>
      <c r="E11" s="191"/>
      <c r="F11" s="191"/>
      <c r="G11" s="191"/>
      <c r="H11" s="191"/>
      <c r="I11" s="191"/>
      <c r="J11" s="191"/>
    </row>
    <row r="12" spans="1:10">
      <c r="B12" s="207"/>
      <c r="C12" s="207"/>
      <c r="D12" s="207"/>
      <c r="E12" s="207"/>
      <c r="F12" s="207"/>
      <c r="G12" s="207"/>
      <c r="H12" s="207"/>
      <c r="I12" s="207"/>
      <c r="J12" s="207"/>
    </row>
    <row r="13" spans="1:10" s="11" customFormat="1">
      <c r="B13" s="170" t="s">
        <v>1251</v>
      </c>
      <c r="C13" s="171"/>
      <c r="D13" s="171"/>
      <c r="E13" s="171"/>
      <c r="F13" s="171"/>
      <c r="G13" s="171"/>
      <c r="H13" s="171"/>
      <c r="I13" s="171"/>
      <c r="J13" s="172"/>
    </row>
    <row r="15" spans="1:10" s="11" customFormat="1" ht="15.75">
      <c r="A15" s="12" t="s">
        <v>504</v>
      </c>
      <c r="B15" s="206" t="s">
        <v>1104</v>
      </c>
      <c r="C15" s="191"/>
      <c r="D15" s="191"/>
      <c r="E15" s="191"/>
      <c r="F15" s="191"/>
      <c r="G15" s="191"/>
      <c r="H15" s="191"/>
      <c r="I15" s="191"/>
      <c r="J15" s="191"/>
    </row>
    <row r="16" spans="1:10" s="11" customFormat="1">
      <c r="B16" s="191"/>
      <c r="C16" s="191"/>
      <c r="D16" s="191"/>
      <c r="E16" s="191"/>
      <c r="F16" s="191"/>
      <c r="G16" s="191"/>
      <c r="H16" s="191"/>
      <c r="I16" s="191"/>
      <c r="J16" s="191"/>
    </row>
    <row r="17" spans="2:10" s="11" customFormat="1">
      <c r="B17" s="170" t="s">
        <v>1251</v>
      </c>
      <c r="C17" s="171"/>
      <c r="D17" s="171"/>
      <c r="E17" s="171"/>
      <c r="F17" s="171"/>
      <c r="G17" s="171"/>
      <c r="H17" s="171"/>
      <c r="I17" s="171"/>
      <c r="J17" s="172"/>
    </row>
    <row r="19" spans="2:10">
      <c r="B19" s="191" t="s">
        <v>154</v>
      </c>
      <c r="C19" s="191"/>
      <c r="D19" s="191"/>
      <c r="E19" s="191"/>
      <c r="F19" s="191"/>
      <c r="G19" s="191"/>
      <c r="H19" s="191"/>
      <c r="I19" s="191"/>
      <c r="J19" s="191"/>
    </row>
    <row r="20" spans="2:10">
      <c r="B20" s="191"/>
      <c r="C20" s="191"/>
      <c r="D20" s="191"/>
      <c r="E20" s="191"/>
      <c r="F20" s="191"/>
      <c r="G20" s="191"/>
      <c r="H20" s="191"/>
      <c r="I20" s="191"/>
      <c r="J20" s="191"/>
    </row>
    <row r="21" spans="2:10">
      <c r="B21" s="170" t="s">
        <v>1251</v>
      </c>
      <c r="C21" s="171"/>
      <c r="D21" s="171"/>
      <c r="E21" s="171"/>
      <c r="F21" s="171"/>
      <c r="G21" s="171"/>
      <c r="H21" s="171"/>
      <c r="I21" s="171"/>
      <c r="J21" s="172"/>
    </row>
    <row r="23" spans="2:10" s="11" customFormat="1">
      <c r="B23" s="77" t="s">
        <v>1149</v>
      </c>
    </row>
    <row r="25" spans="2:10" s="11" customFormat="1" ht="15.75">
      <c r="B25" s="193" t="s">
        <v>987</v>
      </c>
      <c r="C25" s="208"/>
      <c r="D25" s="208"/>
      <c r="E25" s="208"/>
      <c r="F25" s="208"/>
      <c r="G25" s="208"/>
      <c r="H25" s="208"/>
      <c r="I25" s="208"/>
    </row>
    <row r="26" spans="2:10" s="100" customFormat="1" ht="18.75">
      <c r="B26" s="98"/>
      <c r="C26" s="99"/>
      <c r="D26" s="99"/>
      <c r="E26" s="99"/>
      <c r="F26" s="99"/>
      <c r="G26" s="99"/>
      <c r="H26" s="99"/>
      <c r="I26" s="99"/>
    </row>
    <row r="27" spans="2:10" s="100" customFormat="1" ht="18.75">
      <c r="B27" s="98"/>
      <c r="C27" s="99"/>
      <c r="D27" s="99"/>
      <c r="E27" s="99" t="s">
        <v>1279</v>
      </c>
      <c r="F27" s="99"/>
      <c r="G27" s="99"/>
      <c r="H27" s="99"/>
      <c r="I27" s="99"/>
    </row>
    <row r="28" spans="2:10">
      <c r="B28" s="94" t="s">
        <v>654</v>
      </c>
      <c r="C28" s="95"/>
      <c r="D28" s="95"/>
      <c r="E28" s="117" t="s">
        <v>1306</v>
      </c>
      <c r="H28" s="11"/>
    </row>
    <row r="29" spans="2:10">
      <c r="B29" s="11" t="s">
        <v>462</v>
      </c>
      <c r="E29" s="117" t="s">
        <v>1307</v>
      </c>
      <c r="H29" s="11"/>
    </row>
    <row r="30" spans="2:10">
      <c r="B30" s="11" t="s">
        <v>5</v>
      </c>
      <c r="E30" s="117" t="s">
        <v>1308</v>
      </c>
      <c r="H30" s="11"/>
    </row>
    <row r="31" spans="2:10">
      <c r="B31" s="11" t="s">
        <v>242</v>
      </c>
      <c r="E31" s="117" t="s">
        <v>1309</v>
      </c>
      <c r="H31" s="11"/>
    </row>
    <row r="32" spans="2:10">
      <c r="B32" s="100" t="s">
        <v>415</v>
      </c>
      <c r="C32" s="100"/>
      <c r="D32" s="100"/>
      <c r="E32" s="117" t="s">
        <v>1310</v>
      </c>
    </row>
    <row r="33" spans="2:10">
      <c r="B33" s="100" t="s">
        <v>740</v>
      </c>
      <c r="C33" s="100"/>
      <c r="D33" s="100"/>
      <c r="E33" s="117" t="s">
        <v>1311</v>
      </c>
    </row>
    <row r="34" spans="2:10">
      <c r="B34" s="100" t="s">
        <v>903</v>
      </c>
      <c r="C34" s="100"/>
      <c r="D34" s="100"/>
      <c r="E34" s="117" t="s">
        <v>1312</v>
      </c>
    </row>
    <row r="35" spans="2:10">
      <c r="B35" s="100" t="s">
        <v>1118</v>
      </c>
      <c r="C35" s="100"/>
      <c r="D35" s="100"/>
      <c r="E35" s="117" t="s">
        <v>1312</v>
      </c>
    </row>
    <row r="36" spans="2:10">
      <c r="B36" s="100" t="s">
        <v>379</v>
      </c>
      <c r="C36" s="100"/>
      <c r="D36" s="100"/>
      <c r="E36" s="8" t="s">
        <v>1326</v>
      </c>
    </row>
    <row r="37" spans="2:10">
      <c r="B37" s="100" t="s">
        <v>46</v>
      </c>
      <c r="C37" s="100"/>
      <c r="D37" s="100"/>
      <c r="E37" s="117" t="s">
        <v>1313</v>
      </c>
    </row>
    <row r="38" spans="2:10">
      <c r="B38" s="100" t="s">
        <v>899</v>
      </c>
      <c r="C38" s="100"/>
      <c r="D38" s="100"/>
      <c r="E38" s="117" t="s">
        <v>1314</v>
      </c>
    </row>
    <row r="39" spans="2:10">
      <c r="B39" s="100" t="s">
        <v>176</v>
      </c>
      <c r="C39" s="100"/>
      <c r="D39" s="100"/>
      <c r="E39" s="117" t="s">
        <v>1312</v>
      </c>
      <c r="F39" s="118" t="s">
        <v>1315</v>
      </c>
      <c r="G39" s="118"/>
      <c r="H39" s="118"/>
      <c r="I39" s="118"/>
      <c r="J39" s="118"/>
    </row>
    <row r="40" spans="2:10">
      <c r="F40" s="118" t="s">
        <v>1316</v>
      </c>
      <c r="G40" s="118"/>
      <c r="H40" s="118"/>
      <c r="I40" s="118"/>
      <c r="J40" s="118"/>
    </row>
    <row r="49" spans="10:10">
      <c r="J49" s="100" t="s">
        <v>1280</v>
      </c>
    </row>
  </sheetData>
  <mergeCells count="10">
    <mergeCell ref="B10:J12"/>
    <mergeCell ref="B1:I3"/>
    <mergeCell ref="B5:J7"/>
    <mergeCell ref="B15:J16"/>
    <mergeCell ref="B25:I25"/>
    <mergeCell ref="B19:J20"/>
    <mergeCell ref="B21:J21"/>
    <mergeCell ref="B17:J17"/>
    <mergeCell ref="B13:J13"/>
    <mergeCell ref="B8:J8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48"/>
  <sheetViews>
    <sheetView workbookViewId="0">
      <selection activeCell="B49" sqref="B49"/>
    </sheetView>
  </sheetViews>
  <sheetFormatPr defaultRowHeight="15"/>
  <cols>
    <col min="1" max="1" width="5.7109375" customWidth="1"/>
    <col min="2" max="2" width="4.85546875" style="11" customWidth="1"/>
    <col min="6" max="6" width="9.5703125" customWidth="1"/>
    <col min="7" max="7" width="10.28515625" customWidth="1"/>
    <col min="8" max="8" width="7.7109375" customWidth="1"/>
    <col min="9" max="9" width="18.7109375" customWidth="1"/>
  </cols>
  <sheetData>
    <row r="1" spans="1:9" s="11" customFormat="1" ht="18.75">
      <c r="A1" s="92"/>
      <c r="B1" s="92"/>
      <c r="C1" s="13" t="s">
        <v>6</v>
      </c>
      <c r="D1" s="92"/>
      <c r="E1" s="92"/>
      <c r="F1" s="92"/>
      <c r="G1" s="92"/>
      <c r="H1" s="92"/>
      <c r="I1" s="92"/>
    </row>
    <row r="2" spans="1:9" s="11" customFormat="1">
      <c r="A2" s="92"/>
      <c r="B2" s="92"/>
      <c r="C2" s="3"/>
      <c r="D2" s="92"/>
      <c r="E2" s="92"/>
      <c r="F2" s="92"/>
      <c r="G2" s="92"/>
      <c r="H2" s="92"/>
      <c r="I2" s="92"/>
    </row>
    <row r="3" spans="1:9" ht="15.75">
      <c r="A3" s="12" t="s">
        <v>863</v>
      </c>
      <c r="B3" s="12"/>
      <c r="C3" s="92"/>
      <c r="D3" s="92"/>
      <c r="E3" s="92"/>
      <c r="F3" s="92"/>
      <c r="G3" s="92"/>
      <c r="H3" s="92"/>
      <c r="I3" s="92"/>
    </row>
    <row r="4" spans="1:9" s="92" customFormat="1" ht="15.75">
      <c r="A4" s="12"/>
      <c r="B4" s="12"/>
      <c r="I4" s="110"/>
    </row>
    <row r="5" spans="1:9" ht="15.75">
      <c r="A5" s="12"/>
      <c r="B5" s="12"/>
      <c r="C5" s="92"/>
      <c r="D5" s="92"/>
      <c r="E5" s="92"/>
      <c r="F5" s="92"/>
      <c r="G5" s="92"/>
      <c r="H5" s="92"/>
      <c r="I5" s="110"/>
    </row>
    <row r="6" spans="1:9" ht="15.75">
      <c r="A6" s="12" t="s">
        <v>665</v>
      </c>
      <c r="B6" s="12"/>
      <c r="C6" s="92"/>
      <c r="D6" s="92"/>
      <c r="E6" s="92"/>
      <c r="F6" s="92"/>
      <c r="G6" s="92"/>
      <c r="H6" s="92"/>
      <c r="I6" s="110"/>
    </row>
    <row r="7" spans="1:9" ht="15.75">
      <c r="A7" s="12"/>
      <c r="B7" s="19" t="s">
        <v>1151</v>
      </c>
      <c r="C7" s="101"/>
      <c r="D7" s="101"/>
      <c r="E7" s="101"/>
      <c r="F7" s="101"/>
      <c r="G7" s="101"/>
      <c r="H7" s="101"/>
      <c r="I7" s="101"/>
    </row>
    <row r="8" spans="1:9" ht="15.75">
      <c r="A8" s="12"/>
      <c r="B8" s="19" t="s">
        <v>1152</v>
      </c>
      <c r="C8" s="101"/>
      <c r="D8" s="101"/>
      <c r="E8" s="101"/>
      <c r="F8" s="101"/>
      <c r="G8" s="101"/>
      <c r="H8" s="101"/>
      <c r="I8" s="101"/>
    </row>
    <row r="9" spans="1:9" ht="15.75">
      <c r="A9" s="12"/>
      <c r="B9" s="19" t="s">
        <v>1153</v>
      </c>
      <c r="C9" s="101"/>
      <c r="D9" s="101"/>
      <c r="E9" s="101"/>
      <c r="F9" s="101"/>
      <c r="G9" s="101"/>
      <c r="H9" s="101"/>
      <c r="I9" s="101"/>
    </row>
    <row r="10" spans="1:9" ht="15" customHeight="1">
      <c r="A10" s="12"/>
      <c r="B10" s="19" t="s">
        <v>1154</v>
      </c>
      <c r="C10" s="101"/>
      <c r="D10" s="101"/>
      <c r="E10" s="101"/>
      <c r="F10" s="101"/>
      <c r="G10" s="101"/>
      <c r="H10" s="101"/>
      <c r="I10" s="101"/>
    </row>
    <row r="11" spans="1:9">
      <c r="A11" s="92"/>
      <c r="B11" s="17"/>
      <c r="C11" s="17"/>
      <c r="D11" s="17"/>
      <c r="E11" s="17"/>
      <c r="F11" s="17"/>
      <c r="G11" s="17"/>
      <c r="H11" s="17"/>
      <c r="I11" s="17"/>
    </row>
    <row r="12" spans="1:9" ht="15.75" thickBot="1">
      <c r="A12" s="92"/>
      <c r="B12" s="209" t="s">
        <v>1039</v>
      </c>
      <c r="C12" s="209"/>
      <c r="D12" s="209"/>
      <c r="E12" s="209"/>
      <c r="F12" s="209" t="s">
        <v>976</v>
      </c>
      <c r="G12" s="209"/>
      <c r="H12" s="209" t="s">
        <v>812</v>
      </c>
      <c r="I12" s="209"/>
    </row>
    <row r="13" spans="1:9">
      <c r="A13" s="92"/>
      <c r="B13" s="210" t="s">
        <v>1155</v>
      </c>
      <c r="C13" s="210"/>
      <c r="D13" s="210"/>
      <c r="E13" s="210"/>
      <c r="F13" s="210" t="s">
        <v>553</v>
      </c>
      <c r="G13" s="210"/>
      <c r="H13" s="210" t="s">
        <v>553</v>
      </c>
      <c r="I13" s="210"/>
    </row>
    <row r="14" spans="1:9" ht="15" customHeight="1">
      <c r="A14" s="92"/>
      <c r="B14" s="211"/>
      <c r="C14" s="212"/>
      <c r="D14" s="212"/>
      <c r="E14" s="213"/>
      <c r="F14" s="214"/>
      <c r="G14" s="214"/>
      <c r="H14" s="214"/>
      <c r="I14" s="214"/>
    </row>
    <row r="15" spans="1:9">
      <c r="A15" s="92"/>
      <c r="B15" s="92"/>
      <c r="C15" s="92"/>
      <c r="D15" s="92"/>
      <c r="E15" s="92"/>
      <c r="F15" s="92"/>
      <c r="G15" s="92"/>
      <c r="H15" s="92"/>
      <c r="I15" s="92"/>
    </row>
    <row r="16" spans="1:9" ht="15.75">
      <c r="A16" s="12" t="s">
        <v>430</v>
      </c>
      <c r="B16" s="92"/>
      <c r="C16" s="92"/>
      <c r="D16" s="92"/>
      <c r="E16" s="92"/>
      <c r="F16" s="92"/>
      <c r="G16" s="92"/>
      <c r="H16" s="92"/>
      <c r="I16" s="92"/>
    </row>
    <row r="17" spans="1:9" s="11" customFormat="1" ht="15.75">
      <c r="A17" s="12"/>
      <c r="B17" s="101" t="s">
        <v>1156</v>
      </c>
      <c r="C17" s="101"/>
      <c r="D17" s="101"/>
      <c r="E17" s="101"/>
      <c r="F17" s="101"/>
      <c r="G17" s="101"/>
      <c r="H17" s="101"/>
      <c r="I17" s="101"/>
    </row>
    <row r="18" spans="1:9" s="11" customFormat="1" ht="15.75">
      <c r="A18" s="12"/>
      <c r="B18" s="101" t="s">
        <v>1157</v>
      </c>
      <c r="C18" s="101"/>
      <c r="D18" s="101"/>
      <c r="E18" s="101"/>
      <c r="F18" s="101"/>
      <c r="G18" s="101"/>
      <c r="H18" s="101"/>
      <c r="I18" s="101"/>
    </row>
    <row r="19" spans="1:9" s="11" customFormat="1" ht="15.75">
      <c r="A19" s="12"/>
      <c r="B19" s="101" t="s">
        <v>1158</v>
      </c>
      <c r="C19" s="101"/>
      <c r="D19" s="101"/>
      <c r="E19" s="101"/>
      <c r="F19" s="101"/>
      <c r="G19" s="101"/>
      <c r="H19" s="101"/>
      <c r="I19" s="101"/>
    </row>
    <row r="20" spans="1:9" s="11" customFormat="1" ht="15.75">
      <c r="A20" s="12"/>
      <c r="B20" s="101"/>
      <c r="C20" s="101"/>
      <c r="D20" s="101"/>
      <c r="E20" s="101"/>
      <c r="F20" s="101"/>
      <c r="G20" s="101"/>
      <c r="H20" s="101"/>
      <c r="I20" s="101"/>
    </row>
    <row r="21" spans="1:9" s="11" customFormat="1" ht="15.75">
      <c r="A21" s="12" t="s">
        <v>1159</v>
      </c>
      <c r="B21" s="77" t="s">
        <v>1160</v>
      </c>
      <c r="C21" s="92"/>
      <c r="D21" s="92"/>
      <c r="E21" s="92"/>
      <c r="F21" s="92"/>
      <c r="G21" s="92"/>
      <c r="H21" s="92"/>
      <c r="I21" s="92"/>
    </row>
    <row r="22" spans="1:9" s="11" customFormat="1" ht="15" customHeight="1">
      <c r="A22" s="92"/>
      <c r="B22" s="102" t="s">
        <v>1161</v>
      </c>
      <c r="C22" s="17"/>
      <c r="D22" s="17"/>
      <c r="E22" s="17"/>
      <c r="F22" s="17"/>
      <c r="G22" s="17"/>
      <c r="H22" s="17"/>
      <c r="I22" s="17"/>
    </row>
    <row r="23" spans="1:9" s="11" customFormat="1">
      <c r="A23" s="92"/>
      <c r="B23" s="17" t="s">
        <v>1162</v>
      </c>
      <c r="C23" s="17"/>
      <c r="D23" s="17"/>
      <c r="E23" s="17"/>
      <c r="F23" s="17"/>
      <c r="G23" s="17"/>
      <c r="H23" s="17"/>
      <c r="I23" s="17"/>
    </row>
    <row r="24" spans="1:9" s="11" customFormat="1" ht="15" customHeight="1">
      <c r="A24" s="92"/>
      <c r="B24" s="92"/>
      <c r="C24" s="92"/>
      <c r="D24" s="92"/>
      <c r="E24" s="92"/>
      <c r="F24" s="92"/>
      <c r="G24" s="92"/>
      <c r="H24" s="92"/>
      <c r="I24" s="92"/>
    </row>
    <row r="25" spans="1:9" s="11" customFormat="1" ht="15" customHeight="1">
      <c r="A25" s="92"/>
      <c r="B25" s="92"/>
      <c r="C25" s="92"/>
      <c r="D25" s="92"/>
      <c r="E25" s="92"/>
      <c r="F25" s="92"/>
      <c r="G25" s="92"/>
      <c r="H25" s="92"/>
      <c r="I25" s="92"/>
    </row>
    <row r="26" spans="1:9" s="11" customFormat="1" ht="15" customHeight="1">
      <c r="A26" s="12"/>
      <c r="B26" s="103" t="s">
        <v>1163</v>
      </c>
      <c r="C26" s="101"/>
      <c r="D26" s="101"/>
      <c r="E26" s="101"/>
      <c r="F26" s="101"/>
      <c r="G26" s="101"/>
      <c r="H26" s="101"/>
      <c r="I26" s="101"/>
    </row>
    <row r="27" spans="1:9" s="11" customFormat="1">
      <c r="A27" s="92"/>
      <c r="B27" s="92"/>
      <c r="C27" s="92"/>
      <c r="D27" s="92"/>
      <c r="E27" s="92"/>
      <c r="F27" s="92"/>
      <c r="G27" s="92"/>
      <c r="H27" s="92"/>
      <c r="I27" s="92"/>
    </row>
    <row r="28" spans="1:9" s="11" customFormat="1">
      <c r="A28" s="92"/>
      <c r="B28" s="92"/>
      <c r="C28" s="92"/>
      <c r="D28" s="92"/>
      <c r="E28" s="92"/>
      <c r="F28" s="92"/>
      <c r="G28" s="92"/>
      <c r="H28" s="92"/>
      <c r="I28" s="92"/>
    </row>
    <row r="29" spans="1:9" s="11" customFormat="1">
      <c r="A29" s="92"/>
      <c r="B29" s="92"/>
      <c r="C29" s="92"/>
      <c r="D29" s="92"/>
      <c r="E29" s="92"/>
      <c r="F29" s="92"/>
      <c r="G29" s="92"/>
      <c r="H29" s="92"/>
      <c r="I29" s="92"/>
    </row>
    <row r="30" spans="1:9" s="11" customFormat="1">
      <c r="A30" s="101"/>
      <c r="B30" s="103" t="s">
        <v>1164</v>
      </c>
      <c r="C30" s="101"/>
      <c r="D30" s="101"/>
      <c r="E30" s="101"/>
      <c r="F30" s="101"/>
      <c r="G30" s="101"/>
      <c r="H30" s="101"/>
      <c r="I30" s="101"/>
    </row>
    <row r="31" spans="1:9" s="11" customFormat="1" ht="15.75" customHeight="1">
      <c r="A31" s="92"/>
      <c r="B31" s="92"/>
      <c r="C31" s="92"/>
      <c r="D31" s="92"/>
      <c r="E31" s="92"/>
      <c r="F31" s="92"/>
      <c r="G31" s="92"/>
      <c r="H31" s="92"/>
      <c r="I31" s="92"/>
    </row>
    <row r="32" spans="1:9" s="11" customFormat="1" ht="15" customHeight="1">
      <c r="A32" s="92"/>
      <c r="B32" s="104" t="s">
        <v>1165</v>
      </c>
      <c r="C32" s="95"/>
      <c r="D32" s="95"/>
      <c r="E32" s="95"/>
      <c r="F32" s="92"/>
      <c r="G32" s="92"/>
      <c r="H32" s="92"/>
      <c r="I32" s="92"/>
    </row>
    <row r="33" spans="1:9" s="11" customFormat="1">
      <c r="A33" s="92"/>
      <c r="B33" s="101" t="s">
        <v>1166</v>
      </c>
      <c r="C33" s="101"/>
      <c r="D33" s="101"/>
      <c r="E33" s="101"/>
      <c r="F33" s="101"/>
      <c r="G33" s="101"/>
      <c r="H33" s="101"/>
      <c r="I33" s="101"/>
    </row>
    <row r="34" spans="1:9" s="11" customFormat="1" ht="15" customHeight="1">
      <c r="A34" s="92"/>
      <c r="B34" s="101" t="s">
        <v>1167</v>
      </c>
      <c r="C34" s="101"/>
      <c r="D34" s="101"/>
      <c r="E34" s="101"/>
      <c r="F34" s="101"/>
      <c r="G34" s="101"/>
      <c r="H34" s="101"/>
      <c r="I34" s="101"/>
    </row>
    <row r="35" spans="1:9" s="11" customFormat="1" ht="15" customHeight="1">
      <c r="A35" s="92"/>
      <c r="B35" s="101" t="s">
        <v>1168</v>
      </c>
      <c r="C35" s="101"/>
      <c r="D35" s="101"/>
      <c r="E35" s="101"/>
      <c r="F35" s="101"/>
      <c r="G35" s="101"/>
      <c r="H35" s="101"/>
      <c r="I35" s="101"/>
    </row>
    <row r="36" spans="1:9" s="11" customFormat="1" ht="15" customHeight="1">
      <c r="A36" s="92"/>
      <c r="B36" s="92"/>
      <c r="C36" s="92"/>
      <c r="D36" s="92"/>
      <c r="E36" s="92"/>
      <c r="F36" s="92"/>
      <c r="G36" s="92"/>
      <c r="H36" s="92"/>
      <c r="I36" s="92"/>
    </row>
    <row r="37" spans="1:9" s="11" customFormat="1" ht="15" customHeight="1">
      <c r="A37" s="92"/>
      <c r="B37" s="77" t="s">
        <v>1169</v>
      </c>
      <c r="C37" s="77"/>
      <c r="D37" s="92"/>
      <c r="E37" s="92"/>
      <c r="F37" s="92"/>
      <c r="G37" s="92"/>
      <c r="H37" s="92"/>
      <c r="I37" s="92"/>
    </row>
    <row r="38" spans="1:9" s="11" customFormat="1" ht="15.75" customHeight="1">
      <c r="A38" s="92"/>
      <c r="B38" s="215" t="s">
        <v>921</v>
      </c>
      <c r="C38" s="191"/>
      <c r="D38" s="191"/>
      <c r="E38" s="191"/>
      <c r="F38" s="191"/>
      <c r="G38" s="191"/>
      <c r="H38" s="191"/>
      <c r="I38" s="191"/>
    </row>
    <row r="39" spans="1:9" s="11" customFormat="1" ht="15" customHeight="1">
      <c r="A39" s="92"/>
      <c r="B39" s="92"/>
      <c r="C39" s="92"/>
      <c r="D39" s="92"/>
      <c r="E39" s="92"/>
      <c r="F39" s="92"/>
      <c r="G39" s="92"/>
      <c r="H39" s="92"/>
      <c r="I39" s="92"/>
    </row>
    <row r="40" spans="1:9" ht="15" customHeight="1">
      <c r="A40" s="92"/>
      <c r="B40" s="92"/>
      <c r="C40" s="92"/>
      <c r="D40" s="92"/>
      <c r="E40" s="92"/>
      <c r="F40" s="92"/>
      <c r="G40" s="92"/>
      <c r="H40" s="92"/>
      <c r="I40" s="92"/>
    </row>
    <row r="41" spans="1:9">
      <c r="A41" s="92"/>
      <c r="B41" s="102" t="s">
        <v>1170</v>
      </c>
      <c r="C41" s="17"/>
      <c r="D41" s="17"/>
      <c r="E41" s="17"/>
      <c r="F41" s="17"/>
      <c r="G41" s="17"/>
      <c r="H41" s="17"/>
      <c r="I41" s="17"/>
    </row>
    <row r="42" spans="1:9">
      <c r="A42" s="92"/>
      <c r="B42" s="92"/>
      <c r="C42" s="92"/>
      <c r="D42" s="92"/>
      <c r="E42" s="92"/>
      <c r="F42" s="92"/>
      <c r="G42" s="92"/>
      <c r="H42" s="92"/>
      <c r="I42" s="92"/>
    </row>
    <row r="43" spans="1:9" s="11" customFormat="1">
      <c r="A43" s="92"/>
      <c r="B43" s="92"/>
      <c r="C43" s="92"/>
      <c r="D43" s="92"/>
      <c r="E43" s="92"/>
      <c r="F43" s="92"/>
      <c r="G43" s="92"/>
      <c r="H43" s="92"/>
      <c r="I43" s="92"/>
    </row>
    <row r="44" spans="1:9" s="11" customFormat="1" ht="15.75">
      <c r="A44" s="12" t="s">
        <v>1159</v>
      </c>
      <c r="B44" s="101"/>
      <c r="C44" s="101"/>
      <c r="D44" s="101"/>
      <c r="E44" s="101"/>
      <c r="F44" s="101"/>
      <c r="G44" s="101"/>
      <c r="H44" s="101"/>
      <c r="I44" s="101"/>
    </row>
    <row r="45" spans="1:9" s="11" customFormat="1" ht="15" customHeight="1">
      <c r="A45" s="92"/>
      <c r="B45" s="215" t="s">
        <v>1171</v>
      </c>
      <c r="C45" s="191"/>
      <c r="D45" s="191"/>
      <c r="E45" s="191"/>
      <c r="F45" s="191"/>
      <c r="G45" s="191"/>
      <c r="H45" s="191"/>
      <c r="I45" s="191"/>
    </row>
    <row r="46" spans="1:9" s="11" customFormat="1">
      <c r="A46" s="92"/>
      <c r="B46" s="92"/>
      <c r="C46" s="92"/>
      <c r="D46" s="92"/>
      <c r="E46" s="92"/>
      <c r="F46" s="92"/>
      <c r="G46" s="92"/>
      <c r="H46" s="92"/>
      <c r="I46" s="92"/>
    </row>
    <row r="47" spans="1:9">
      <c r="A47" s="92"/>
      <c r="B47" s="92"/>
      <c r="C47" s="18" t="s">
        <v>1172</v>
      </c>
      <c r="D47" s="19"/>
      <c r="E47" s="18"/>
      <c r="F47" s="19"/>
      <c r="G47" s="19"/>
      <c r="H47" s="19"/>
      <c r="I47" s="19"/>
    </row>
    <row r="48" spans="1:9" s="11" customFormat="1">
      <c r="A48" s="92"/>
      <c r="B48" s="92"/>
      <c r="C48" s="18" t="s">
        <v>1173</v>
      </c>
      <c r="D48" s="19"/>
      <c r="E48" s="18"/>
      <c r="F48" s="19"/>
      <c r="G48" s="19"/>
      <c r="H48" s="19"/>
      <c r="I48" s="19"/>
    </row>
    <row r="49" spans="1:9">
      <c r="A49" s="92"/>
      <c r="B49" s="92"/>
      <c r="C49" s="18"/>
      <c r="D49" s="19"/>
      <c r="E49" s="18"/>
      <c r="F49" s="19"/>
      <c r="G49" s="19"/>
      <c r="H49" s="19"/>
      <c r="I49" s="19" t="s">
        <v>1281</v>
      </c>
    </row>
    <row r="50" spans="1:9" s="11" customFormat="1" ht="15" customHeight="1">
      <c r="A50" s="12" t="s">
        <v>1174</v>
      </c>
      <c r="B50" s="77" t="s">
        <v>1175</v>
      </c>
      <c r="C50" s="92"/>
      <c r="D50" s="92"/>
      <c r="E50" s="92"/>
      <c r="F50" s="92"/>
      <c r="G50" s="92"/>
      <c r="H50" s="92"/>
      <c r="I50" s="92"/>
    </row>
    <row r="51" spans="1:9" s="11" customFormat="1" ht="15" customHeight="1">
      <c r="A51" s="92"/>
      <c r="B51" s="17" t="s">
        <v>1176</v>
      </c>
      <c r="C51" s="89"/>
      <c r="D51" s="89"/>
      <c r="E51" s="89"/>
      <c r="F51" s="89"/>
      <c r="G51" s="89"/>
      <c r="H51" s="89"/>
      <c r="I51" s="89"/>
    </row>
    <row r="52" spans="1:9" s="11" customFormat="1">
      <c r="A52" s="92"/>
      <c r="B52" s="17"/>
      <c r="C52" s="89"/>
      <c r="D52" s="89"/>
      <c r="E52" s="89"/>
      <c r="F52" s="89"/>
      <c r="G52" s="89"/>
      <c r="H52" s="89"/>
      <c r="I52" s="89"/>
    </row>
    <row r="53" spans="1:9" s="11" customFormat="1" ht="15.75" customHeight="1">
      <c r="A53" s="92"/>
      <c r="B53" s="77" t="s">
        <v>1177</v>
      </c>
      <c r="C53" s="92"/>
      <c r="D53" s="92"/>
      <c r="E53" s="92"/>
      <c r="F53" s="92"/>
      <c r="G53" s="92"/>
      <c r="H53" s="92"/>
      <c r="I53" s="92"/>
    </row>
    <row r="54" spans="1:9" s="11" customFormat="1" ht="15" customHeight="1">
      <c r="A54" s="12"/>
      <c r="B54" s="101" t="s">
        <v>1178</v>
      </c>
      <c r="C54" s="92"/>
      <c r="D54" s="92"/>
      <c r="E54" s="92"/>
      <c r="F54" s="92"/>
      <c r="G54" s="92"/>
      <c r="H54" s="92"/>
      <c r="I54" s="92"/>
    </row>
    <row r="55" spans="1:9" s="11" customFormat="1">
      <c r="A55" s="92"/>
      <c r="B55" s="17" t="s">
        <v>1179</v>
      </c>
      <c r="C55" s="89"/>
      <c r="D55" s="89"/>
      <c r="E55" s="89"/>
      <c r="F55" s="89"/>
      <c r="G55" s="89"/>
      <c r="H55" s="89"/>
      <c r="I55" s="89"/>
    </row>
    <row r="56" spans="1:9">
      <c r="A56" s="92"/>
      <c r="B56" s="17" t="s">
        <v>1180</v>
      </c>
      <c r="C56" s="17"/>
      <c r="D56" s="89"/>
      <c r="E56" s="89"/>
      <c r="F56" s="89"/>
      <c r="G56" s="89"/>
      <c r="H56" s="89"/>
      <c r="I56" s="89"/>
    </row>
    <row r="57" spans="1:9" s="11" customFormat="1">
      <c r="A57" s="92"/>
      <c r="B57" s="17" t="s">
        <v>1181</v>
      </c>
      <c r="C57" s="89"/>
      <c r="D57" s="89"/>
      <c r="E57" s="89"/>
      <c r="F57" s="89"/>
      <c r="G57" s="89"/>
      <c r="H57" s="89"/>
      <c r="I57" s="89"/>
    </row>
    <row r="58" spans="1:9" s="11" customFormat="1">
      <c r="A58" s="92"/>
      <c r="B58" s="89"/>
      <c r="C58" s="89"/>
      <c r="D58" s="89"/>
      <c r="E58" s="89"/>
      <c r="F58" s="89"/>
      <c r="G58" s="89"/>
      <c r="H58" s="89"/>
      <c r="I58" s="89"/>
    </row>
    <row r="59" spans="1:9" s="11" customFormat="1">
      <c r="A59" s="92"/>
      <c r="B59" s="105" t="s">
        <v>1182</v>
      </c>
      <c r="C59" s="89"/>
      <c r="D59" s="89"/>
      <c r="E59" s="89"/>
      <c r="F59" s="89"/>
      <c r="G59" s="89"/>
      <c r="H59" s="89"/>
      <c r="I59" s="89"/>
    </row>
    <row r="60" spans="1:9" s="11" customFormat="1" ht="15" customHeight="1">
      <c r="A60" s="92"/>
      <c r="B60" s="17" t="s">
        <v>1183</v>
      </c>
      <c r="C60" s="89"/>
      <c r="D60" s="89"/>
      <c r="E60" s="89"/>
      <c r="F60" s="89"/>
      <c r="G60" s="89"/>
      <c r="H60" s="89"/>
      <c r="I60" s="89"/>
    </row>
    <row r="61" spans="1:9" s="11" customFormat="1" ht="15" customHeight="1">
      <c r="A61" s="92"/>
      <c r="B61" s="89"/>
      <c r="C61" s="89"/>
      <c r="D61" s="89"/>
      <c r="E61" s="89"/>
      <c r="F61" s="89"/>
      <c r="G61" s="89"/>
      <c r="H61" s="89"/>
      <c r="I61" s="89"/>
    </row>
    <row r="62" spans="1:9" s="11" customFormat="1">
      <c r="A62" s="92"/>
      <c r="B62" s="105" t="s">
        <v>1184</v>
      </c>
      <c r="C62" s="89"/>
      <c r="D62" s="89"/>
      <c r="E62" s="89"/>
      <c r="F62" s="89"/>
      <c r="G62" s="89"/>
      <c r="H62" s="89"/>
      <c r="I62" s="89"/>
    </row>
    <row r="63" spans="1:9" s="11" customFormat="1">
      <c r="A63" s="92"/>
      <c r="B63" s="17" t="s">
        <v>1185</v>
      </c>
      <c r="C63" s="89"/>
      <c r="D63" s="89"/>
      <c r="E63" s="89"/>
      <c r="F63" s="89"/>
      <c r="G63" s="89"/>
      <c r="H63" s="89"/>
      <c r="I63" s="89"/>
    </row>
    <row r="64" spans="1:9" s="11" customFormat="1">
      <c r="A64" s="92"/>
      <c r="B64" s="101" t="s">
        <v>1186</v>
      </c>
      <c r="C64" s="101"/>
      <c r="D64" s="101"/>
      <c r="E64" s="101"/>
      <c r="F64" s="92"/>
      <c r="G64" s="92"/>
      <c r="H64" s="92"/>
      <c r="I64" s="92"/>
    </row>
    <row r="65" spans="1:9" s="11" customFormat="1">
      <c r="A65" s="92"/>
      <c r="B65" s="101"/>
      <c r="C65" s="101"/>
      <c r="D65" s="101"/>
      <c r="E65" s="101"/>
      <c r="F65" s="92"/>
      <c r="G65" s="92"/>
      <c r="H65" s="92"/>
      <c r="I65" s="92"/>
    </row>
    <row r="66" spans="1:9" s="11" customFormat="1">
      <c r="A66" s="92"/>
      <c r="B66" s="77" t="s">
        <v>1187</v>
      </c>
      <c r="C66" s="101"/>
      <c r="D66" s="101"/>
      <c r="E66" s="101"/>
      <c r="F66" s="92"/>
      <c r="G66" s="92"/>
      <c r="H66" s="92"/>
      <c r="I66" s="92"/>
    </row>
    <row r="67" spans="1:9" s="11" customFormat="1">
      <c r="A67" s="92"/>
      <c r="B67" s="101" t="s">
        <v>1188</v>
      </c>
      <c r="C67" s="101"/>
      <c r="D67" s="101"/>
      <c r="E67" s="101"/>
      <c r="F67" s="92"/>
      <c r="G67" s="92"/>
      <c r="H67" s="92"/>
      <c r="I67" s="92"/>
    </row>
    <row r="68" spans="1:9" s="11" customFormat="1">
      <c r="A68" s="92"/>
      <c r="B68" s="101" t="s">
        <v>1189</v>
      </c>
      <c r="C68" s="101"/>
      <c r="D68" s="101"/>
      <c r="E68" s="101"/>
      <c r="F68" s="92"/>
      <c r="G68" s="92"/>
      <c r="H68" s="92"/>
      <c r="I68" s="92"/>
    </row>
    <row r="69" spans="1:9" s="11" customFormat="1">
      <c r="A69" s="92"/>
      <c r="B69" s="101" t="s">
        <v>1190</v>
      </c>
      <c r="C69" s="101"/>
      <c r="D69" s="101"/>
      <c r="E69" s="101"/>
      <c r="F69" s="92"/>
      <c r="G69" s="92"/>
      <c r="H69" s="92"/>
      <c r="I69" s="92"/>
    </row>
    <row r="70" spans="1:9" s="11" customFormat="1">
      <c r="A70" s="92"/>
      <c r="B70" s="101"/>
      <c r="C70" s="101"/>
      <c r="D70" s="101"/>
      <c r="E70" s="101"/>
      <c r="F70" s="92"/>
      <c r="G70" s="92"/>
      <c r="H70" s="92"/>
      <c r="I70" s="92"/>
    </row>
    <row r="71" spans="1:9" s="11" customFormat="1">
      <c r="A71" s="92"/>
      <c r="B71" s="77" t="s">
        <v>1191</v>
      </c>
      <c r="C71" s="101"/>
      <c r="D71" s="101"/>
      <c r="E71" s="101"/>
      <c r="F71" s="92"/>
      <c r="G71" s="92"/>
      <c r="H71" s="92"/>
      <c r="I71" s="92"/>
    </row>
    <row r="72" spans="1:9" s="11" customFormat="1">
      <c r="A72" s="92"/>
      <c r="B72" s="101" t="s">
        <v>1192</v>
      </c>
      <c r="C72" s="101"/>
      <c r="D72" s="101"/>
      <c r="E72" s="101"/>
      <c r="F72" s="92"/>
      <c r="G72" s="92"/>
      <c r="H72" s="92"/>
      <c r="I72" s="92"/>
    </row>
    <row r="73" spans="1:9" s="11" customFormat="1">
      <c r="A73" s="92"/>
      <c r="B73" s="101" t="s">
        <v>1193</v>
      </c>
      <c r="C73" s="101"/>
      <c r="D73" s="101"/>
      <c r="E73" s="101"/>
      <c r="F73" s="92"/>
      <c r="G73" s="92"/>
      <c r="H73" s="92"/>
      <c r="I73" s="92"/>
    </row>
    <row r="74" spans="1:9">
      <c r="A74" s="92"/>
      <c r="B74" s="101" t="s">
        <v>1194</v>
      </c>
      <c r="C74" s="101"/>
      <c r="D74" s="101"/>
      <c r="E74" s="101"/>
      <c r="F74" s="92"/>
      <c r="G74" s="92"/>
      <c r="H74" s="92"/>
      <c r="I74" s="92"/>
    </row>
    <row r="75" spans="1:9" s="11" customFormat="1">
      <c r="A75" s="92"/>
      <c r="B75" s="101"/>
      <c r="C75" s="101"/>
      <c r="D75" s="101"/>
      <c r="E75" s="101"/>
      <c r="F75" s="92"/>
      <c r="G75" s="92"/>
      <c r="H75" s="92"/>
      <c r="I75" s="92"/>
    </row>
    <row r="76" spans="1:9">
      <c r="A76" s="92"/>
      <c r="B76" s="77" t="s">
        <v>1195</v>
      </c>
      <c r="C76" s="101"/>
      <c r="D76" s="101"/>
      <c r="E76" s="101"/>
      <c r="F76" s="92"/>
      <c r="G76" s="92"/>
      <c r="H76" s="92"/>
      <c r="I76" s="92"/>
    </row>
    <row r="77" spans="1:9">
      <c r="A77" s="92"/>
      <c r="B77" s="101" t="s">
        <v>1196</v>
      </c>
      <c r="C77" s="101"/>
      <c r="D77" s="101"/>
      <c r="E77" s="101"/>
      <c r="F77" s="92"/>
      <c r="G77" s="92"/>
      <c r="H77" s="92"/>
      <c r="I77" s="92"/>
    </row>
    <row r="78" spans="1:9">
      <c r="A78" s="92"/>
      <c r="B78" s="101" t="s">
        <v>1197</v>
      </c>
      <c r="C78" s="101"/>
      <c r="D78" s="101"/>
      <c r="E78" s="101"/>
      <c r="F78" s="92"/>
      <c r="G78" s="92"/>
      <c r="H78" s="92"/>
      <c r="I78" s="92"/>
    </row>
    <row r="79" spans="1:9">
      <c r="A79" s="92"/>
      <c r="B79" s="103" t="s">
        <v>1236</v>
      </c>
      <c r="C79" s="101"/>
      <c r="D79" s="101"/>
      <c r="E79" s="101"/>
      <c r="F79" s="92"/>
      <c r="G79" s="92"/>
      <c r="H79" s="92"/>
      <c r="I79" s="92"/>
    </row>
    <row r="80" spans="1:9">
      <c r="A80" s="92"/>
      <c r="B80" s="101"/>
      <c r="C80" s="101"/>
      <c r="D80" s="101"/>
      <c r="E80" s="101"/>
      <c r="F80" s="92"/>
      <c r="G80" s="92"/>
      <c r="H80" s="92"/>
      <c r="I80" s="92"/>
    </row>
    <row r="81" spans="1:9">
      <c r="A81" s="92"/>
      <c r="B81" s="77" t="s">
        <v>1198</v>
      </c>
      <c r="C81" s="101"/>
      <c r="D81" s="101"/>
      <c r="E81" s="101"/>
      <c r="F81" s="92"/>
      <c r="G81" s="92"/>
      <c r="H81" s="92"/>
      <c r="I81" s="92"/>
    </row>
    <row r="82" spans="1:9">
      <c r="A82" s="92"/>
      <c r="B82" s="101" t="s">
        <v>1199</v>
      </c>
      <c r="C82" s="101"/>
      <c r="D82" s="101"/>
      <c r="E82" s="101"/>
      <c r="F82" s="92"/>
      <c r="G82" s="92"/>
      <c r="H82" s="92"/>
      <c r="I82" s="92"/>
    </row>
    <row r="83" spans="1:9">
      <c r="A83" s="92"/>
      <c r="B83" s="101" t="s">
        <v>1200</v>
      </c>
      <c r="C83" s="101"/>
      <c r="D83" s="101"/>
      <c r="E83" s="101"/>
      <c r="F83" s="92"/>
      <c r="G83" s="92"/>
      <c r="H83" s="92"/>
      <c r="I83" s="92"/>
    </row>
    <row r="84" spans="1:9">
      <c r="A84" s="92"/>
      <c r="B84" s="101"/>
      <c r="C84" s="101"/>
      <c r="D84" s="101"/>
      <c r="E84" s="101"/>
      <c r="F84" s="92"/>
      <c r="G84" s="92"/>
      <c r="H84" s="92"/>
      <c r="I84" s="92"/>
    </row>
    <row r="85" spans="1:9">
      <c r="A85" s="92"/>
      <c r="B85" s="77" t="s">
        <v>1201</v>
      </c>
      <c r="C85" s="101"/>
      <c r="D85" s="101"/>
      <c r="E85" s="101"/>
      <c r="F85" s="92"/>
      <c r="G85" s="92"/>
      <c r="H85" s="92"/>
      <c r="I85" s="92"/>
    </row>
    <row r="86" spans="1:9">
      <c r="A86" s="92"/>
      <c r="B86" s="101" t="s">
        <v>1202</v>
      </c>
      <c r="C86" s="101"/>
      <c r="D86" s="101"/>
      <c r="E86" s="101"/>
      <c r="F86" s="92"/>
      <c r="G86" s="92"/>
      <c r="H86" s="92"/>
      <c r="I86" s="92"/>
    </row>
    <row r="87" spans="1:9">
      <c r="A87" s="92"/>
      <c r="B87" s="101"/>
      <c r="C87" s="101"/>
      <c r="D87" s="101"/>
      <c r="E87" s="101"/>
      <c r="F87" s="92"/>
      <c r="G87" s="92"/>
      <c r="H87" s="92"/>
      <c r="I87" s="92"/>
    </row>
    <row r="88" spans="1:9">
      <c r="A88" s="92"/>
      <c r="B88" s="77" t="s">
        <v>1203</v>
      </c>
      <c r="C88" s="101"/>
      <c r="D88" s="101"/>
      <c r="E88" s="101"/>
      <c r="F88" s="92"/>
      <c r="G88" s="92"/>
      <c r="H88" s="92"/>
      <c r="I88" s="92"/>
    </row>
    <row r="89" spans="1:9">
      <c r="A89" s="92"/>
      <c r="B89" s="101" t="s">
        <v>1204</v>
      </c>
      <c r="C89" s="101"/>
      <c r="D89" s="101"/>
      <c r="E89" s="101"/>
      <c r="F89" s="92"/>
      <c r="G89" s="92"/>
      <c r="H89" s="92"/>
      <c r="I89" s="92"/>
    </row>
    <row r="90" spans="1:9">
      <c r="A90" s="92"/>
      <c r="B90" s="101" t="s">
        <v>1205</v>
      </c>
      <c r="C90" s="101"/>
      <c r="D90" s="101"/>
      <c r="E90" s="101"/>
      <c r="F90" s="92"/>
      <c r="G90" s="92"/>
      <c r="H90" s="92"/>
      <c r="I90" s="92"/>
    </row>
    <row r="91" spans="1:9">
      <c r="A91" s="92"/>
      <c r="B91" s="101" t="s">
        <v>1206</v>
      </c>
      <c r="C91" s="101"/>
      <c r="D91" s="101"/>
      <c r="E91" s="101"/>
      <c r="F91" s="92"/>
      <c r="G91" s="92"/>
      <c r="H91" s="92"/>
      <c r="I91" s="92"/>
    </row>
    <row r="92" spans="1:9">
      <c r="A92" s="92"/>
      <c r="B92" s="101" t="s">
        <v>1207</v>
      </c>
      <c r="C92" s="101"/>
      <c r="D92" s="101"/>
      <c r="E92" s="101"/>
      <c r="F92" s="92"/>
      <c r="G92" s="92"/>
      <c r="H92" s="92"/>
      <c r="I92" s="92"/>
    </row>
    <row r="93" spans="1:9">
      <c r="A93" s="92"/>
      <c r="B93" s="101" t="s">
        <v>1208</v>
      </c>
      <c r="C93" s="101"/>
      <c r="D93" s="101"/>
      <c r="E93" s="101"/>
      <c r="F93" s="92"/>
      <c r="G93" s="92"/>
      <c r="H93" s="92"/>
      <c r="I93" s="92"/>
    </row>
    <row r="94" spans="1:9">
      <c r="A94" s="92"/>
      <c r="B94" s="101" t="s">
        <v>1209</v>
      </c>
      <c r="C94" s="101"/>
      <c r="D94" s="101"/>
      <c r="E94" s="101"/>
      <c r="F94" s="92"/>
      <c r="G94" s="92"/>
      <c r="H94" s="92"/>
      <c r="I94" s="92"/>
    </row>
    <row r="95" spans="1:9">
      <c r="A95" s="92"/>
      <c r="B95" s="101" t="s">
        <v>1210</v>
      </c>
      <c r="C95" s="101"/>
      <c r="D95" s="101"/>
      <c r="E95" s="101"/>
      <c r="F95" s="92"/>
      <c r="G95" s="92"/>
      <c r="H95" s="92"/>
      <c r="I95" s="92"/>
    </row>
    <row r="96" spans="1:9" s="100" customFormat="1">
      <c r="B96" s="101"/>
      <c r="C96" s="101"/>
      <c r="D96" s="101"/>
      <c r="E96" s="101"/>
    </row>
    <row r="97" spans="1:9" s="100" customFormat="1">
      <c r="B97" s="101"/>
      <c r="C97" s="101"/>
      <c r="D97" s="101"/>
      <c r="E97" s="101"/>
    </row>
    <row r="98" spans="1:9" s="100" customFormat="1">
      <c r="B98" s="101"/>
      <c r="C98" s="101"/>
      <c r="D98" s="101"/>
      <c r="E98" s="101"/>
    </row>
    <row r="99" spans="1:9">
      <c r="A99" s="92"/>
      <c r="B99" s="101"/>
      <c r="C99" s="101"/>
      <c r="D99" s="101"/>
      <c r="E99" s="101"/>
      <c r="F99" s="92"/>
      <c r="G99" s="92"/>
      <c r="H99" s="92"/>
      <c r="I99" s="100" t="s">
        <v>1282</v>
      </c>
    </row>
    <row r="100" spans="1:9">
      <c r="A100" s="92"/>
      <c r="B100" s="77" t="s">
        <v>1211</v>
      </c>
      <c r="C100" s="101"/>
      <c r="D100" s="101"/>
      <c r="E100" s="101"/>
      <c r="F100" s="92"/>
      <c r="G100" s="92"/>
      <c r="H100" s="92"/>
      <c r="I100" s="92"/>
    </row>
    <row r="101" spans="1:9">
      <c r="A101" s="92"/>
      <c r="B101" s="101" t="s">
        <v>1212</v>
      </c>
      <c r="C101" s="101"/>
      <c r="D101" s="101"/>
      <c r="E101" s="101"/>
      <c r="F101" s="92"/>
      <c r="G101" s="92"/>
      <c r="H101" s="92"/>
      <c r="I101" s="92"/>
    </row>
    <row r="102" spans="1:9">
      <c r="A102" s="92"/>
      <c r="B102" s="101" t="s">
        <v>1213</v>
      </c>
      <c r="C102" s="101"/>
      <c r="D102" s="101"/>
      <c r="E102" s="101"/>
      <c r="F102" s="92"/>
      <c r="G102" s="92"/>
      <c r="H102" s="92"/>
      <c r="I102" s="92"/>
    </row>
    <row r="103" spans="1:9">
      <c r="A103" s="92"/>
      <c r="B103" s="101"/>
      <c r="C103" s="101"/>
      <c r="D103" s="101"/>
      <c r="E103" s="101"/>
      <c r="F103" s="92"/>
      <c r="G103" s="92"/>
      <c r="H103" s="92"/>
      <c r="I103" s="92"/>
    </row>
    <row r="104" spans="1:9">
      <c r="A104" s="92"/>
      <c r="B104" s="101"/>
      <c r="C104" s="101"/>
      <c r="D104" s="101"/>
      <c r="E104" s="101"/>
      <c r="F104" s="92"/>
      <c r="G104" s="92"/>
      <c r="H104" s="92"/>
      <c r="I104" s="92"/>
    </row>
    <row r="105" spans="1:9" ht="15.75">
      <c r="A105" s="12" t="s">
        <v>453</v>
      </c>
      <c r="B105" s="12"/>
      <c r="C105" s="92"/>
      <c r="D105" s="92"/>
      <c r="E105" s="92"/>
      <c r="F105" s="92"/>
      <c r="G105" s="92"/>
      <c r="H105" s="92"/>
      <c r="I105" s="92"/>
    </row>
    <row r="106" spans="1:9" ht="15.75">
      <c r="A106" s="12"/>
      <c r="B106" s="12"/>
      <c r="C106" s="92"/>
      <c r="D106" s="92"/>
      <c r="E106" s="92"/>
      <c r="F106" s="92"/>
      <c r="G106" s="92"/>
      <c r="H106" s="92"/>
      <c r="I106" s="92"/>
    </row>
    <row r="107" spans="1:9" ht="15.75">
      <c r="A107" s="12"/>
      <c r="B107" s="19" t="s">
        <v>1214</v>
      </c>
      <c r="C107" s="92"/>
      <c r="D107" s="92"/>
      <c r="E107" s="92"/>
      <c r="F107" s="92"/>
      <c r="G107" s="92"/>
      <c r="H107" s="92"/>
      <c r="I107" s="92"/>
    </row>
    <row r="108" spans="1:9" ht="15.75">
      <c r="A108" s="12"/>
      <c r="B108" s="19" t="s">
        <v>1215</v>
      </c>
      <c r="C108" s="92"/>
      <c r="D108" s="92"/>
      <c r="E108" s="92"/>
      <c r="F108" s="92"/>
      <c r="G108" s="92"/>
      <c r="H108" s="92"/>
      <c r="I108" s="92"/>
    </row>
    <row r="109" spans="1:9" ht="15.75">
      <c r="A109" s="12"/>
      <c r="B109" s="19" t="s">
        <v>1237</v>
      </c>
      <c r="C109" s="92"/>
      <c r="D109" s="92"/>
      <c r="E109" s="92"/>
      <c r="F109" s="92"/>
      <c r="G109" s="92"/>
      <c r="H109" s="92"/>
      <c r="I109" s="92"/>
    </row>
    <row r="110" spans="1:9" ht="15.75">
      <c r="A110" s="12"/>
      <c r="B110" s="19" t="s">
        <v>1238</v>
      </c>
      <c r="C110" s="92"/>
      <c r="D110" s="92"/>
      <c r="E110" s="92"/>
      <c r="F110" s="92"/>
      <c r="G110" s="92"/>
      <c r="H110" s="92"/>
      <c r="I110" s="92"/>
    </row>
    <row r="111" spans="1:9" ht="15.75">
      <c r="A111" s="12"/>
      <c r="B111" s="19" t="s">
        <v>1216</v>
      </c>
      <c r="C111" s="92"/>
      <c r="D111" s="92"/>
      <c r="E111" s="92"/>
      <c r="F111" s="92"/>
      <c r="G111" s="92"/>
      <c r="H111" s="92"/>
      <c r="I111" s="92"/>
    </row>
    <row r="112" spans="1:9" ht="15.75">
      <c r="A112" s="12"/>
      <c r="B112" s="19"/>
      <c r="C112" s="92"/>
      <c r="D112" s="92"/>
      <c r="E112" s="92"/>
      <c r="F112" s="92"/>
      <c r="G112" s="92"/>
      <c r="H112" s="92"/>
      <c r="I112" s="92"/>
    </row>
    <row r="113" spans="1:9" ht="15.75">
      <c r="A113" s="12"/>
      <c r="B113" s="106" t="s">
        <v>1217</v>
      </c>
      <c r="C113" s="92"/>
      <c r="D113" s="92"/>
      <c r="E113" s="92"/>
      <c r="F113" s="92"/>
      <c r="G113" s="92"/>
      <c r="H113" s="92"/>
      <c r="I113" s="92"/>
    </row>
    <row r="114" spans="1:9" ht="15.75">
      <c r="A114" s="12"/>
      <c r="B114" s="19" t="s">
        <v>1218</v>
      </c>
      <c r="C114" s="92"/>
      <c r="D114" s="92"/>
      <c r="E114" s="92"/>
      <c r="F114" s="92"/>
      <c r="G114" s="92"/>
      <c r="H114" s="92"/>
      <c r="I114" s="92"/>
    </row>
    <row r="115" spans="1:9" ht="15.75">
      <c r="A115" s="12"/>
      <c r="B115" s="19" t="s">
        <v>1239</v>
      </c>
      <c r="C115" s="92"/>
      <c r="D115" s="92"/>
      <c r="E115" s="92"/>
      <c r="F115" s="92"/>
      <c r="G115" s="92"/>
      <c r="H115" s="92"/>
      <c r="I115" s="92"/>
    </row>
    <row r="116" spans="1:9" ht="15.75">
      <c r="A116" s="12"/>
      <c r="B116" s="19" t="s">
        <v>1219</v>
      </c>
      <c r="C116" s="92"/>
      <c r="D116" s="92"/>
      <c r="E116" s="92"/>
      <c r="F116" s="92"/>
      <c r="G116" s="92"/>
      <c r="H116" s="92"/>
      <c r="I116" s="92"/>
    </row>
    <row r="117" spans="1:9" ht="15.75">
      <c r="A117" s="12"/>
      <c r="B117" s="19" t="s">
        <v>1240</v>
      </c>
      <c r="C117" s="92"/>
      <c r="D117" s="92"/>
      <c r="E117" s="92"/>
      <c r="F117" s="92"/>
      <c r="G117" s="92"/>
      <c r="H117" s="92"/>
      <c r="I117" s="92"/>
    </row>
    <row r="118" spans="1:9" ht="15.75">
      <c r="A118" s="12"/>
      <c r="B118" s="19" t="s">
        <v>1220</v>
      </c>
      <c r="C118" s="92"/>
      <c r="D118" s="92"/>
      <c r="E118" s="92"/>
      <c r="F118" s="92"/>
      <c r="G118" s="92"/>
      <c r="H118" s="92"/>
      <c r="I118" s="92"/>
    </row>
    <row r="119" spans="1:9" ht="15.75">
      <c r="A119" s="12"/>
      <c r="B119" s="19" t="s">
        <v>1221</v>
      </c>
      <c r="C119" s="92"/>
      <c r="D119" s="92"/>
      <c r="E119" s="92"/>
      <c r="F119" s="92"/>
      <c r="G119" s="92"/>
      <c r="H119" s="92"/>
      <c r="I119" s="92"/>
    </row>
    <row r="120" spans="1:9" ht="15.75">
      <c r="A120" s="12"/>
      <c r="B120" s="19" t="s">
        <v>1222</v>
      </c>
      <c r="C120" s="92"/>
      <c r="D120" s="92"/>
      <c r="E120" s="92"/>
      <c r="F120" s="92"/>
      <c r="G120" s="92"/>
      <c r="H120" s="92"/>
      <c r="I120" s="92"/>
    </row>
    <row r="121" spans="1:9" ht="15.75">
      <c r="A121" s="12"/>
      <c r="B121" s="19" t="s">
        <v>1223</v>
      </c>
      <c r="C121" s="92"/>
      <c r="D121" s="92"/>
      <c r="E121" s="92"/>
      <c r="F121" s="92"/>
      <c r="G121" s="92"/>
      <c r="H121" s="92"/>
      <c r="I121" s="92"/>
    </row>
    <row r="122" spans="1:9" ht="15.75">
      <c r="A122" s="12"/>
      <c r="B122" s="19"/>
      <c r="C122" s="92"/>
      <c r="D122" s="92"/>
      <c r="E122" s="92"/>
      <c r="F122" s="92"/>
      <c r="G122" s="92"/>
      <c r="H122" s="92"/>
      <c r="I122" s="92"/>
    </row>
    <row r="123" spans="1:9" ht="15.75">
      <c r="A123" s="12"/>
      <c r="B123" s="19"/>
      <c r="C123" s="92"/>
      <c r="D123" s="92"/>
      <c r="E123" s="92"/>
      <c r="F123" s="92"/>
      <c r="G123" s="92"/>
      <c r="H123" s="92"/>
      <c r="I123" s="92"/>
    </row>
    <row r="124" spans="1:9" ht="15.75">
      <c r="A124" s="12"/>
      <c r="B124" s="19"/>
      <c r="C124" s="92"/>
      <c r="D124" s="92"/>
      <c r="E124" s="92"/>
      <c r="F124" s="92"/>
      <c r="G124" s="92"/>
      <c r="H124" s="92"/>
      <c r="I124" s="92"/>
    </row>
    <row r="125" spans="1:9">
      <c r="A125" s="92"/>
      <c r="B125" s="215" t="s">
        <v>1224</v>
      </c>
      <c r="C125" s="191"/>
      <c r="D125" s="191"/>
      <c r="E125" s="191"/>
      <c r="F125" s="191"/>
      <c r="G125" s="191"/>
      <c r="H125" s="191"/>
      <c r="I125" s="191"/>
    </row>
    <row r="126" spans="1:9">
      <c r="A126" s="92"/>
      <c r="B126" s="191"/>
      <c r="C126" s="191"/>
      <c r="D126" s="191"/>
      <c r="E126" s="191"/>
      <c r="F126" s="191"/>
      <c r="G126" s="191"/>
      <c r="H126" s="191"/>
      <c r="I126" s="191"/>
    </row>
    <row r="127" spans="1:9" ht="15.75" thickBot="1">
      <c r="A127" s="92"/>
      <c r="B127" s="216" t="s">
        <v>353</v>
      </c>
      <c r="C127" s="216"/>
      <c r="D127" s="216"/>
      <c r="E127" s="216" t="s">
        <v>599</v>
      </c>
      <c r="F127" s="216"/>
      <c r="G127" s="216" t="s">
        <v>1225</v>
      </c>
      <c r="H127" s="216"/>
      <c r="I127" s="90" t="s">
        <v>506</v>
      </c>
    </row>
    <row r="128" spans="1:9">
      <c r="A128" s="92"/>
      <c r="B128" s="177" t="s">
        <v>386</v>
      </c>
      <c r="C128" s="177"/>
      <c r="D128" s="177"/>
      <c r="E128" s="217" t="s">
        <v>1226</v>
      </c>
      <c r="F128" s="217"/>
      <c r="G128" s="217">
        <v>25</v>
      </c>
      <c r="H128" s="217"/>
      <c r="I128" s="111" t="s">
        <v>1227</v>
      </c>
    </row>
    <row r="129" spans="1:9" s="92" customFormat="1">
      <c r="B129" s="219" t="s">
        <v>1242</v>
      </c>
      <c r="C129" s="220"/>
      <c r="D129" s="221"/>
      <c r="E129" s="142" t="s">
        <v>1243</v>
      </c>
      <c r="F129" s="144"/>
      <c r="G129" s="142">
        <v>20</v>
      </c>
      <c r="H129" s="144"/>
      <c r="I129" s="107" t="s">
        <v>1227</v>
      </c>
    </row>
    <row r="130" spans="1:9">
      <c r="A130" s="92"/>
      <c r="B130" s="149" t="s">
        <v>1241</v>
      </c>
      <c r="C130" s="149"/>
      <c r="D130" s="149"/>
      <c r="E130" s="218" t="s">
        <v>1228</v>
      </c>
      <c r="F130" s="218"/>
      <c r="G130" s="218">
        <v>50</v>
      </c>
      <c r="H130" s="218"/>
      <c r="I130" s="109" t="s">
        <v>1227</v>
      </c>
    </row>
    <row r="131" spans="1:9">
      <c r="A131" s="92"/>
      <c r="B131" s="149" t="s">
        <v>1229</v>
      </c>
      <c r="C131" s="149"/>
      <c r="D131" s="149"/>
      <c r="E131" s="218" t="s">
        <v>1230</v>
      </c>
      <c r="F131" s="218"/>
      <c r="G131" s="218">
        <v>5</v>
      </c>
      <c r="H131" s="218"/>
      <c r="I131" s="109" t="s">
        <v>1227</v>
      </c>
    </row>
    <row r="132" spans="1:9">
      <c r="A132" s="92"/>
      <c r="B132" s="149" t="s">
        <v>1231</v>
      </c>
      <c r="C132" s="149"/>
      <c r="D132" s="149"/>
      <c r="E132" s="218" t="s">
        <v>1232</v>
      </c>
      <c r="F132" s="218"/>
      <c r="G132" s="142" t="s">
        <v>1233</v>
      </c>
      <c r="H132" s="144"/>
      <c r="I132" s="109" t="s">
        <v>1227</v>
      </c>
    </row>
    <row r="133" spans="1:9">
      <c r="A133" s="92"/>
      <c r="B133" s="149" t="s">
        <v>1234</v>
      </c>
      <c r="C133" s="149"/>
      <c r="D133" s="149"/>
      <c r="E133" s="218" t="s">
        <v>1226</v>
      </c>
      <c r="F133" s="218"/>
      <c r="G133" s="142">
        <v>25</v>
      </c>
      <c r="H133" s="144"/>
      <c r="I133" s="109" t="s">
        <v>1227</v>
      </c>
    </row>
    <row r="134" spans="1:9">
      <c r="A134" s="92"/>
      <c r="B134" s="149" t="s">
        <v>44</v>
      </c>
      <c r="C134" s="149"/>
      <c r="D134" s="149"/>
      <c r="E134" s="218" t="s">
        <v>1235</v>
      </c>
      <c r="F134" s="218"/>
      <c r="G134" s="142">
        <v>16.600000000000001</v>
      </c>
      <c r="H134" s="144"/>
      <c r="I134" s="109" t="s">
        <v>1227</v>
      </c>
    </row>
    <row r="135" spans="1:9">
      <c r="A135" s="92"/>
      <c r="B135" s="86" t="s">
        <v>1244</v>
      </c>
      <c r="C135" s="87"/>
      <c r="D135" s="88"/>
      <c r="E135" s="142" t="s">
        <v>1228</v>
      </c>
      <c r="F135" s="144"/>
      <c r="G135" s="142">
        <v>50</v>
      </c>
      <c r="H135" s="199"/>
      <c r="I135" s="109" t="s">
        <v>1227</v>
      </c>
    </row>
    <row r="136" spans="1:9">
      <c r="A136" s="92"/>
      <c r="B136" s="92"/>
      <c r="C136" s="92"/>
      <c r="D136" s="92"/>
      <c r="E136" s="92"/>
      <c r="F136" s="92"/>
      <c r="G136" s="92"/>
      <c r="H136" s="92"/>
      <c r="I136" s="92"/>
    </row>
    <row r="137" spans="1:9">
      <c r="A137" s="92"/>
      <c r="B137" s="89"/>
      <c r="C137" s="89"/>
      <c r="D137" s="89"/>
      <c r="E137" s="17"/>
      <c r="F137" s="89"/>
      <c r="G137" s="89"/>
      <c r="H137" s="89"/>
      <c r="I137" s="89"/>
    </row>
    <row r="138" spans="1:9">
      <c r="A138" s="92"/>
      <c r="B138" s="92"/>
      <c r="C138" s="92"/>
      <c r="D138" s="92"/>
      <c r="E138" s="92"/>
      <c r="F138" s="85"/>
      <c r="G138" s="85"/>
      <c r="H138" s="92"/>
      <c r="I138" s="92"/>
    </row>
    <row r="139" spans="1:9">
      <c r="A139" s="92"/>
      <c r="B139" s="92"/>
      <c r="C139" s="92"/>
      <c r="D139" s="92"/>
      <c r="E139" s="92"/>
      <c r="F139" s="92"/>
      <c r="G139" s="92"/>
      <c r="H139" s="92"/>
      <c r="I139" s="92"/>
    </row>
    <row r="140" spans="1:9">
      <c r="A140" s="92"/>
      <c r="B140" s="92"/>
      <c r="C140" s="92"/>
      <c r="D140" s="92"/>
      <c r="E140" s="92"/>
      <c r="F140" s="92"/>
      <c r="G140" s="92"/>
      <c r="H140" s="92"/>
      <c r="I140" s="92"/>
    </row>
    <row r="141" spans="1:9">
      <c r="A141" s="92"/>
      <c r="B141" s="89"/>
      <c r="C141" s="89"/>
      <c r="D141" s="89"/>
      <c r="E141" s="89"/>
      <c r="F141" s="89"/>
      <c r="G141" s="89"/>
      <c r="H141" s="89"/>
      <c r="I141" s="89"/>
    </row>
    <row r="142" spans="1:9">
      <c r="A142" s="92"/>
      <c r="B142" s="92"/>
      <c r="C142" s="92"/>
      <c r="D142" s="92"/>
      <c r="E142" s="92"/>
      <c r="F142" s="92"/>
      <c r="G142" s="92"/>
      <c r="H142" s="92"/>
      <c r="I142" s="92"/>
    </row>
    <row r="143" spans="1:9">
      <c r="A143" s="92"/>
      <c r="B143" s="92"/>
      <c r="C143" s="92"/>
      <c r="D143" s="92"/>
      <c r="E143" s="92"/>
      <c r="F143" s="92"/>
      <c r="G143" s="92"/>
      <c r="H143" s="92"/>
      <c r="I143" s="92"/>
    </row>
    <row r="144" spans="1:9">
      <c r="A144" s="92"/>
      <c r="B144" s="92"/>
      <c r="C144" s="92"/>
      <c r="D144" s="92"/>
      <c r="E144" s="92"/>
      <c r="F144" s="92"/>
      <c r="G144" s="92"/>
      <c r="H144" s="92"/>
      <c r="I144" s="92"/>
    </row>
    <row r="145" spans="1:9">
      <c r="A145" s="92"/>
      <c r="B145" s="92"/>
      <c r="C145" s="92"/>
      <c r="D145" s="92"/>
      <c r="E145" s="92"/>
      <c r="F145" s="92"/>
      <c r="G145" s="92"/>
      <c r="H145" s="92"/>
      <c r="I145" s="92"/>
    </row>
    <row r="146" spans="1:9">
      <c r="A146" s="92"/>
      <c r="B146" s="92"/>
      <c r="C146" s="92"/>
      <c r="D146" s="92"/>
      <c r="E146" s="92"/>
      <c r="F146" s="92"/>
      <c r="G146" s="92"/>
      <c r="H146" s="92"/>
      <c r="I146" s="92"/>
    </row>
    <row r="148" spans="1:9">
      <c r="I148" s="100" t="s">
        <v>1283</v>
      </c>
    </row>
  </sheetData>
  <mergeCells count="38">
    <mergeCell ref="B129:D129"/>
    <mergeCell ref="E129:F129"/>
    <mergeCell ref="G129:H129"/>
    <mergeCell ref="B134:D134"/>
    <mergeCell ref="E134:F134"/>
    <mergeCell ref="G134:H134"/>
    <mergeCell ref="B130:D130"/>
    <mergeCell ref="E130:F130"/>
    <mergeCell ref="G130:H130"/>
    <mergeCell ref="B131:D131"/>
    <mergeCell ref="E131:F131"/>
    <mergeCell ref="G131:H131"/>
    <mergeCell ref="E135:F135"/>
    <mergeCell ref="G135:H135"/>
    <mergeCell ref="B132:D132"/>
    <mergeCell ref="E132:F132"/>
    <mergeCell ref="G132:H132"/>
    <mergeCell ref="B133:D133"/>
    <mergeCell ref="E133:F133"/>
    <mergeCell ref="G133:H133"/>
    <mergeCell ref="B127:D127"/>
    <mergeCell ref="E127:F127"/>
    <mergeCell ref="G127:H127"/>
    <mergeCell ref="B128:D128"/>
    <mergeCell ref="E128:F128"/>
    <mergeCell ref="G128:H128"/>
    <mergeCell ref="B14:E14"/>
    <mergeCell ref="F14:G14"/>
    <mergeCell ref="H14:I14"/>
    <mergeCell ref="B45:I45"/>
    <mergeCell ref="B125:I126"/>
    <mergeCell ref="B38:I38"/>
    <mergeCell ref="B12:E12"/>
    <mergeCell ref="F12:G12"/>
    <mergeCell ref="H12:I12"/>
    <mergeCell ref="B13:E13"/>
    <mergeCell ref="F13:G13"/>
    <mergeCell ref="H13:I13"/>
  </mergeCells>
  <pageMargins left="0.51181102362204722" right="0.51181102362204722" top="0.74803149606299213" bottom="0.74803149606299213" header="0.31496062992125984" footer="0.31496062992125984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84"/>
  <sheetViews>
    <sheetView workbookViewId="0">
      <selection activeCell="B28" sqref="B28"/>
    </sheetView>
  </sheetViews>
  <sheetFormatPr defaultRowHeight="15"/>
  <cols>
    <col min="1" max="1" width="16" customWidth="1"/>
    <col min="2" max="9" width="8.85546875" customWidth="1"/>
    <col min="10" max="17" width="9.140625" style="8" customWidth="1"/>
  </cols>
  <sheetData>
    <row r="1" spans="1:17" ht="18.75">
      <c r="B1" s="13" t="s">
        <v>275</v>
      </c>
    </row>
    <row r="2" spans="1:17" s="11" customFormat="1">
      <c r="B2" s="3"/>
      <c r="J2" s="8"/>
      <c r="K2" s="8"/>
      <c r="L2" s="8"/>
      <c r="M2" s="8"/>
      <c r="N2" s="8"/>
      <c r="O2" s="8"/>
      <c r="P2" s="8"/>
      <c r="Q2" s="8"/>
    </row>
    <row r="3" spans="1:17" ht="15.75">
      <c r="A3" s="12" t="s">
        <v>376</v>
      </c>
    </row>
    <row r="5" spans="1:17" s="2" customFormat="1">
      <c r="A5" s="223" t="s">
        <v>247</v>
      </c>
      <c r="B5" s="222" t="s">
        <v>319</v>
      </c>
      <c r="C5" s="222"/>
      <c r="D5" s="222"/>
      <c r="E5" s="222"/>
      <c r="F5" s="222"/>
      <c r="G5" s="222"/>
      <c r="H5" s="222"/>
      <c r="I5" s="222"/>
      <c r="J5" s="9"/>
      <c r="K5" s="9"/>
      <c r="L5" s="9"/>
      <c r="M5" s="9"/>
      <c r="N5" s="9"/>
      <c r="O5" s="9"/>
      <c r="P5" s="9"/>
      <c r="Q5" s="9"/>
    </row>
    <row r="6" spans="1:17" s="1" customFormat="1" ht="40.5" customHeight="1">
      <c r="A6" s="224"/>
      <c r="B6" s="7" t="s">
        <v>150</v>
      </c>
      <c r="C6" s="7" t="s">
        <v>386</v>
      </c>
      <c r="D6" s="7" t="s">
        <v>197</v>
      </c>
      <c r="E6" s="7" t="s">
        <v>274</v>
      </c>
      <c r="F6" s="7" t="s">
        <v>183</v>
      </c>
      <c r="G6" s="7" t="s">
        <v>127</v>
      </c>
      <c r="H6" s="7" t="s">
        <v>350</v>
      </c>
      <c r="I6" s="7" t="s">
        <v>427</v>
      </c>
      <c r="J6" s="10"/>
      <c r="K6" s="10"/>
      <c r="L6" s="10"/>
      <c r="M6" s="10"/>
      <c r="N6" s="10"/>
      <c r="O6" s="10"/>
      <c r="P6" s="10"/>
      <c r="Q6" s="10"/>
    </row>
    <row r="7" spans="1:17">
      <c r="A7" s="51" t="s">
        <v>832</v>
      </c>
      <c r="B7" s="51" t="s">
        <v>36</v>
      </c>
      <c r="C7" s="51" t="s">
        <v>647</v>
      </c>
      <c r="D7" s="51" t="s">
        <v>236</v>
      </c>
      <c r="E7" s="51" t="s">
        <v>741</v>
      </c>
      <c r="F7" s="51" t="s">
        <v>139</v>
      </c>
      <c r="G7" s="51" t="s">
        <v>618</v>
      </c>
      <c r="H7" s="51" t="s">
        <v>107</v>
      </c>
      <c r="I7" s="51" t="s">
        <v>639</v>
      </c>
    </row>
    <row r="8" spans="1:17" ht="15.95" customHeight="1">
      <c r="A8" s="50" t="s">
        <v>347</v>
      </c>
      <c r="B8" s="178"/>
      <c r="C8" s="178"/>
      <c r="D8" s="178"/>
      <c r="E8" s="178"/>
      <c r="F8" s="178"/>
      <c r="G8" s="178"/>
      <c r="H8" s="178"/>
      <c r="I8" s="178"/>
    </row>
    <row r="9" spans="1:17" ht="26.1" customHeight="1">
      <c r="A9" s="5" t="s">
        <v>314</v>
      </c>
      <c r="B9" s="14">
        <f>IF(ISERROR(VLOOKUP(41,Suvaha_BO!A:F,4,0)),0,VLOOKUP(41,Suvaha_BO!A:F,4,0))</f>
        <v>0</v>
      </c>
      <c r="C9" s="14">
        <v>29691</v>
      </c>
      <c r="D9" s="14">
        <f>IF(ISERROR(VLOOKUP(61,Suvaha_BO!A:F,4,0)),0,VLOOKUP(61,Suvaha_BO!A:F,4,0))</f>
        <v>0</v>
      </c>
      <c r="E9" s="14">
        <f>IF(ISERROR(VLOOKUP(71,Suvaha_BO!A:F,4,0)),0,VLOOKUP(71,Suvaha_BO!A:F,4,0))</f>
        <v>0</v>
      </c>
      <c r="F9" s="14">
        <f>IF(ISERROR(VLOOKUP(81,Suvaha_BO!A:F,4,0)),0,VLOOKUP(81,Suvaha_BO!A:F,4,0))</f>
        <v>0</v>
      </c>
      <c r="G9" s="14">
        <f>IF(ISERROR(VLOOKUP(91,Suvaha_BO!A:F,4,0)),0,VLOOKUP(91,Suvaha_BO!A:F,4,0))</f>
        <v>0</v>
      </c>
      <c r="H9" s="14">
        <f>IF(ISERROR(VLOOKUP(101,Suvaha_BO!A:F,4,0)),0,VLOOKUP(101,Suvaha_BO!A:F,4,0))</f>
        <v>0</v>
      </c>
      <c r="I9" s="14">
        <v>29691</v>
      </c>
    </row>
    <row r="10" spans="1:17" ht="15.95" customHeight="1">
      <c r="A10" s="4" t="s">
        <v>147</v>
      </c>
      <c r="B10" s="14">
        <f>IF(ISERROR(VLOOKUP(41,Suvaha_BO!A:F,5,0)),0,VLOOKUP(41,Suvaha_BO!A:F,5,0))</f>
        <v>0</v>
      </c>
      <c r="C10" s="14">
        <v>0</v>
      </c>
      <c r="D10" s="14">
        <f>IF(ISERROR(VLOOKUP(61,Suvaha_BO!A:F,5,0)),0,VLOOKUP(61,Suvaha_BO!A:F,5,0))</f>
        <v>0</v>
      </c>
      <c r="E10" s="14">
        <f>IF(ISERROR(VLOOKUP(71,Suvaha_BO!A:F,5,0)),0,VLOOKUP(71,Suvaha_BO!A:F,5,0))</f>
        <v>0</v>
      </c>
      <c r="F10" s="14">
        <v>373</v>
      </c>
      <c r="G10" s="14">
        <v>373</v>
      </c>
      <c r="H10" s="14">
        <f>IF(ISERROR(VLOOKUP(101,Suvaha_BO!A:F,5,0)),0,VLOOKUP(101,Suvaha_BO!A:F,5,0))</f>
        <v>0</v>
      </c>
      <c r="I10" s="14">
        <f>B10+C10+D10+E10+F10+G10+H10</f>
        <v>746</v>
      </c>
    </row>
    <row r="11" spans="1:17" ht="15.95" customHeight="1">
      <c r="A11" s="4" t="s">
        <v>389</v>
      </c>
      <c r="B11" s="14">
        <f>IF(ISERROR(VLOOKUP(41,Suvaha_BO!A:F,6,0)),0,VLOOKUP(41,Suvaha_BO!A:F,6,0))</f>
        <v>0</v>
      </c>
      <c r="C11" s="14">
        <f>IF(ISERROR(VLOOKUP(51,Suvaha_BO!A:F,6,0)),0,VLOOKUP(51,Suvaha_BO!A:F,6,0))</f>
        <v>0</v>
      </c>
      <c r="D11" s="14">
        <f>IF(ISERROR(VLOOKUP(61,Suvaha_BO!A:F,6,0)),0,VLOOKUP(61,Suvaha_BO!A:F,6,0))</f>
        <v>0</v>
      </c>
      <c r="E11" s="14">
        <f>IF(ISERROR(VLOOKUP(71,Suvaha_BO!A:F,6,0)),0,VLOOKUP(71,Suvaha_BO!A:F,6,0))</f>
        <v>0</v>
      </c>
      <c r="F11" s="14">
        <f>IF(ISERROR(VLOOKUP(81,Suvaha_BO!A:F,6,0)),0,VLOOKUP(81,Suvaha_BO!A:F,6,0))</f>
        <v>0</v>
      </c>
      <c r="G11" s="14">
        <v>373</v>
      </c>
      <c r="H11" s="14">
        <f>IF(ISERROR(VLOOKUP(101,Suvaha_BO!A:F,6,0)),0,VLOOKUP(101,Suvaha_BO!A:F,6,0))</f>
        <v>0</v>
      </c>
      <c r="I11" s="14">
        <f>B11+C11+D11+E11+F11+G11+H11</f>
        <v>373</v>
      </c>
    </row>
    <row r="12" spans="1:17" ht="15.95" customHeight="1">
      <c r="A12" s="4" t="s">
        <v>822</v>
      </c>
      <c r="B12" s="14"/>
      <c r="C12" s="14"/>
      <c r="D12" s="14"/>
      <c r="E12" s="14"/>
      <c r="F12" s="14"/>
      <c r="G12" s="14"/>
      <c r="H12" s="14"/>
      <c r="I12" s="14">
        <f>B12+C12+D12+E12+F12+G12+H12</f>
        <v>0</v>
      </c>
    </row>
    <row r="13" spans="1:17" ht="26.1" customHeight="1">
      <c r="A13" s="5" t="s">
        <v>1095</v>
      </c>
      <c r="B13" s="14">
        <f t="shared" ref="B13:H13" si="0">B9+B10-B11-B12</f>
        <v>0</v>
      </c>
      <c r="C13" s="14">
        <f t="shared" si="0"/>
        <v>29691</v>
      </c>
      <c r="D13" s="14">
        <f t="shared" si="0"/>
        <v>0</v>
      </c>
      <c r="E13" s="14">
        <f t="shared" si="0"/>
        <v>0</v>
      </c>
      <c r="F13" s="14">
        <f t="shared" si="0"/>
        <v>373</v>
      </c>
      <c r="G13" s="14">
        <f t="shared" si="0"/>
        <v>0</v>
      </c>
      <c r="H13" s="14">
        <f t="shared" si="0"/>
        <v>0</v>
      </c>
      <c r="I13" s="14">
        <f>B13+C13+D13+E13+F13+G13+H13</f>
        <v>30064</v>
      </c>
    </row>
    <row r="14" spans="1:17" ht="15.95" customHeight="1">
      <c r="A14" s="4" t="s">
        <v>241</v>
      </c>
      <c r="B14" s="149"/>
      <c r="C14" s="149"/>
      <c r="D14" s="149"/>
      <c r="E14" s="149"/>
      <c r="F14" s="149"/>
      <c r="G14" s="149"/>
      <c r="H14" s="149"/>
      <c r="I14" s="149"/>
    </row>
    <row r="15" spans="1:17" ht="26.1" customHeight="1">
      <c r="A15" s="5" t="s">
        <v>314</v>
      </c>
      <c r="B15" s="14">
        <f>IF(ISERROR(VLOOKUP(42,Suvaha_BO!A:F,4,0)),0,VLOOKUP(42,Suvaha_BO!A:F,4,0))</f>
        <v>0</v>
      </c>
      <c r="C15" s="14">
        <v>25494</v>
      </c>
      <c r="D15" s="14">
        <f>IF(ISERROR(VLOOKUP(62,Suvaha_BO!A:F,4,0)),0,VLOOKUP(62,Suvaha_BO!A:F,4,0))</f>
        <v>0</v>
      </c>
      <c r="E15" s="14">
        <f>IF(ISERROR(VLOOKUP(72,Suvaha_BO!A:F,4,0)),0,VLOOKUP(72,Suvaha_BO!A:F,4,0))</f>
        <v>0</v>
      </c>
      <c r="F15" s="14">
        <f>IF(ISERROR(VLOOKUP(82,Suvaha_BO!A:F,4,0)),0,VLOOKUP(82,Suvaha_BO!A:F,4,0))</f>
        <v>0</v>
      </c>
      <c r="G15" s="14"/>
      <c r="H15" s="14"/>
      <c r="I15" s="14">
        <f>B15+C15+D15+E15+F15+G15+H15</f>
        <v>25494</v>
      </c>
    </row>
    <row r="16" spans="1:17" ht="15.95" customHeight="1">
      <c r="A16" s="4" t="s">
        <v>147</v>
      </c>
      <c r="B16" s="14">
        <f>IF(ISERROR(VLOOKUP(42,Suvaha_BO!A:F,6,0)),0,VLOOKUP(42,Suvaha_BO!A:F,6,0))</f>
        <v>0</v>
      </c>
      <c r="C16" s="14">
        <v>4197</v>
      </c>
      <c r="D16" s="14">
        <f>IF(ISERROR(VLOOKUP(62,Suvaha_BO!A:F,6,0)),0,VLOOKUP(62,Suvaha_BO!A:F,6,0))</f>
        <v>0</v>
      </c>
      <c r="E16" s="14">
        <f>IF(ISERROR(VLOOKUP(72,Suvaha_BO!A:F,6,0)),0,VLOOKUP(72,Suvaha_BO!A:F,6,0))</f>
        <v>0</v>
      </c>
      <c r="F16" s="14">
        <v>112</v>
      </c>
      <c r="G16" s="14"/>
      <c r="H16" s="14"/>
      <c r="I16" s="14">
        <f>B16+C16+D16+E16+F16+G16+H16</f>
        <v>4309</v>
      </c>
    </row>
    <row r="17" spans="1:9" ht="15.95" customHeight="1">
      <c r="A17" s="4" t="s">
        <v>389</v>
      </c>
      <c r="B17" s="14">
        <f>IF(ISERROR(VLOOKUP(42,Suvaha_BO!A:F,5,0)),0,VLOOKUP(42,Suvaha_BO!A:F,5,0))</f>
        <v>0</v>
      </c>
      <c r="C17" s="14">
        <f>IF(ISERROR(VLOOKUP(52,Suvaha_BO!A:F,5,0)),0,VLOOKUP(52,Suvaha_BO!A:F,5,0))</f>
        <v>0</v>
      </c>
      <c r="D17" s="14">
        <f>IF(ISERROR(VLOOKUP(62,Suvaha_BO!A:F,5,0)),0,VLOOKUP(62,Suvaha_BO!A:F,5,0))</f>
        <v>0</v>
      </c>
      <c r="E17" s="14">
        <f>IF(ISERROR(VLOOKUP(72,Suvaha_BO!A:F,5,0)),0,VLOOKUP(72,Suvaha_BO!A:F,5,0))</f>
        <v>0</v>
      </c>
      <c r="F17" s="14">
        <f>IF(ISERROR(VLOOKUP(82,Suvaha_BO!A:F,5,0)),0,VLOOKUP(82,Suvaha_BO!A:F,5,0))</f>
        <v>0</v>
      </c>
      <c r="G17" s="14"/>
      <c r="H17" s="14"/>
      <c r="I17" s="14">
        <f>B17+C17+D17+E17+F17+G17+H17</f>
        <v>0</v>
      </c>
    </row>
    <row r="18" spans="1:9" ht="26.1" customHeight="1">
      <c r="A18" s="5" t="s">
        <v>1095</v>
      </c>
      <c r="B18" s="14">
        <f>B15+B16-B17</f>
        <v>0</v>
      </c>
      <c r="C18" s="14">
        <f>C15+C16-C17</f>
        <v>29691</v>
      </c>
      <c r="D18" s="14">
        <f>D15+D16-D17</f>
        <v>0</v>
      </c>
      <c r="E18" s="14">
        <f>E15+E16-E17</f>
        <v>0</v>
      </c>
      <c r="F18" s="14">
        <f>F15+F16-F17</f>
        <v>112</v>
      </c>
      <c r="G18" s="14"/>
      <c r="H18" s="14"/>
      <c r="I18" s="14">
        <f>B18+C18+D18+E18+F18+G18+H18</f>
        <v>29803</v>
      </c>
    </row>
    <row r="19" spans="1:9" ht="15.95" customHeight="1">
      <c r="A19" s="4" t="s">
        <v>1057</v>
      </c>
      <c r="B19" s="149"/>
      <c r="C19" s="149"/>
      <c r="D19" s="149"/>
      <c r="E19" s="149"/>
      <c r="F19" s="149"/>
      <c r="G19" s="149"/>
      <c r="H19" s="149"/>
      <c r="I19" s="149"/>
    </row>
    <row r="20" spans="1:9" ht="26.1" customHeight="1">
      <c r="A20" s="5" t="s">
        <v>314</v>
      </c>
      <c r="B20" s="14">
        <f>IF(ISERROR(VLOOKUP(43,Suvaha_BO!A:F,4,0)),0,VLOOKUP(43,Suvaha_BO!A:F,4,0))</f>
        <v>0</v>
      </c>
      <c r="C20" s="14">
        <f>IF(ISERROR(VLOOKUP(53,Suvaha_BO!A:F,4,0)),0,VLOOKUP(53,Suvaha_BO!A:F,4,0))</f>
        <v>0</v>
      </c>
      <c r="D20" s="14">
        <f>IF(ISERROR(VLOOKUP(63,Suvaha_BO!A:F,4,0)),0,VLOOKUP(63,Suvaha_BO!A:F,4,0))</f>
        <v>0</v>
      </c>
      <c r="E20" s="14">
        <f>IF(ISERROR(VLOOKUP(73,Suvaha_BO!A:F,4,0)),0,VLOOKUP(73,Suvaha_BO!A:F,4,0))</f>
        <v>0</v>
      </c>
      <c r="F20" s="14">
        <f>IF(ISERROR(VLOOKUP(83,Suvaha_BO!A:F,4,0)),0,VLOOKUP(83,Suvaha_BO!A:F,4,0))</f>
        <v>0</v>
      </c>
      <c r="G20" s="14">
        <f>IF(ISERROR(VLOOKUP(92,Suvaha_BO!A:F,4,0)),0,VLOOKUP(92,Suvaha_BO!A:F,4,0))</f>
        <v>0</v>
      </c>
      <c r="H20" s="14">
        <f>IF(ISERROR(VLOOKUP(102,Suvaha_BO!A:F,4,0)),0,VLOOKUP(102,Suvaha_BO!A:F,4,0))</f>
        <v>0</v>
      </c>
      <c r="I20" s="14">
        <f>B20+C20+D20+E20+F20+G20+H20</f>
        <v>0</v>
      </c>
    </row>
    <row r="21" spans="1:9" ht="15.95" customHeight="1">
      <c r="A21" s="4" t="s">
        <v>147</v>
      </c>
      <c r="B21" s="14">
        <f>IF(ISERROR(VLOOKUP(43,Suvaha_BO!A:F,6,0)),0,VLOOKUP(43,Suvaha_BO!A:F,6,0))</f>
        <v>0</v>
      </c>
      <c r="C21" s="14">
        <f>IF(ISERROR(VLOOKUP(53,Suvaha_BO!A:F,6,0)),0,VLOOKUP(53,Suvaha_BO!A:F,6,0))</f>
        <v>0</v>
      </c>
      <c r="D21" s="14">
        <f>IF(ISERROR(VLOOKUP(63,Suvaha_BO!A:F,6,0)),0,VLOOKUP(63,Suvaha_BO!A:F,6,0))</f>
        <v>0</v>
      </c>
      <c r="E21" s="14">
        <f>IF(ISERROR(VLOOKUP(73,Suvaha_BO!A:F,6,0)),0,VLOOKUP(73,Suvaha_BO!A:F,6,0))</f>
        <v>0</v>
      </c>
      <c r="F21" s="14">
        <f>IF(ISERROR(VLOOKUP(83,Suvaha_BO!A:F,6,0)),0,VLOOKUP(83,Suvaha_BO!A:F,6,0))</f>
        <v>0</v>
      </c>
      <c r="G21" s="14">
        <f>IF(ISERROR(VLOOKUP(92,Suvaha_BO!A:F,6,0)),0,VLOOKUP(92,Suvaha_BO!A:F,6,0))</f>
        <v>0</v>
      </c>
      <c r="H21" s="14">
        <f>IF(ISERROR(VLOOKUP(102,Suvaha_BO!A:F,6,0)),0,VLOOKUP(102,Suvaha_BO!A:F,6,0))</f>
        <v>0</v>
      </c>
      <c r="I21" s="14">
        <f>B21+C21+D21+E21+F21+G21+H21</f>
        <v>0</v>
      </c>
    </row>
    <row r="22" spans="1:9" ht="15.95" customHeight="1">
      <c r="A22" s="4" t="s">
        <v>389</v>
      </c>
      <c r="B22" s="14">
        <f>IF(ISERROR(VLOOKUP(43,Suvaha_BO!A:F,5,0)),0,VLOOKUP(43,Suvaha_BO!A:F,5,0))</f>
        <v>0</v>
      </c>
      <c r="C22" s="14">
        <f>IF(ISERROR(VLOOKUP(53,Suvaha_BO!A:F,5,0)),0,VLOOKUP(53,Suvaha_BO!A:F,5,0))</f>
        <v>0</v>
      </c>
      <c r="D22" s="14">
        <f>IF(ISERROR(VLOOKUP(63,Suvaha_BO!A:F,5,0)),0,VLOOKUP(63,Suvaha_BO!A:F,5,0))</f>
        <v>0</v>
      </c>
      <c r="E22" s="14">
        <f>IF(ISERROR(VLOOKUP(73,Suvaha_BO!A:F,5,0)),0,VLOOKUP(73,Suvaha_BO!A:F,5,0))</f>
        <v>0</v>
      </c>
      <c r="F22" s="14">
        <f>IF(ISERROR(VLOOKUP(83,Suvaha_BO!A:F,5,0)),0,VLOOKUP(83,Suvaha_BO!A:F,5,0))</f>
        <v>0</v>
      </c>
      <c r="G22" s="14">
        <f>IF(ISERROR(VLOOKUP(92,Suvaha_BO!A:F,5,0)),0,VLOOKUP(92,Suvaha_BO!A:F,5,0))</f>
        <v>0</v>
      </c>
      <c r="H22" s="14">
        <f>IF(ISERROR(VLOOKUP(102,Suvaha_BO!A:F,5,0)),0,VLOOKUP(102,Suvaha_BO!A:F,5,0))</f>
        <v>0</v>
      </c>
      <c r="I22" s="14">
        <f>B22+C22+D22+E22+F22+G22+H22</f>
        <v>0</v>
      </c>
    </row>
    <row r="23" spans="1:9" ht="26.1" customHeight="1">
      <c r="A23" s="5" t="s">
        <v>1095</v>
      </c>
      <c r="B23" s="14">
        <f t="shared" ref="B23:H23" si="1">B20+B21-B22</f>
        <v>0</v>
      </c>
      <c r="C23" s="14">
        <f t="shared" si="1"/>
        <v>0</v>
      </c>
      <c r="D23" s="14">
        <f t="shared" si="1"/>
        <v>0</v>
      </c>
      <c r="E23" s="14">
        <f t="shared" si="1"/>
        <v>0</v>
      </c>
      <c r="F23" s="14">
        <f t="shared" si="1"/>
        <v>0</v>
      </c>
      <c r="G23" s="14">
        <f t="shared" si="1"/>
        <v>0</v>
      </c>
      <c r="H23" s="14">
        <f t="shared" si="1"/>
        <v>0</v>
      </c>
      <c r="I23" s="14">
        <f>B23+C23+D23+E23+F23+G23+H23</f>
        <v>0</v>
      </c>
    </row>
    <row r="24" spans="1:9" ht="15.95" customHeight="1">
      <c r="A24" s="4" t="s">
        <v>851</v>
      </c>
      <c r="B24" s="149"/>
      <c r="C24" s="149"/>
      <c r="D24" s="149"/>
      <c r="E24" s="149"/>
      <c r="F24" s="149"/>
      <c r="G24" s="149"/>
      <c r="H24" s="149"/>
      <c r="I24" s="149"/>
    </row>
    <row r="25" spans="1:9" ht="26.1" customHeight="1">
      <c r="A25" s="5" t="s">
        <v>314</v>
      </c>
      <c r="B25" s="14">
        <f t="shared" ref="B25:H25" si="2">B9-B15-B20</f>
        <v>0</v>
      </c>
      <c r="C25" s="14">
        <f t="shared" si="2"/>
        <v>4197</v>
      </c>
      <c r="D25" s="14">
        <f t="shared" si="2"/>
        <v>0</v>
      </c>
      <c r="E25" s="14">
        <f t="shared" si="2"/>
        <v>0</v>
      </c>
      <c r="F25" s="14">
        <f t="shared" si="2"/>
        <v>0</v>
      </c>
      <c r="G25" s="14">
        <f t="shared" si="2"/>
        <v>0</v>
      </c>
      <c r="H25" s="14">
        <f t="shared" si="2"/>
        <v>0</v>
      </c>
      <c r="I25" s="14">
        <f>B25+C25+D25+E25+F25+G25+H25</f>
        <v>4197</v>
      </c>
    </row>
    <row r="26" spans="1:9" ht="26.1" customHeight="1">
      <c r="A26" s="5" t="s">
        <v>1095</v>
      </c>
      <c r="B26" s="14">
        <f t="shared" ref="B26:H26" si="3">B13-B18-B23</f>
        <v>0</v>
      </c>
      <c r="C26" s="14">
        <f t="shared" si="3"/>
        <v>0</v>
      </c>
      <c r="D26" s="14">
        <f t="shared" si="3"/>
        <v>0</v>
      </c>
      <c r="E26" s="14">
        <f t="shared" si="3"/>
        <v>0</v>
      </c>
      <c r="F26" s="14">
        <f t="shared" si="3"/>
        <v>261</v>
      </c>
      <c r="G26" s="14">
        <f t="shared" si="3"/>
        <v>0</v>
      </c>
      <c r="H26" s="14">
        <f t="shared" si="3"/>
        <v>0</v>
      </c>
      <c r="I26" s="14">
        <f>B26+C26+D26+E26+F26+G26+H26</f>
        <v>261</v>
      </c>
    </row>
    <row r="41" spans="1:9">
      <c r="I41" s="100" t="s">
        <v>1284</v>
      </c>
    </row>
    <row r="43" spans="1:9">
      <c r="A43" s="223" t="s">
        <v>247</v>
      </c>
      <c r="B43" s="222" t="s">
        <v>339</v>
      </c>
      <c r="C43" s="222"/>
      <c r="D43" s="222"/>
      <c r="E43" s="222"/>
      <c r="F43" s="222"/>
      <c r="G43" s="222"/>
      <c r="H43" s="222"/>
      <c r="I43" s="222"/>
    </row>
    <row r="44" spans="1:9" ht="36">
      <c r="A44" s="224"/>
      <c r="B44" s="7" t="s">
        <v>150</v>
      </c>
      <c r="C44" s="7" t="s">
        <v>386</v>
      </c>
      <c r="D44" s="7" t="s">
        <v>197</v>
      </c>
      <c r="E44" s="7" t="s">
        <v>274</v>
      </c>
      <c r="F44" s="7" t="s">
        <v>183</v>
      </c>
      <c r="G44" s="7" t="s">
        <v>127</v>
      </c>
      <c r="H44" s="7" t="s">
        <v>350</v>
      </c>
      <c r="I44" s="7" t="s">
        <v>427</v>
      </c>
    </row>
    <row r="45" spans="1:9">
      <c r="A45" s="51" t="s">
        <v>832</v>
      </c>
      <c r="B45" s="51" t="s">
        <v>36</v>
      </c>
      <c r="C45" s="51" t="s">
        <v>647</v>
      </c>
      <c r="D45" s="51" t="s">
        <v>236</v>
      </c>
      <c r="E45" s="51" t="s">
        <v>741</v>
      </c>
      <c r="F45" s="51" t="s">
        <v>139</v>
      </c>
      <c r="G45" s="51" t="s">
        <v>618</v>
      </c>
      <c r="H45" s="51" t="s">
        <v>107</v>
      </c>
      <c r="I45" s="51" t="s">
        <v>639</v>
      </c>
    </row>
    <row r="46" spans="1:9">
      <c r="A46" s="50" t="s">
        <v>347</v>
      </c>
      <c r="B46" s="178"/>
      <c r="C46" s="178"/>
      <c r="D46" s="178"/>
      <c r="E46" s="178"/>
      <c r="F46" s="178"/>
      <c r="G46" s="178"/>
      <c r="H46" s="178"/>
      <c r="I46" s="178"/>
    </row>
    <row r="47" spans="1:9" ht="24.75">
      <c r="A47" s="5" t="s">
        <v>314</v>
      </c>
      <c r="B47" s="14">
        <f>IF(ISERROR(VLOOKUP(41,Suvaha_PO!A:F,4,0)),0,VLOOKUP(41,Suvaha_PO!A:F,4,0))</f>
        <v>0</v>
      </c>
      <c r="C47" s="14">
        <v>29691</v>
      </c>
      <c r="D47" s="14">
        <f>IF(ISERROR(VLOOKUP(61,Suvaha_PO!A:F,4,0)),0,VLOOKUP(61,Suvaha_PO!A:F,4,0))</f>
        <v>0</v>
      </c>
      <c r="E47" s="14">
        <f>IF(ISERROR(VLOOKUP(71,Suvaha_PO!A:F,4,0)),0,VLOOKUP(71,Suvaha_PO!A:F,4,0))</f>
        <v>0</v>
      </c>
      <c r="F47" s="14">
        <f>IF(ISERROR(VLOOKUP(81,Suvaha_PO!A:F,4,0)),0,VLOOKUP(81,Suvaha_PO!A:F,4,0))</f>
        <v>0</v>
      </c>
      <c r="G47" s="14">
        <f>IF(ISERROR(VLOOKUP(91,Suvaha_PO!A:F,4,0)),0,VLOOKUP(91,Suvaha_PO!A:F,4,0))</f>
        <v>0</v>
      </c>
      <c r="H47" s="14">
        <f>IF(ISERROR(VLOOKUP(101,Suvaha_PO!A:F,4,0)),0,VLOOKUP(101,Suvaha_PO!A:F,4,0))</f>
        <v>0</v>
      </c>
      <c r="I47" s="14">
        <f>B47+C47+D47+E47+F47+G47+H47</f>
        <v>29691</v>
      </c>
    </row>
    <row r="48" spans="1:9">
      <c r="A48" s="4" t="s">
        <v>147</v>
      </c>
      <c r="B48" s="14">
        <f>IF(ISERROR(VLOOKUP(41,Suvaha_PO!A:F,5,0)),0,VLOOKUP(41,Suvaha_PO!A:F,5,0))</f>
        <v>0</v>
      </c>
      <c r="C48" s="14">
        <v>0</v>
      </c>
      <c r="D48" s="14">
        <f>IF(ISERROR(VLOOKUP(61,Suvaha_PO!A:F,5,0)),0,VLOOKUP(61,Suvaha_PO!A:F,5,0))</f>
        <v>0</v>
      </c>
      <c r="E48" s="14">
        <f>IF(ISERROR(VLOOKUP(71,Suvaha_PO!A:F,5,0)),0,VLOOKUP(71,Suvaha_PO!A:F,5,0))</f>
        <v>0</v>
      </c>
      <c r="F48" s="14">
        <f>IF(ISERROR(VLOOKUP(81,Suvaha_PO!A:F,5,0)),0,VLOOKUP(81,Suvaha_PO!A:F,5,0))</f>
        <v>0</v>
      </c>
      <c r="G48" s="14">
        <f>IF(ISERROR(VLOOKUP(91,Suvaha_PO!A:F,5,0)),0,VLOOKUP(91,Suvaha_PO!A:F,5,0))</f>
        <v>0</v>
      </c>
      <c r="H48" s="14">
        <f>IF(ISERROR(VLOOKUP(101,Suvaha_PO!A:F,5,0)),0,VLOOKUP(101,Suvaha_PO!A:F,5,0))</f>
        <v>0</v>
      </c>
      <c r="I48" s="14">
        <f>B48+C48+D48+E48+F48+G48+H48</f>
        <v>0</v>
      </c>
    </row>
    <row r="49" spans="1:9">
      <c r="A49" s="4" t="s">
        <v>389</v>
      </c>
      <c r="B49" s="14">
        <f>IF(ISERROR(VLOOKUP(41,Suvaha_PO!A:F,6,0)),0,VLOOKUP(41,Suvaha_PO!A:F,6,0))</f>
        <v>0</v>
      </c>
      <c r="C49" s="14">
        <f>IF(ISERROR(VLOOKUP(51,Suvaha_PO!A:F,6,0)),0,VLOOKUP(51,Suvaha_PO!A:F,6,0))</f>
        <v>0</v>
      </c>
      <c r="D49" s="14">
        <f>IF(ISERROR(VLOOKUP(61,Suvaha_PO!A:F,6,0)),0,VLOOKUP(61,Suvaha_PO!A:F,6,0))</f>
        <v>0</v>
      </c>
      <c r="E49" s="14">
        <f>IF(ISERROR(VLOOKUP(71,Suvaha_PO!A:F,6,0)),0,VLOOKUP(71,Suvaha_PO!A:F,6,0))</f>
        <v>0</v>
      </c>
      <c r="F49" s="14">
        <f>IF(ISERROR(VLOOKUP(81,Suvaha_PO!A:F,6,0)),0,VLOOKUP(81,Suvaha_PO!A:F,6,0))</f>
        <v>0</v>
      </c>
      <c r="G49" s="14">
        <f>IF(ISERROR(VLOOKUP(91,Suvaha_PO!A:F,6,0)),0,VLOOKUP(91,Suvaha_PO!A:F,6,0))</f>
        <v>0</v>
      </c>
      <c r="H49" s="14">
        <f>IF(ISERROR(VLOOKUP(101,Suvaha_PO!A:F,6,0)),0,VLOOKUP(101,Suvaha_PO!A:F,6,0))</f>
        <v>0</v>
      </c>
      <c r="I49" s="14">
        <f>B49+C49+D49+E49+F49+G49+H49</f>
        <v>0</v>
      </c>
    </row>
    <row r="50" spans="1:9">
      <c r="A50" s="4" t="s">
        <v>822</v>
      </c>
      <c r="B50" s="14"/>
      <c r="C50" s="14"/>
      <c r="D50" s="14"/>
      <c r="E50" s="14"/>
      <c r="F50" s="14"/>
      <c r="G50" s="14"/>
      <c r="H50" s="14"/>
      <c r="I50" s="14">
        <f>B50+C50+D50+E50+F50+G50+H50</f>
        <v>0</v>
      </c>
    </row>
    <row r="51" spans="1:9" ht="24.75">
      <c r="A51" s="5" t="s">
        <v>1095</v>
      </c>
      <c r="B51" s="14">
        <f t="shared" ref="B51:H51" si="4">B47+B48-B49-B50</f>
        <v>0</v>
      </c>
      <c r="C51" s="14">
        <f t="shared" si="4"/>
        <v>29691</v>
      </c>
      <c r="D51" s="14">
        <f t="shared" si="4"/>
        <v>0</v>
      </c>
      <c r="E51" s="14">
        <f t="shared" si="4"/>
        <v>0</v>
      </c>
      <c r="F51" s="14">
        <f t="shared" si="4"/>
        <v>0</v>
      </c>
      <c r="G51" s="14">
        <f t="shared" si="4"/>
        <v>0</v>
      </c>
      <c r="H51" s="14">
        <f t="shared" si="4"/>
        <v>0</v>
      </c>
      <c r="I51" s="14">
        <f>B51+C51+D51+E51+F51+G51+H51</f>
        <v>29691</v>
      </c>
    </row>
    <row r="52" spans="1:9">
      <c r="A52" s="4" t="s">
        <v>241</v>
      </c>
      <c r="B52" s="149"/>
      <c r="C52" s="149"/>
      <c r="D52" s="149"/>
      <c r="E52" s="149"/>
      <c r="F52" s="149"/>
      <c r="G52" s="149"/>
      <c r="H52" s="149"/>
      <c r="I52" s="149"/>
    </row>
    <row r="53" spans="1:9" ht="24.75">
      <c r="A53" s="5" t="s">
        <v>314</v>
      </c>
      <c r="B53" s="14">
        <f>IF(ISERROR(VLOOKUP(42,Suvaha_PO!A:F,4,0)),0,VLOOKUP(42,Suvaha_PO!A:F,4,0))</f>
        <v>0</v>
      </c>
      <c r="C53" s="14">
        <v>19862</v>
      </c>
      <c r="D53" s="14">
        <f>IF(ISERROR(VLOOKUP(62,Suvaha_PO!A:F,4,0)),0,VLOOKUP(62,Suvaha_PO!A:F,4,0))</f>
        <v>0</v>
      </c>
      <c r="E53" s="14">
        <f>IF(ISERROR(VLOOKUP(72,Suvaha_PO!A:F,4,0)),0,VLOOKUP(72,Suvaha_PO!A:F,4,0))</f>
        <v>0</v>
      </c>
      <c r="F53" s="14">
        <f>IF(ISERROR(VLOOKUP(82,Suvaha_PO!A:F,4,0)),0,VLOOKUP(82,Suvaha_PO!A:F,4,0))</f>
        <v>0</v>
      </c>
      <c r="G53" s="14"/>
      <c r="H53" s="14"/>
      <c r="I53" s="14">
        <f>B53+C53+D53+E53+F53+G53+H53</f>
        <v>19862</v>
      </c>
    </row>
    <row r="54" spans="1:9">
      <c r="A54" s="4" t="s">
        <v>147</v>
      </c>
      <c r="B54" s="14">
        <f>IF(ISERROR(VLOOKUP(42,Suvaha_PO!A:F,6,0)),0,VLOOKUP(42,Suvaha_PO!A:F,6,0))</f>
        <v>0</v>
      </c>
      <c r="C54" s="14">
        <v>5632</v>
      </c>
      <c r="D54" s="14">
        <f>IF(ISERROR(VLOOKUP(62,Suvaha_PO!A:F,6,0)),0,VLOOKUP(62,Suvaha_PO!A:F,6,0))</f>
        <v>0</v>
      </c>
      <c r="E54" s="14">
        <f>IF(ISERROR(VLOOKUP(72,Suvaha_PO!A:F,6,0)),0,VLOOKUP(72,Suvaha_PO!A:F,6,0))</f>
        <v>0</v>
      </c>
      <c r="F54" s="14">
        <f>IF(ISERROR(VLOOKUP(82,Suvaha_PO!A:F,6,0)),0,VLOOKUP(82,Suvaha_PO!A:F,6,0))</f>
        <v>0</v>
      </c>
      <c r="G54" s="14"/>
      <c r="H54" s="14"/>
      <c r="I54" s="14">
        <f>B54+C54+D54+E54+F54+G54+H54</f>
        <v>5632</v>
      </c>
    </row>
    <row r="55" spans="1:9">
      <c r="A55" s="4" t="s">
        <v>389</v>
      </c>
      <c r="B55" s="14">
        <f>IF(ISERROR(VLOOKUP(42,Suvaha_PO!A:F,5,0)),0,VLOOKUP(42,Suvaha_PO!A:F,5,0))</f>
        <v>0</v>
      </c>
      <c r="C55" s="14">
        <f>IF(ISERROR(VLOOKUP(52,Suvaha_PO!A:F,5,0)),0,VLOOKUP(52,Suvaha_PO!A:F,5,0))</f>
        <v>0</v>
      </c>
      <c r="D55" s="14">
        <f>IF(ISERROR(VLOOKUP(62,Suvaha_PO!A:F,5,0)),0,VLOOKUP(62,Suvaha_PO!A:F,5,0))</f>
        <v>0</v>
      </c>
      <c r="E55" s="14">
        <f>IF(ISERROR(VLOOKUP(72,Suvaha_PO!A:F,5,0)),0,VLOOKUP(72,Suvaha_PO!A:F,5,0))</f>
        <v>0</v>
      </c>
      <c r="F55" s="14">
        <f>IF(ISERROR(VLOOKUP(82,Suvaha_PO!A:F,5,0)),0,VLOOKUP(82,Suvaha_PO!A:F,5,0))</f>
        <v>0</v>
      </c>
      <c r="G55" s="14"/>
      <c r="H55" s="14"/>
      <c r="I55" s="14">
        <f>B55+C55+D55+E55+F55+G55+H55</f>
        <v>0</v>
      </c>
    </row>
    <row r="56" spans="1:9" ht="24.75">
      <c r="A56" s="5" t="s">
        <v>1095</v>
      </c>
      <c r="B56" s="14">
        <f>B53+B54-B55</f>
        <v>0</v>
      </c>
      <c r="C56" s="14">
        <f>C53+C54-C55</f>
        <v>25494</v>
      </c>
      <c r="D56" s="14">
        <f>D53+D54-D55</f>
        <v>0</v>
      </c>
      <c r="E56" s="14">
        <f>E53+E54-E55</f>
        <v>0</v>
      </c>
      <c r="F56" s="14">
        <f>F53+F54-F55</f>
        <v>0</v>
      </c>
      <c r="G56" s="14"/>
      <c r="H56" s="14"/>
      <c r="I56" s="14">
        <f>B56+C56+D56+E56+F56+G56+H56</f>
        <v>25494</v>
      </c>
    </row>
    <row r="57" spans="1:9">
      <c r="A57" s="4" t="s">
        <v>1057</v>
      </c>
      <c r="B57" s="149"/>
      <c r="C57" s="149"/>
      <c r="D57" s="149"/>
      <c r="E57" s="149"/>
      <c r="F57" s="149"/>
      <c r="G57" s="149"/>
      <c r="H57" s="149"/>
      <c r="I57" s="149"/>
    </row>
    <row r="58" spans="1:9" ht="24.75">
      <c r="A58" s="5" t="s">
        <v>314</v>
      </c>
      <c r="B58" s="14">
        <f>IF(ISERROR(VLOOKUP(43,Suvaha_PO!A:F,4,0)),0,VLOOKUP(43,Suvaha_PO!A:F,4,0))</f>
        <v>0</v>
      </c>
      <c r="C58" s="14">
        <f>IF(ISERROR(VLOOKUP(53,Suvaha_PO!A:F,4,0)),0,VLOOKUP(53,Suvaha_PO!A:F,4,0))</f>
        <v>0</v>
      </c>
      <c r="D58" s="14">
        <f>IF(ISERROR(VLOOKUP(63,Suvaha_PO!A:F,4,0)),0,VLOOKUP(63,Suvaha_PO!A:F,4,0))</f>
        <v>0</v>
      </c>
      <c r="E58" s="14">
        <f>IF(ISERROR(VLOOKUP(73,Suvaha_PO!A:F,4,0)),0,VLOOKUP(73,Suvaha_PO!A:F,4,0))</f>
        <v>0</v>
      </c>
      <c r="F58" s="14">
        <f>IF(ISERROR(VLOOKUP(83,Suvaha_PO!A:F,4,0)),0,VLOOKUP(83,Suvaha_PO!A:F,4,0))</f>
        <v>0</v>
      </c>
      <c r="G58" s="14">
        <f>IF(ISERROR(VLOOKUP(92,Suvaha_PO!A:F,4,0)),0,VLOOKUP(92,Suvaha_PO!A:F,4,0))</f>
        <v>0</v>
      </c>
      <c r="H58" s="14">
        <f>IF(ISERROR(VLOOKUP(102,Suvaha_PO!A:F,4,0)),0,VLOOKUP(102,Suvaha_PO!A:F,4,0))</f>
        <v>0</v>
      </c>
      <c r="I58" s="14">
        <f>B58+C58+D58+E58+F58+G58+H58</f>
        <v>0</v>
      </c>
    </row>
    <row r="59" spans="1:9">
      <c r="A59" s="4" t="s">
        <v>147</v>
      </c>
      <c r="B59" s="14">
        <f>IF(ISERROR(VLOOKUP(43,Suvaha_PO!A:F,6,0)),0,VLOOKUP(43,Suvaha_PO!A:F,6,0))</f>
        <v>0</v>
      </c>
      <c r="C59" s="14">
        <f>IF(ISERROR(VLOOKUP(53,Suvaha_PO!A:F,6,0)),0,VLOOKUP(53,Suvaha_PO!A:F,6,0))</f>
        <v>0</v>
      </c>
      <c r="D59" s="14">
        <f>IF(ISERROR(VLOOKUP(63,Suvaha_PO!A:F,6,0)),0,VLOOKUP(63,Suvaha_PO!A:F,6,0))</f>
        <v>0</v>
      </c>
      <c r="E59" s="14">
        <f>IF(ISERROR(VLOOKUP(73,Suvaha_PO!A:F,6,0)),0,VLOOKUP(73,Suvaha_PO!A:F,6,0))</f>
        <v>0</v>
      </c>
      <c r="F59" s="14">
        <f>IF(ISERROR(VLOOKUP(83,Suvaha_PO!A:F,6,0)),0,VLOOKUP(83,Suvaha_PO!A:F,6,0))</f>
        <v>0</v>
      </c>
      <c r="G59" s="14">
        <f>IF(ISERROR(VLOOKUP(92,Suvaha_PO!A:F,6,0)),0,VLOOKUP(92,Suvaha_PO!A:F,6,0))</f>
        <v>0</v>
      </c>
      <c r="H59" s="14">
        <f>IF(ISERROR(VLOOKUP(102,Suvaha_PO!A:F,6,0)),0,VLOOKUP(102,Suvaha_PO!A:F,6,0))</f>
        <v>0</v>
      </c>
      <c r="I59" s="14">
        <f>B59+C59+D59+E59+F59+G59+H59</f>
        <v>0</v>
      </c>
    </row>
    <row r="60" spans="1:9">
      <c r="A60" s="4" t="s">
        <v>389</v>
      </c>
      <c r="B60" s="14">
        <f>IF(ISERROR(VLOOKUP(43,Suvaha_PO!A:F,5,0)),0,VLOOKUP(43,Suvaha_PO!A:F,5,0))</f>
        <v>0</v>
      </c>
      <c r="C60" s="14">
        <f>IF(ISERROR(VLOOKUP(53,Suvaha_PO!A:F,5,0)),0,VLOOKUP(53,Suvaha_PO!A:F,5,0))</f>
        <v>0</v>
      </c>
      <c r="D60" s="14">
        <f>IF(ISERROR(VLOOKUP(63,Suvaha_PO!A:F,5,0)),0,VLOOKUP(63,Suvaha_PO!A:F,5,0))</f>
        <v>0</v>
      </c>
      <c r="E60" s="14">
        <f>IF(ISERROR(VLOOKUP(73,Suvaha_PO!A:F,5,0)),0,VLOOKUP(73,Suvaha_PO!A:F,5,0))</f>
        <v>0</v>
      </c>
      <c r="F60" s="14">
        <f>IF(ISERROR(VLOOKUP(83,Suvaha_PO!A:F,5,0)),0,VLOOKUP(83,Suvaha_PO!A:F,5,0))</f>
        <v>0</v>
      </c>
      <c r="G60" s="14">
        <f>IF(ISERROR(VLOOKUP(92,Suvaha_PO!A:F,5,0)),0,VLOOKUP(92,Suvaha_PO!A:F,5,0))</f>
        <v>0</v>
      </c>
      <c r="H60" s="14">
        <f>IF(ISERROR(VLOOKUP(102,Suvaha_PO!A:F,5,0)),0,VLOOKUP(102,Suvaha_PO!A:F,5,0))</f>
        <v>0</v>
      </c>
      <c r="I60" s="14">
        <f>B60+C60+D60+E60+F60+G60+H60</f>
        <v>0</v>
      </c>
    </row>
    <row r="61" spans="1:9" ht="24.75">
      <c r="A61" s="5" t="s">
        <v>1095</v>
      </c>
      <c r="B61" s="14">
        <f t="shared" ref="B61:H61" si="5">B58+B59-B60</f>
        <v>0</v>
      </c>
      <c r="C61" s="14">
        <f t="shared" si="5"/>
        <v>0</v>
      </c>
      <c r="D61" s="14">
        <f t="shared" si="5"/>
        <v>0</v>
      </c>
      <c r="E61" s="14">
        <f t="shared" si="5"/>
        <v>0</v>
      </c>
      <c r="F61" s="14">
        <f t="shared" si="5"/>
        <v>0</v>
      </c>
      <c r="G61" s="14">
        <f t="shared" si="5"/>
        <v>0</v>
      </c>
      <c r="H61" s="14">
        <f t="shared" si="5"/>
        <v>0</v>
      </c>
      <c r="I61" s="14">
        <f>B61+C61+D61+E61+F61+G61+H61</f>
        <v>0</v>
      </c>
    </row>
    <row r="62" spans="1:9">
      <c r="A62" s="4" t="s">
        <v>851</v>
      </c>
      <c r="B62" s="149"/>
      <c r="C62" s="149"/>
      <c r="D62" s="149"/>
      <c r="E62" s="149"/>
      <c r="F62" s="149"/>
      <c r="G62" s="149"/>
      <c r="H62" s="149"/>
      <c r="I62" s="149"/>
    </row>
    <row r="63" spans="1:9" ht="24.75">
      <c r="A63" s="5" t="s">
        <v>314</v>
      </c>
      <c r="B63" s="14">
        <f t="shared" ref="B63:H63" si="6">B47-B53-B58</f>
        <v>0</v>
      </c>
      <c r="C63" s="14">
        <f t="shared" si="6"/>
        <v>9829</v>
      </c>
      <c r="D63" s="14">
        <f t="shared" si="6"/>
        <v>0</v>
      </c>
      <c r="E63" s="14">
        <f t="shared" si="6"/>
        <v>0</v>
      </c>
      <c r="F63" s="14">
        <f t="shared" si="6"/>
        <v>0</v>
      </c>
      <c r="G63" s="14">
        <f t="shared" si="6"/>
        <v>0</v>
      </c>
      <c r="H63" s="14">
        <f t="shared" si="6"/>
        <v>0</v>
      </c>
      <c r="I63" s="14">
        <f>B63+C63+D63+E63+F63+G63+H63</f>
        <v>9829</v>
      </c>
    </row>
    <row r="64" spans="1:9" ht="24.75">
      <c r="A64" s="5" t="s">
        <v>1095</v>
      </c>
      <c r="B64" s="14">
        <f t="shared" ref="B64:H64" si="7">B51-B56-B61</f>
        <v>0</v>
      </c>
      <c r="C64" s="14">
        <f t="shared" si="7"/>
        <v>4197</v>
      </c>
      <c r="D64" s="14">
        <f t="shared" si="7"/>
        <v>0</v>
      </c>
      <c r="E64" s="14">
        <f t="shared" si="7"/>
        <v>0</v>
      </c>
      <c r="F64" s="14">
        <f t="shared" si="7"/>
        <v>0</v>
      </c>
      <c r="G64" s="14">
        <f t="shared" si="7"/>
        <v>0</v>
      </c>
      <c r="H64" s="14">
        <f t="shared" si="7"/>
        <v>0</v>
      </c>
      <c r="I64" s="14">
        <f>B64+C64+D64+E64+F64+G64+H64</f>
        <v>4197</v>
      </c>
    </row>
    <row r="68" ht="15" customHeight="1"/>
    <row r="69" ht="15" customHeight="1"/>
    <row r="70" ht="15" customHeight="1"/>
    <row r="84" spans="9:9">
      <c r="I84" s="100" t="s">
        <v>1285</v>
      </c>
    </row>
  </sheetData>
  <mergeCells count="12">
    <mergeCell ref="B57:I57"/>
    <mergeCell ref="B62:I62"/>
    <mergeCell ref="A43:A44"/>
    <mergeCell ref="B43:I43"/>
    <mergeCell ref="B46:I46"/>
    <mergeCell ref="B52:I52"/>
    <mergeCell ref="B24:I24"/>
    <mergeCell ref="B5:I5"/>
    <mergeCell ref="A5:A6"/>
    <mergeCell ref="B8:I8"/>
    <mergeCell ref="B14:I14"/>
    <mergeCell ref="B19:I19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81"/>
  <sheetViews>
    <sheetView workbookViewId="0">
      <selection activeCell="G17" sqref="G17"/>
    </sheetView>
  </sheetViews>
  <sheetFormatPr defaultRowHeight="15"/>
  <cols>
    <col min="1" max="1" width="16" style="11" customWidth="1"/>
    <col min="2" max="10" width="7.85546875" style="11" customWidth="1"/>
    <col min="11" max="18" width="9.140625" style="8" customWidth="1"/>
    <col min="19" max="16384" width="9.140625" style="11"/>
  </cols>
  <sheetData>
    <row r="1" spans="1:18">
      <c r="B1" s="3"/>
    </row>
    <row r="2" spans="1:18" ht="15.75">
      <c r="A2" s="12" t="s">
        <v>1027</v>
      </c>
    </row>
    <row r="4" spans="1:18" s="2" customFormat="1">
      <c r="A4" s="223" t="s">
        <v>180</v>
      </c>
      <c r="B4" s="222" t="s">
        <v>319</v>
      </c>
      <c r="C4" s="222"/>
      <c r="D4" s="222"/>
      <c r="E4" s="222"/>
      <c r="F4" s="222"/>
      <c r="G4" s="222"/>
      <c r="H4" s="222"/>
      <c r="I4" s="222"/>
      <c r="J4" s="222"/>
      <c r="K4" s="9"/>
      <c r="L4" s="9"/>
      <c r="M4" s="9"/>
      <c r="N4" s="9"/>
      <c r="O4" s="9"/>
      <c r="P4" s="9"/>
      <c r="Q4" s="9"/>
      <c r="R4" s="9"/>
    </row>
    <row r="5" spans="1:18" s="1" customFormat="1" ht="74.25" customHeight="1">
      <c r="A5" s="224"/>
      <c r="B5" s="7" t="s">
        <v>429</v>
      </c>
      <c r="C5" s="7" t="s">
        <v>234</v>
      </c>
      <c r="D5" s="7" t="s">
        <v>170</v>
      </c>
      <c r="E5" s="7" t="s">
        <v>135</v>
      </c>
      <c r="F5" s="7" t="s">
        <v>685</v>
      </c>
      <c r="G5" s="7" t="s">
        <v>716</v>
      </c>
      <c r="H5" s="7" t="s">
        <v>689</v>
      </c>
      <c r="I5" s="7" t="s">
        <v>606</v>
      </c>
      <c r="J5" s="7" t="s">
        <v>427</v>
      </c>
      <c r="K5" s="10"/>
      <c r="L5" s="10"/>
      <c r="M5" s="10"/>
      <c r="N5" s="10"/>
      <c r="O5" s="10"/>
      <c r="P5" s="10"/>
      <c r="Q5" s="10"/>
      <c r="R5" s="10"/>
    </row>
    <row r="6" spans="1:18">
      <c r="A6" s="51" t="s">
        <v>832</v>
      </c>
      <c r="B6" s="51" t="s">
        <v>36</v>
      </c>
      <c r="C6" s="51" t="s">
        <v>647</v>
      </c>
      <c r="D6" s="51" t="s">
        <v>236</v>
      </c>
      <c r="E6" s="51" t="s">
        <v>741</v>
      </c>
      <c r="F6" s="51" t="s">
        <v>139</v>
      </c>
      <c r="G6" s="51" t="s">
        <v>618</v>
      </c>
      <c r="H6" s="51" t="s">
        <v>107</v>
      </c>
      <c r="I6" s="51" t="s">
        <v>639</v>
      </c>
      <c r="J6" s="51" t="s">
        <v>238</v>
      </c>
    </row>
    <row r="7" spans="1:18" ht="15.95" customHeight="1">
      <c r="A7" s="50" t="s">
        <v>347</v>
      </c>
      <c r="B7" s="178"/>
      <c r="C7" s="178"/>
      <c r="D7" s="178"/>
      <c r="E7" s="178"/>
      <c r="F7" s="178"/>
      <c r="G7" s="178"/>
      <c r="H7" s="178"/>
      <c r="I7" s="178"/>
      <c r="J7" s="178"/>
    </row>
    <row r="8" spans="1:18" ht="26.1" customHeight="1">
      <c r="A8" s="5" t="s">
        <v>314</v>
      </c>
      <c r="B8" s="14">
        <f>IF(ISERROR(VLOOKUP(121,Suvaha_BO!A:F,4,0)),0,VLOOKUP(121,Suvaha_BO!A:F,4,0))</f>
        <v>0</v>
      </c>
      <c r="C8" s="14">
        <v>85381</v>
      </c>
      <c r="D8" s="14">
        <v>50680</v>
      </c>
      <c r="E8" s="14">
        <f>IF(ISERROR(VLOOKUP(151,Suvaha_BO!A:F,4,0)),0,VLOOKUP(151,Suvaha_BO!A:F,4,0))</f>
        <v>0</v>
      </c>
      <c r="F8" s="14">
        <f>IF(ISERROR(VLOOKUP(161,Suvaha_BO!A:F,4,0)),0,VLOOKUP(161,Suvaha_BO!A:F,4,0))</f>
        <v>0</v>
      </c>
      <c r="G8" s="14">
        <v>26427</v>
      </c>
      <c r="H8" s="14">
        <f>IF(ISERROR(VLOOKUP(181,Suvaha_BO!A:F,4,0)),0,VLOOKUP(181,Suvaha_BO!A:F,4,0))</f>
        <v>0</v>
      </c>
      <c r="I8" s="14">
        <f>IF(ISERROR(VLOOKUP(191,Suvaha_BO!A:F,4,0)),0,VLOOKUP(191,Suvaha_BO!A:F,4,0))</f>
        <v>0</v>
      </c>
      <c r="J8" s="14">
        <f>B8+C8+D8+E8+F8+G8+H8+I8</f>
        <v>162488</v>
      </c>
    </row>
    <row r="9" spans="1:18" ht="15.95" customHeight="1">
      <c r="A9" s="4" t="s">
        <v>147</v>
      </c>
      <c r="B9" s="14">
        <f>IF(ISERROR(VLOOKUP(121,Suvaha_BO!A:F,5,0)),0,VLOOKUP(121,Suvaha_BO!A:F,5,0))</f>
        <v>0</v>
      </c>
      <c r="C9" s="14">
        <f>IF(ISERROR(VLOOKUP(131,Suvaha_BO!A:F,5,0)),0,VLOOKUP(131,Suvaha_BO!A:F,5,0))</f>
        <v>0</v>
      </c>
      <c r="D9" s="14"/>
      <c r="E9" s="14">
        <f>IF(ISERROR(VLOOKUP(151,Suvaha_BO!A:F,5,0)),0,VLOOKUP(151,Suvaha_BO!A:F,5,0))</f>
        <v>0</v>
      </c>
      <c r="F9" s="14">
        <f>IF(ISERROR(VLOOKUP(161,Suvaha_BO!A:F,5,0)),0,VLOOKUP(161,Suvaha_BO!A:F,5,0))</f>
        <v>0</v>
      </c>
      <c r="G9" s="14">
        <v>490</v>
      </c>
      <c r="H9" s="14">
        <v>2599</v>
      </c>
      <c r="I9" s="14">
        <f>IF(ISERROR(VLOOKUP(191,Suvaha_BO!A:F,5,0)),0,VLOOKUP(191,Suvaha_BO!A:F,5,0))</f>
        <v>0</v>
      </c>
      <c r="J9" s="14">
        <f>B9+C9+D9+E9+F9+G9+H9+I9</f>
        <v>3089</v>
      </c>
    </row>
    <row r="10" spans="1:18" ht="15.95" customHeight="1">
      <c r="A10" s="4" t="s">
        <v>389</v>
      </c>
      <c r="B10" s="14">
        <f>IF(ISERROR(VLOOKUP(121,Suvaha_BO!A:F,6,0)),0,VLOOKUP(121,Suvaha_BO!A:F,6,0))</f>
        <v>0</v>
      </c>
      <c r="C10" s="14"/>
      <c r="D10" s="14">
        <v>11514</v>
      </c>
      <c r="E10" s="14">
        <f>IF(ISERROR(VLOOKUP(151,Suvaha_BO!A:F,6,0)),0,VLOOKUP(151,Suvaha_BO!A:F,6,0))</f>
        <v>0</v>
      </c>
      <c r="F10" s="14">
        <f>IF(ISERROR(VLOOKUP(161,Suvaha_BO!A:F,6,0)),0,VLOOKUP(161,Suvaha_BO!A:F,6,0))</f>
        <v>0</v>
      </c>
      <c r="G10" s="14">
        <v>9844</v>
      </c>
      <c r="H10" s="14">
        <v>2599</v>
      </c>
      <c r="I10" s="14">
        <f>IF(ISERROR(VLOOKUP(191,Suvaha_BO!A:F,6,0)),0,VLOOKUP(191,Suvaha_BO!A:F,6,0))</f>
        <v>0</v>
      </c>
      <c r="J10" s="14">
        <f>B10+C10+D10+E10+F10+G10+H10+I10</f>
        <v>23957</v>
      </c>
    </row>
    <row r="11" spans="1:18" ht="15.95" customHeight="1">
      <c r="A11" s="4" t="s">
        <v>822</v>
      </c>
      <c r="B11" s="14"/>
      <c r="C11" s="14"/>
      <c r="D11" s="14"/>
      <c r="E11" s="14"/>
      <c r="F11" s="14"/>
      <c r="G11" s="14"/>
      <c r="H11" s="14"/>
      <c r="I11" s="14"/>
      <c r="J11" s="14">
        <f>B11+C11+D11+E11+F11+G11+H11+I11</f>
        <v>0</v>
      </c>
    </row>
    <row r="12" spans="1:18" ht="26.1" customHeight="1">
      <c r="A12" s="5" t="s">
        <v>1095</v>
      </c>
      <c r="B12" s="14">
        <f t="shared" ref="B12:I12" si="0">B8+B9-B10-B11</f>
        <v>0</v>
      </c>
      <c r="C12" s="14">
        <f t="shared" si="0"/>
        <v>85381</v>
      </c>
      <c r="D12" s="14">
        <f t="shared" si="0"/>
        <v>39166</v>
      </c>
      <c r="E12" s="14">
        <f t="shared" si="0"/>
        <v>0</v>
      </c>
      <c r="F12" s="14">
        <f t="shared" si="0"/>
        <v>0</v>
      </c>
      <c r="G12" s="14">
        <f t="shared" si="0"/>
        <v>17073</v>
      </c>
      <c r="H12" s="14">
        <f t="shared" si="0"/>
        <v>0</v>
      </c>
      <c r="I12" s="14">
        <f t="shared" si="0"/>
        <v>0</v>
      </c>
      <c r="J12" s="14">
        <f>B12+C12+D12+E12+F12+G12+H12+I12</f>
        <v>141620</v>
      </c>
    </row>
    <row r="13" spans="1:18" ht="15.95" customHeight="1">
      <c r="A13" s="4" t="s">
        <v>241</v>
      </c>
      <c r="B13" s="149"/>
      <c r="C13" s="149"/>
      <c r="D13" s="149"/>
      <c r="E13" s="149"/>
      <c r="F13" s="149"/>
      <c r="G13" s="149"/>
      <c r="H13" s="149"/>
      <c r="I13" s="149"/>
      <c r="J13" s="149"/>
    </row>
    <row r="14" spans="1:18" ht="26.1" customHeight="1">
      <c r="A14" s="5" t="s">
        <v>314</v>
      </c>
      <c r="B14" s="14"/>
      <c r="C14" s="14">
        <v>21349</v>
      </c>
      <c r="D14" s="14">
        <v>18074</v>
      </c>
      <c r="E14" s="14">
        <f>IF(ISERROR(VLOOKUP(152,Suvaha_BO!A:F,4,0)),0,VLOOKUP(152,Suvaha_BO!A:F,4,0))</f>
        <v>0</v>
      </c>
      <c r="F14" s="14">
        <f>IF(ISERROR(VLOOKUP(162,Suvaha_BO!A:F,4,0)),0,VLOOKUP(162,Suvaha_BO!A:F,4,0))</f>
        <v>0</v>
      </c>
      <c r="G14" s="14">
        <v>21662</v>
      </c>
      <c r="H14" s="14"/>
      <c r="I14" s="14"/>
      <c r="J14" s="14">
        <f>B14+C14+D14+E14+F14+G14+H14+I14</f>
        <v>61085</v>
      </c>
    </row>
    <row r="15" spans="1:18" ht="15.95" customHeight="1">
      <c r="A15" s="4" t="s">
        <v>147</v>
      </c>
      <c r="B15" s="14"/>
      <c r="C15" s="14">
        <f>IF(ISERROR(VLOOKUP(132,Suvaha_BO!A:F,6,0)),0,VLOOKUP(132,Suvaha_BO!A:F,6,0))</f>
        <v>4270</v>
      </c>
      <c r="D15" s="14">
        <v>3875</v>
      </c>
      <c r="E15" s="14">
        <f>IF(ISERROR(VLOOKUP(152,Suvaha_BO!A:F,6,0)),0,VLOOKUP(152,Suvaha_BO!A:F,6,0))</f>
        <v>0</v>
      </c>
      <c r="F15" s="14">
        <f>IF(ISERROR(VLOOKUP(162,Suvaha_BO!A:F,6,0)),0,VLOOKUP(162,Suvaha_BO!A:F,6,0))</f>
        <v>0</v>
      </c>
      <c r="G15" s="14">
        <v>4179</v>
      </c>
      <c r="H15" s="14"/>
      <c r="I15" s="14"/>
      <c r="J15" s="14">
        <f>B15+C15+D15+E15+F15+G15+H15+I15</f>
        <v>12324</v>
      </c>
    </row>
    <row r="16" spans="1:18" s="8" customFormat="1" ht="15.95" customHeight="1">
      <c r="A16" s="4" t="s">
        <v>389</v>
      </c>
      <c r="B16" s="14"/>
      <c r="C16" s="14">
        <f>IF(ISERROR(VLOOKUP(132,Suvaha_BO!A:F,5,0)),0,VLOOKUP(132,Suvaha_BO!A:F,5,0))</f>
        <v>0</v>
      </c>
      <c r="D16" s="14">
        <v>11514</v>
      </c>
      <c r="E16" s="14">
        <f>IF(ISERROR(VLOOKUP(152,Suvaha_BO!A:F,5,0)),0,VLOOKUP(152,Suvaha_BO!A:F,5,0))</f>
        <v>0</v>
      </c>
      <c r="F16" s="14">
        <f>IF(ISERROR(VLOOKUP(162,Suvaha_BO!A:F,5,0)),0,VLOOKUP(162,Suvaha_BO!A:F,5,0))</f>
        <v>0</v>
      </c>
      <c r="G16" s="14">
        <v>9844</v>
      </c>
      <c r="H16" s="14"/>
      <c r="I16" s="14"/>
      <c r="J16" s="14">
        <f>B16+C16+D16+E16+F16+G16+H16+I16</f>
        <v>21358</v>
      </c>
    </row>
    <row r="17" spans="1:10" s="8" customFormat="1" ht="26.1" customHeight="1">
      <c r="A17" s="5" t="s">
        <v>1095</v>
      </c>
      <c r="B17" s="14"/>
      <c r="C17" s="14">
        <f>C14+C15-C16</f>
        <v>25619</v>
      </c>
      <c r="D17" s="14">
        <f>D14+D15-D16</f>
        <v>10435</v>
      </c>
      <c r="E17" s="14">
        <f>E14+E15-E16</f>
        <v>0</v>
      </c>
      <c r="F17" s="14">
        <f>F14+F15-F16</f>
        <v>0</v>
      </c>
      <c r="G17" s="14">
        <f>G14+G15-G16</f>
        <v>15997</v>
      </c>
      <c r="H17" s="14"/>
      <c r="I17" s="14"/>
      <c r="J17" s="14">
        <f>B17+C17+D17+E17+F17+G17+H17+I17</f>
        <v>52051</v>
      </c>
    </row>
    <row r="18" spans="1:10" s="8" customFormat="1" ht="15.95" customHeight="1">
      <c r="A18" s="4" t="s">
        <v>1057</v>
      </c>
      <c r="B18" s="149"/>
      <c r="C18" s="149"/>
      <c r="D18" s="149"/>
      <c r="E18" s="149"/>
      <c r="F18" s="149"/>
      <c r="G18" s="149"/>
      <c r="H18" s="149"/>
      <c r="I18" s="149"/>
      <c r="J18" s="149"/>
    </row>
    <row r="19" spans="1:10" s="8" customFormat="1" ht="26.1" customHeight="1">
      <c r="A19" s="5" t="s">
        <v>314</v>
      </c>
      <c r="B19" s="14">
        <f>IF(ISERROR(VLOOKUP(122,Suvaha_BO!A:F,4,0)),0,VLOOKUP(122,Suvaha_BO!A:F,4,0))</f>
        <v>0</v>
      </c>
      <c r="C19" s="14">
        <f>IF(ISERROR(VLOOKUP(133,Suvaha_BO!A:F,4,0)),0,VLOOKUP(133,Suvaha_BO!A:F,4,0))</f>
        <v>0</v>
      </c>
      <c r="D19" s="14">
        <f>IF(ISERROR(VLOOKUP(143,Suvaha_BO!A:F,4,0)),0,VLOOKUP(143,Suvaha_BO!A:F,4,0))</f>
        <v>0</v>
      </c>
      <c r="E19" s="14">
        <f>IF(ISERROR(VLOOKUP(153,Suvaha_BO!A:F,4,0)),0,VLOOKUP(153,Suvaha_BO!A:F,4,0))</f>
        <v>0</v>
      </c>
      <c r="F19" s="14">
        <f>IF(ISERROR(VLOOKUP(163,Suvaha_BO!A:F,4,0)),0,VLOOKUP(163,Suvaha_BO!A:F,4,0))</f>
        <v>0</v>
      </c>
      <c r="G19" s="14">
        <f>IF(ISERROR(VLOOKUP(174,Suvaha_BO!A:F,4,0)),0,VLOOKUP(174,Suvaha_BO!A:F,4,0))</f>
        <v>0</v>
      </c>
      <c r="H19" s="14">
        <f>IF(ISERROR(VLOOKUP(182,Suvaha_BO!A:F,4,0)),0,VLOOKUP(182,Suvaha_BO!A:F,4,0))</f>
        <v>0</v>
      </c>
      <c r="I19" s="14">
        <f>IF(ISERROR(VLOOKUP(192,Suvaha_BO!A:F,4,0)),0,VLOOKUP(192,Suvaha_BO!A:F,4,0))</f>
        <v>0</v>
      </c>
      <c r="J19" s="14">
        <f>B19+C19+D19+E19+F19+G19+H19+I19</f>
        <v>0</v>
      </c>
    </row>
    <row r="20" spans="1:10" s="8" customFormat="1" ht="15.95" customHeight="1">
      <c r="A20" s="4" t="s">
        <v>147</v>
      </c>
      <c r="B20" s="14">
        <f>IF(ISERROR(VLOOKUP(122,Suvaha_BO!A:F,6,0)),0,VLOOKUP(122,Suvaha_BO!A:F,6,0))</f>
        <v>0</v>
      </c>
      <c r="C20" s="14">
        <f>IF(ISERROR(VLOOKUP(133,Suvaha_BO!A:F,6,0)),0,VLOOKUP(133,Suvaha_BO!A:F,6,0))</f>
        <v>0</v>
      </c>
      <c r="D20" s="14">
        <f>IF(ISERROR(VLOOKUP(143,Suvaha_BO!A:F,6,0)),0,VLOOKUP(143,Suvaha_BO!A:F,6,0))</f>
        <v>0</v>
      </c>
      <c r="E20" s="14">
        <f>IF(ISERROR(VLOOKUP(153,Suvaha_BO!A:F,6,0)),0,VLOOKUP(153,Suvaha_BO!A:F,6,0))</f>
        <v>0</v>
      </c>
      <c r="F20" s="14">
        <f>IF(ISERROR(VLOOKUP(163,Suvaha_BO!A:F,6,0)),0,VLOOKUP(163,Suvaha_BO!A:F,6,0))</f>
        <v>0</v>
      </c>
      <c r="G20" s="14">
        <f>IF(ISERROR(VLOOKUP(174,Suvaha_BO!A:F,6,0)),0,VLOOKUP(174,Suvaha_BO!A:F,6,0))</f>
        <v>0</v>
      </c>
      <c r="H20" s="14">
        <f>IF(ISERROR(VLOOKUP(182,Suvaha_BO!A:F,6,0)),0,VLOOKUP(182,Suvaha_BO!A:F,6,0))</f>
        <v>0</v>
      </c>
      <c r="I20" s="14">
        <f>IF(ISERROR(VLOOKUP(192,Suvaha_BO!A:F,6,0)),0,VLOOKUP(192,Suvaha_BO!A:F,6,0))</f>
        <v>0</v>
      </c>
      <c r="J20" s="14">
        <f>B20+C20+D20+E20+F20+G20+H20+I20</f>
        <v>0</v>
      </c>
    </row>
    <row r="21" spans="1:10" s="8" customFormat="1" ht="15.95" customHeight="1">
      <c r="A21" s="4" t="s">
        <v>389</v>
      </c>
      <c r="B21" s="14">
        <f>IF(ISERROR(VLOOKUP(122,Suvaha_BO!A:F,5,0)),0,VLOOKUP(122,Suvaha_BO!A:F,5,0))</f>
        <v>0</v>
      </c>
      <c r="C21" s="14">
        <f>IF(ISERROR(VLOOKUP(133,Suvaha_BO!A:F,5,0)),0,VLOOKUP(133,Suvaha_BO!A:F,5,0))</f>
        <v>0</v>
      </c>
      <c r="D21" s="14">
        <f>IF(ISERROR(VLOOKUP(143,Suvaha_BO!A:F,5,0)),0,VLOOKUP(143,Suvaha_BO!A:F,5,0))</f>
        <v>0</v>
      </c>
      <c r="E21" s="14">
        <f>IF(ISERROR(VLOOKUP(153,Suvaha_BO!A:F,5,0)),0,VLOOKUP(153,Suvaha_BO!A:F,5,0))</f>
        <v>0</v>
      </c>
      <c r="F21" s="14">
        <f>IF(ISERROR(VLOOKUP(163,Suvaha_BO!A:F,5,0)),0,VLOOKUP(163,Suvaha_BO!A:F,5,0))</f>
        <v>0</v>
      </c>
      <c r="G21" s="14">
        <f>IF(ISERROR(VLOOKUP(174,Suvaha_BO!A:F,5,0)),0,VLOOKUP(174,Suvaha_BO!A:F,5,0))</f>
        <v>0</v>
      </c>
      <c r="H21" s="14">
        <f>IF(ISERROR(VLOOKUP(182,Suvaha_BO!A:F,5,0)),0,VLOOKUP(182,Suvaha_BO!A:F,5,0))</f>
        <v>0</v>
      </c>
      <c r="I21" s="14">
        <f>IF(ISERROR(VLOOKUP(192,Suvaha_BO!A:F,5,0)),0,VLOOKUP(192,Suvaha_BO!A:F,5,0))</f>
        <v>0</v>
      </c>
      <c r="J21" s="14">
        <f>B21+C21+D21+E21+F21+G21+H21+I21</f>
        <v>0</v>
      </c>
    </row>
    <row r="22" spans="1:10" s="8" customFormat="1" ht="26.1" customHeight="1">
      <c r="A22" s="5" t="s">
        <v>1095</v>
      </c>
      <c r="B22" s="14">
        <f t="shared" ref="B22:I22" si="1">B19+B20-B21</f>
        <v>0</v>
      </c>
      <c r="C22" s="14">
        <f t="shared" si="1"/>
        <v>0</v>
      </c>
      <c r="D22" s="14">
        <f t="shared" si="1"/>
        <v>0</v>
      </c>
      <c r="E22" s="14">
        <f t="shared" si="1"/>
        <v>0</v>
      </c>
      <c r="F22" s="14">
        <f t="shared" si="1"/>
        <v>0</v>
      </c>
      <c r="G22" s="14">
        <f t="shared" si="1"/>
        <v>0</v>
      </c>
      <c r="H22" s="14">
        <f t="shared" si="1"/>
        <v>0</v>
      </c>
      <c r="I22" s="14">
        <f t="shared" si="1"/>
        <v>0</v>
      </c>
      <c r="J22" s="14">
        <f>B22+C22+D22+E22+F22+G22+H22+I22</f>
        <v>0</v>
      </c>
    </row>
    <row r="23" spans="1:10" s="8" customFormat="1" ht="15.95" customHeight="1">
      <c r="A23" s="4" t="s">
        <v>851</v>
      </c>
      <c r="B23" s="149"/>
      <c r="C23" s="149"/>
      <c r="D23" s="149"/>
      <c r="E23" s="149"/>
      <c r="F23" s="149"/>
      <c r="G23" s="149"/>
      <c r="H23" s="149"/>
      <c r="I23" s="149"/>
      <c r="J23" s="149"/>
    </row>
    <row r="24" spans="1:10" s="8" customFormat="1" ht="26.1" customHeight="1">
      <c r="A24" s="5" t="s">
        <v>314</v>
      </c>
      <c r="B24" s="14">
        <f t="shared" ref="B24:I24" si="2">B8-B14-B19</f>
        <v>0</v>
      </c>
      <c r="C24" s="14">
        <f t="shared" si="2"/>
        <v>64032</v>
      </c>
      <c r="D24" s="14">
        <f t="shared" si="2"/>
        <v>32606</v>
      </c>
      <c r="E24" s="14">
        <f t="shared" si="2"/>
        <v>0</v>
      </c>
      <c r="F24" s="14">
        <f t="shared" si="2"/>
        <v>0</v>
      </c>
      <c r="G24" s="14">
        <f t="shared" si="2"/>
        <v>4765</v>
      </c>
      <c r="H24" s="14">
        <f t="shared" si="2"/>
        <v>0</v>
      </c>
      <c r="I24" s="14">
        <f t="shared" si="2"/>
        <v>0</v>
      </c>
      <c r="J24" s="14">
        <f>B24+C24+D24+E24+F24+G24+H24+I24</f>
        <v>101403</v>
      </c>
    </row>
    <row r="25" spans="1:10" s="8" customFormat="1" ht="26.1" customHeight="1">
      <c r="A25" s="5" t="s">
        <v>1095</v>
      </c>
      <c r="B25" s="14">
        <f t="shared" ref="B25:I25" si="3">B12-B17-B22</f>
        <v>0</v>
      </c>
      <c r="C25" s="14">
        <f t="shared" si="3"/>
        <v>59762</v>
      </c>
      <c r="D25" s="14">
        <f t="shared" si="3"/>
        <v>28731</v>
      </c>
      <c r="E25" s="14">
        <f t="shared" si="3"/>
        <v>0</v>
      </c>
      <c r="F25" s="14">
        <f t="shared" si="3"/>
        <v>0</v>
      </c>
      <c r="G25" s="14">
        <f t="shared" si="3"/>
        <v>1076</v>
      </c>
      <c r="H25" s="14">
        <f t="shared" si="3"/>
        <v>0</v>
      </c>
      <c r="I25" s="14">
        <f t="shared" si="3"/>
        <v>0</v>
      </c>
      <c r="J25" s="14">
        <f>B25+C25+D25+E25+F25+G25+H25+I25</f>
        <v>89569</v>
      </c>
    </row>
    <row r="39" spans="1:10">
      <c r="J39" s="100" t="s">
        <v>1286</v>
      </c>
    </row>
    <row r="41" spans="1:10">
      <c r="A41" s="223" t="s">
        <v>180</v>
      </c>
      <c r="B41" s="222" t="s">
        <v>339</v>
      </c>
      <c r="C41" s="222"/>
      <c r="D41" s="222"/>
      <c r="E41" s="222"/>
      <c r="F41" s="222"/>
      <c r="G41" s="222"/>
      <c r="H41" s="222"/>
      <c r="I41" s="222"/>
      <c r="J41" s="222"/>
    </row>
    <row r="42" spans="1:10" ht="72">
      <c r="A42" s="224"/>
      <c r="B42" s="7" t="s">
        <v>429</v>
      </c>
      <c r="C42" s="7" t="s">
        <v>234</v>
      </c>
      <c r="D42" s="7" t="s">
        <v>170</v>
      </c>
      <c r="E42" s="7" t="s">
        <v>135</v>
      </c>
      <c r="F42" s="7" t="s">
        <v>685</v>
      </c>
      <c r="G42" s="7" t="s">
        <v>716</v>
      </c>
      <c r="H42" s="7" t="s">
        <v>689</v>
      </c>
      <c r="I42" s="7" t="s">
        <v>606</v>
      </c>
      <c r="J42" s="7" t="s">
        <v>427</v>
      </c>
    </row>
    <row r="43" spans="1:10">
      <c r="A43" s="51" t="s">
        <v>832</v>
      </c>
      <c r="B43" s="51" t="s">
        <v>36</v>
      </c>
      <c r="C43" s="51" t="s">
        <v>647</v>
      </c>
      <c r="D43" s="51" t="s">
        <v>236</v>
      </c>
      <c r="E43" s="51" t="s">
        <v>741</v>
      </c>
      <c r="F43" s="51" t="s">
        <v>139</v>
      </c>
      <c r="G43" s="51" t="s">
        <v>618</v>
      </c>
      <c r="H43" s="51" t="s">
        <v>107</v>
      </c>
      <c r="I43" s="51" t="s">
        <v>639</v>
      </c>
      <c r="J43" s="51" t="s">
        <v>238</v>
      </c>
    </row>
    <row r="44" spans="1:10" ht="15" customHeight="1">
      <c r="A44" s="50" t="s">
        <v>347</v>
      </c>
      <c r="B44" s="178"/>
      <c r="C44" s="178"/>
      <c r="D44" s="178"/>
      <c r="E44" s="178"/>
      <c r="F44" s="178"/>
      <c r="G44" s="178"/>
      <c r="H44" s="178"/>
      <c r="I44" s="178"/>
      <c r="J44" s="178"/>
    </row>
    <row r="45" spans="1:10" ht="15" customHeight="1">
      <c r="A45" s="5" t="s">
        <v>314</v>
      </c>
      <c r="B45" s="14">
        <f>IF(ISERROR(VLOOKUP(121,Suvaha_PO!A:F,4,0)),0,VLOOKUP(121,Suvaha_PO!A:F,4,0))</f>
        <v>0</v>
      </c>
      <c r="C45" s="14">
        <v>85381</v>
      </c>
      <c r="D45" s="14">
        <v>67238</v>
      </c>
      <c r="E45" s="14">
        <f>IF(ISERROR(VLOOKUP(151,Suvaha_PO!A:F,4,0)),0,VLOOKUP(151,Suvaha_PO!A:F,4,0))</f>
        <v>0</v>
      </c>
      <c r="F45" s="14">
        <f>IF(ISERROR(VLOOKUP(161,Suvaha_PO!A:F,4,0)),0,VLOOKUP(161,Suvaha_PO!A:F,4,0))</f>
        <v>0</v>
      </c>
      <c r="G45" s="14">
        <v>24033</v>
      </c>
      <c r="H45" s="14">
        <f>IF(ISERROR(VLOOKUP(181,Suvaha_PO!A:F,4,0)),0,VLOOKUP(181,Suvaha_PO!A:F,4,0))</f>
        <v>0</v>
      </c>
      <c r="I45" s="14">
        <f>IF(ISERROR(VLOOKUP(191,Suvaha_PO!A:F,4,0)),0,VLOOKUP(191,Suvaha_PO!A:F,4,0))</f>
        <v>0</v>
      </c>
      <c r="J45" s="14">
        <f>B45+C45+D45+E45+F45+G45+H45+I45</f>
        <v>176652</v>
      </c>
    </row>
    <row r="46" spans="1:10" ht="15" customHeight="1">
      <c r="A46" s="4" t="s">
        <v>147</v>
      </c>
      <c r="B46" s="14">
        <f>IF(ISERROR(VLOOKUP(121,Suvaha_PO!A:F,5,0)),0,VLOOKUP(121,Suvaha_PO!A:F,5,0))</f>
        <v>0</v>
      </c>
      <c r="C46" s="14">
        <v>0</v>
      </c>
      <c r="D46" s="14">
        <v>29395</v>
      </c>
      <c r="E46" s="14">
        <f>IF(ISERROR(VLOOKUP(151,Suvaha_PO!A:F,5,0)),0,VLOOKUP(151,Suvaha_PO!A:F,5,0))</f>
        <v>0</v>
      </c>
      <c r="F46" s="14">
        <f>IF(ISERROR(VLOOKUP(161,Suvaha_PO!A:F,5,0)),0,VLOOKUP(161,Suvaha_PO!A:F,5,0))</f>
        <v>0</v>
      </c>
      <c r="G46" s="14">
        <v>4851</v>
      </c>
      <c r="H46" s="14">
        <v>37332</v>
      </c>
      <c r="I46" s="14">
        <f>IF(ISERROR(VLOOKUP(191,Suvaha_PO!A:F,5,0)),0,VLOOKUP(191,Suvaha_PO!A:F,5,0))</f>
        <v>0</v>
      </c>
      <c r="J46" s="14">
        <f>B46+C46+D46+E46+F46+G46+H46+I46</f>
        <v>71578</v>
      </c>
    </row>
    <row r="47" spans="1:10">
      <c r="A47" s="4" t="s">
        <v>389</v>
      </c>
      <c r="B47" s="14">
        <f>IF(ISERROR(VLOOKUP(121,Suvaha_PO!A:F,6,0)),0,VLOOKUP(121,Suvaha_PO!A:F,6,0))</f>
        <v>0</v>
      </c>
      <c r="C47" s="14">
        <v>0</v>
      </c>
      <c r="D47" s="14">
        <v>45952</v>
      </c>
      <c r="E47" s="14">
        <f>IF(ISERROR(VLOOKUP(151,Suvaha_PO!A:F,6,0)),0,VLOOKUP(151,Suvaha_PO!A:F,6,0))</f>
        <v>0</v>
      </c>
      <c r="F47" s="14">
        <f>IF(ISERROR(VLOOKUP(161,Suvaha_PO!A:F,6,0)),0,VLOOKUP(161,Suvaha_PO!A:F,6,0))</f>
        <v>0</v>
      </c>
      <c r="G47" s="14">
        <v>2457</v>
      </c>
      <c r="H47" s="14">
        <v>37332</v>
      </c>
      <c r="I47" s="14">
        <f>IF(ISERROR(VLOOKUP(191,Suvaha_PO!A:F,6,0)),0,VLOOKUP(191,Suvaha_PO!A:F,6,0))</f>
        <v>0</v>
      </c>
      <c r="J47" s="14">
        <f>B47+C47+D47+E47+F47+G47+H47+I47</f>
        <v>85741</v>
      </c>
    </row>
    <row r="48" spans="1:10">
      <c r="A48" s="4" t="s">
        <v>822</v>
      </c>
      <c r="B48" s="14"/>
      <c r="C48" s="14"/>
      <c r="D48" s="14">
        <v>1</v>
      </c>
      <c r="E48" s="14"/>
      <c r="F48" s="14"/>
      <c r="G48" s="14"/>
      <c r="H48" s="14"/>
      <c r="I48" s="14"/>
      <c r="J48" s="14">
        <v>1</v>
      </c>
    </row>
    <row r="49" spans="1:10" ht="24.75">
      <c r="A49" s="5" t="s">
        <v>1095</v>
      </c>
      <c r="B49" s="14">
        <f t="shared" ref="B49:I49" si="4">B45+B46-B47-B48</f>
        <v>0</v>
      </c>
      <c r="C49" s="14">
        <f t="shared" si="4"/>
        <v>85381</v>
      </c>
      <c r="D49" s="14">
        <f t="shared" si="4"/>
        <v>50680</v>
      </c>
      <c r="E49" s="14">
        <f t="shared" si="4"/>
        <v>0</v>
      </c>
      <c r="F49" s="14">
        <f t="shared" si="4"/>
        <v>0</v>
      </c>
      <c r="G49" s="14">
        <f t="shared" si="4"/>
        <v>26427</v>
      </c>
      <c r="H49" s="14">
        <f t="shared" si="4"/>
        <v>0</v>
      </c>
      <c r="I49" s="14">
        <f t="shared" si="4"/>
        <v>0</v>
      </c>
      <c r="J49" s="14">
        <f>B49+C49+D49+E49+F49+G49+H49+I49</f>
        <v>162488</v>
      </c>
    </row>
    <row r="50" spans="1:10">
      <c r="A50" s="4" t="s">
        <v>241</v>
      </c>
      <c r="B50" s="149"/>
      <c r="C50" s="149"/>
      <c r="D50" s="149"/>
      <c r="E50" s="149"/>
      <c r="F50" s="149"/>
      <c r="G50" s="149"/>
      <c r="H50" s="149"/>
      <c r="I50" s="149"/>
      <c r="J50" s="149"/>
    </row>
    <row r="51" spans="1:10" ht="24.75">
      <c r="A51" s="5" t="s">
        <v>314</v>
      </c>
      <c r="B51" s="14"/>
      <c r="C51" s="14">
        <v>17079</v>
      </c>
      <c r="D51" s="14">
        <v>60673</v>
      </c>
      <c r="E51" s="14">
        <f>IF(ISERROR(VLOOKUP(152,Suvaha_PO!A:F,4,0)),0,VLOOKUP(152,Suvaha_PO!A:F,4,0))</f>
        <v>0</v>
      </c>
      <c r="F51" s="14">
        <f>IF(ISERROR(VLOOKUP(162,Suvaha_PO!A:F,4,0)),0,VLOOKUP(162,Suvaha_PO!A:F,4,0))</f>
        <v>0</v>
      </c>
      <c r="G51" s="14">
        <v>19177</v>
      </c>
      <c r="H51" s="14"/>
      <c r="I51" s="14"/>
      <c r="J51" s="14">
        <f>B51+C51+D51+E51+F51+G51+H51+I51</f>
        <v>96929</v>
      </c>
    </row>
    <row r="52" spans="1:10">
      <c r="A52" s="4" t="s">
        <v>147</v>
      </c>
      <c r="B52" s="14"/>
      <c r="C52" s="14">
        <f>IF(ISERROR(VLOOKUP(132,Suvaha_PO!A:F,6,0)),0,VLOOKUP(132,Suvaha_PO!A:F,6,0))</f>
        <v>4270</v>
      </c>
      <c r="D52" s="14">
        <v>3353</v>
      </c>
      <c r="E52" s="14">
        <f>IF(ISERROR(VLOOKUP(152,Suvaha_PO!A:F,6,0)),0,VLOOKUP(152,Suvaha_PO!A:F,6,0))</f>
        <v>0</v>
      </c>
      <c r="F52" s="14">
        <f>IF(ISERROR(VLOOKUP(162,Suvaha_PO!A:F,6,0)),0,VLOOKUP(162,Suvaha_PO!A:F,6,0))</f>
        <v>0</v>
      </c>
      <c r="G52" s="14">
        <v>4942</v>
      </c>
      <c r="H52" s="14"/>
      <c r="I52" s="14"/>
      <c r="J52" s="14">
        <f>B52+C52+D52+E52+F52+G52+H52+I52</f>
        <v>12565</v>
      </c>
    </row>
    <row r="53" spans="1:10">
      <c r="A53" s="4" t="s">
        <v>389</v>
      </c>
      <c r="B53" s="14"/>
      <c r="C53" s="14">
        <f>IF(ISERROR(VLOOKUP(132,Suvaha_PO!A:F,5,0)),0,VLOOKUP(132,Suvaha_PO!A:F,5,0))</f>
        <v>0</v>
      </c>
      <c r="D53" s="14">
        <v>45952</v>
      </c>
      <c r="E53" s="14">
        <f>IF(ISERROR(VLOOKUP(152,Suvaha_PO!A:F,5,0)),0,VLOOKUP(152,Suvaha_PO!A:F,5,0))</f>
        <v>0</v>
      </c>
      <c r="F53" s="14">
        <f>IF(ISERROR(VLOOKUP(162,Suvaha_PO!A:F,5,0)),0,VLOOKUP(162,Suvaha_PO!A:F,5,0))</f>
        <v>0</v>
      </c>
      <c r="G53" s="14">
        <v>2457</v>
      </c>
      <c r="H53" s="14"/>
      <c r="I53" s="14"/>
      <c r="J53" s="14">
        <f>B53+C53+D53+E53+F53+G53+H53+I53</f>
        <v>48409</v>
      </c>
    </row>
    <row r="54" spans="1:10" ht="24.75">
      <c r="A54" s="5" t="s">
        <v>1095</v>
      </c>
      <c r="B54" s="14"/>
      <c r="C54" s="14">
        <f>C51+C52-C53</f>
        <v>21349</v>
      </c>
      <c r="D54" s="14">
        <f>D51+D52-D53</f>
        <v>18074</v>
      </c>
      <c r="E54" s="14">
        <f>E51+E52-E53</f>
        <v>0</v>
      </c>
      <c r="F54" s="14">
        <f>F51+F52-F53</f>
        <v>0</v>
      </c>
      <c r="G54" s="14">
        <f>G51+G52-G53</f>
        <v>21662</v>
      </c>
      <c r="H54" s="14"/>
      <c r="I54" s="14"/>
      <c r="J54" s="14">
        <f>B54+C54+D54+E54+F54+G54+H54+I54</f>
        <v>61085</v>
      </c>
    </row>
    <row r="55" spans="1:10">
      <c r="A55" s="4" t="s">
        <v>1057</v>
      </c>
      <c r="B55" s="149"/>
      <c r="C55" s="149"/>
      <c r="D55" s="149"/>
      <c r="E55" s="149"/>
      <c r="F55" s="149"/>
      <c r="G55" s="149"/>
      <c r="H55" s="149"/>
      <c r="I55" s="149"/>
      <c r="J55" s="149"/>
    </row>
    <row r="56" spans="1:10" ht="24.75">
      <c r="A56" s="5" t="s">
        <v>314</v>
      </c>
      <c r="B56" s="14">
        <f>IF(ISERROR(VLOOKUP(122,Suvaha_PO!A:F,4,0)),0,VLOOKUP(122,Suvaha_PO!A:F,4,0))</f>
        <v>0</v>
      </c>
      <c r="C56" s="14">
        <f>IF(ISERROR(VLOOKUP(133,Suvaha_PO!A:F,4,0)),0,VLOOKUP(133,Suvaha_PO!A:F,4,0))</f>
        <v>0</v>
      </c>
      <c r="D56" s="14">
        <f>IF(ISERROR(VLOOKUP(143,Suvaha_PO!A:F,4,0)),0,VLOOKUP(143,Suvaha_PO!A:F,4,0))</f>
        <v>0</v>
      </c>
      <c r="E56" s="14">
        <f>IF(ISERROR(VLOOKUP(153,Suvaha_PO!A:F,4,0)),0,VLOOKUP(153,Suvaha_PO!A:F,4,0))</f>
        <v>0</v>
      </c>
      <c r="F56" s="14">
        <f>IF(ISERROR(VLOOKUP(163,Suvaha_PO!A:F,4,0)),0,VLOOKUP(163,Suvaha_PO!A:F,4,0))</f>
        <v>0</v>
      </c>
      <c r="G56" s="14">
        <f>IF(ISERROR(VLOOKUP(174,Suvaha_PO!A:F,4,0)),0,VLOOKUP(174,Suvaha_PO!A:F,4,0))</f>
        <v>0</v>
      </c>
      <c r="H56" s="14">
        <f>IF(ISERROR(VLOOKUP(182,Suvaha_PO!A:F,4,0)),0,VLOOKUP(182,Suvaha_PO!A:F,4,0))</f>
        <v>0</v>
      </c>
      <c r="I56" s="14">
        <f>IF(ISERROR(VLOOKUP(192,Suvaha_PO!A:F,4,0)),0,VLOOKUP(192,Suvaha_PO!A:F,4,0))</f>
        <v>0</v>
      </c>
      <c r="J56" s="14">
        <f>B56+C56+D56+E56+F56+G56+H56+I56</f>
        <v>0</v>
      </c>
    </row>
    <row r="57" spans="1:10">
      <c r="A57" s="4" t="s">
        <v>147</v>
      </c>
      <c r="B57" s="14">
        <f>IF(ISERROR(VLOOKUP(122,Suvaha_PO!A:F,6,0)),0,VLOOKUP(122,Suvaha_PO!A:F,6,0))</f>
        <v>0</v>
      </c>
      <c r="C57" s="14">
        <f>IF(ISERROR(VLOOKUP(133,Suvaha_PO!A:F,6,0)),0,VLOOKUP(133,Suvaha_PO!A:F,6,0))</f>
        <v>0</v>
      </c>
      <c r="D57" s="14">
        <f>IF(ISERROR(VLOOKUP(143,Suvaha_PO!A:F,6,0)),0,VLOOKUP(143,Suvaha_PO!A:F,6,0))</f>
        <v>0</v>
      </c>
      <c r="E57" s="14">
        <f>IF(ISERROR(VLOOKUP(153,Suvaha_PO!A:F,6,0)),0,VLOOKUP(153,Suvaha_PO!A:F,6,0))</f>
        <v>0</v>
      </c>
      <c r="F57" s="14">
        <f>IF(ISERROR(VLOOKUP(163,Suvaha_PO!A:F,6,0)),0,VLOOKUP(163,Suvaha_PO!A:F,6,0))</f>
        <v>0</v>
      </c>
      <c r="G57" s="14">
        <f>IF(ISERROR(VLOOKUP(174,Suvaha_PO!A:F,6,0)),0,VLOOKUP(174,Suvaha_PO!A:F,6,0))</f>
        <v>0</v>
      </c>
      <c r="H57" s="14">
        <f>IF(ISERROR(VLOOKUP(182,Suvaha_PO!A:F,6,0)),0,VLOOKUP(182,Suvaha_PO!A:F,6,0))</f>
        <v>0</v>
      </c>
      <c r="I57" s="14">
        <f>IF(ISERROR(VLOOKUP(192,Suvaha_PO!A:F,6,0)),0,VLOOKUP(192,Suvaha_PO!A:F,6,0))</f>
        <v>0</v>
      </c>
      <c r="J57" s="14">
        <f>B57+C57+D57+E57+F57+G57+H57+I57</f>
        <v>0</v>
      </c>
    </row>
    <row r="58" spans="1:10">
      <c r="A58" s="4" t="s">
        <v>389</v>
      </c>
      <c r="B58" s="14">
        <f>IF(ISERROR(VLOOKUP(122,Suvaha_PO!A:F,5,0)),0,VLOOKUP(122,Suvaha_PO!A:F,5,0))</f>
        <v>0</v>
      </c>
      <c r="C58" s="14">
        <f>IF(ISERROR(VLOOKUP(133,Suvaha_PO!A:F,5,0)),0,VLOOKUP(133,Suvaha_PO!A:F,5,0))</f>
        <v>0</v>
      </c>
      <c r="D58" s="14">
        <f>IF(ISERROR(VLOOKUP(143,Suvaha_PO!A:F,5,0)),0,VLOOKUP(143,Suvaha_PO!A:F,5,0))</f>
        <v>0</v>
      </c>
      <c r="E58" s="14">
        <f>IF(ISERROR(VLOOKUP(153,Suvaha_PO!A:F,5,0)),0,VLOOKUP(153,Suvaha_PO!A:F,5,0))</f>
        <v>0</v>
      </c>
      <c r="F58" s="14">
        <f>IF(ISERROR(VLOOKUP(163,Suvaha_PO!A:F,5,0)),0,VLOOKUP(163,Suvaha_PO!A:F,5,0))</f>
        <v>0</v>
      </c>
      <c r="G58" s="14">
        <f>IF(ISERROR(VLOOKUP(174,Suvaha_PO!A:F,5,0)),0,VLOOKUP(174,Suvaha_PO!A:F,5,0))</f>
        <v>0</v>
      </c>
      <c r="H58" s="14">
        <f>IF(ISERROR(VLOOKUP(182,Suvaha_PO!A:F,5,0)),0,VLOOKUP(182,Suvaha_PO!A:F,5,0))</f>
        <v>0</v>
      </c>
      <c r="I58" s="14">
        <f>IF(ISERROR(VLOOKUP(192,Suvaha_PO!A:F,5,0)),0,VLOOKUP(192,Suvaha_PO!A:F,5,0))</f>
        <v>0</v>
      </c>
      <c r="J58" s="14">
        <f>B58+C58+D58+E58+F58+G58+H58+I58</f>
        <v>0</v>
      </c>
    </row>
    <row r="59" spans="1:10" ht="24.75">
      <c r="A59" s="5" t="s">
        <v>1095</v>
      </c>
      <c r="B59" s="14">
        <f t="shared" ref="B59:I59" si="5">B56+B57-B58</f>
        <v>0</v>
      </c>
      <c r="C59" s="14">
        <f t="shared" si="5"/>
        <v>0</v>
      </c>
      <c r="D59" s="14">
        <f t="shared" si="5"/>
        <v>0</v>
      </c>
      <c r="E59" s="14">
        <f t="shared" si="5"/>
        <v>0</v>
      </c>
      <c r="F59" s="14">
        <f t="shared" si="5"/>
        <v>0</v>
      </c>
      <c r="G59" s="14">
        <f t="shared" si="5"/>
        <v>0</v>
      </c>
      <c r="H59" s="14">
        <f t="shared" si="5"/>
        <v>0</v>
      </c>
      <c r="I59" s="14">
        <f t="shared" si="5"/>
        <v>0</v>
      </c>
      <c r="J59" s="14">
        <f>B59+C59+D59+E59+F59+G59+H59+I59</f>
        <v>0</v>
      </c>
    </row>
    <row r="60" spans="1:10">
      <c r="A60" s="4" t="s">
        <v>851</v>
      </c>
      <c r="B60" s="149"/>
      <c r="C60" s="149"/>
      <c r="D60" s="149"/>
      <c r="E60" s="149"/>
      <c r="F60" s="149"/>
      <c r="G60" s="149"/>
      <c r="H60" s="149"/>
      <c r="I60" s="149"/>
      <c r="J60" s="149"/>
    </row>
    <row r="61" spans="1:10" ht="24.75">
      <c r="A61" s="5" t="s">
        <v>314</v>
      </c>
      <c r="B61" s="14">
        <f t="shared" ref="B61:I61" si="6">B45-B51-B56</f>
        <v>0</v>
      </c>
      <c r="C61" s="14">
        <f t="shared" si="6"/>
        <v>68302</v>
      </c>
      <c r="D61" s="14">
        <f t="shared" si="6"/>
        <v>6565</v>
      </c>
      <c r="E61" s="14">
        <f t="shared" si="6"/>
        <v>0</v>
      </c>
      <c r="F61" s="14">
        <f t="shared" si="6"/>
        <v>0</v>
      </c>
      <c r="G61" s="14">
        <f t="shared" si="6"/>
        <v>4856</v>
      </c>
      <c r="H61" s="14">
        <f t="shared" si="6"/>
        <v>0</v>
      </c>
      <c r="I61" s="14">
        <f t="shared" si="6"/>
        <v>0</v>
      </c>
      <c r="J61" s="14">
        <f>B61+C61+D61+E61+F61+G61+H61+I61</f>
        <v>79723</v>
      </c>
    </row>
    <row r="62" spans="1:10" ht="24.75">
      <c r="A62" s="5" t="s">
        <v>1095</v>
      </c>
      <c r="B62" s="14">
        <f t="shared" ref="B62:I62" si="7">B49-B54-B59</f>
        <v>0</v>
      </c>
      <c r="C62" s="14">
        <f t="shared" si="7"/>
        <v>64032</v>
      </c>
      <c r="D62" s="14">
        <f t="shared" si="7"/>
        <v>32606</v>
      </c>
      <c r="E62" s="14">
        <f t="shared" si="7"/>
        <v>0</v>
      </c>
      <c r="F62" s="14">
        <f t="shared" si="7"/>
        <v>0</v>
      </c>
      <c r="G62" s="14">
        <f t="shared" si="7"/>
        <v>4765</v>
      </c>
      <c r="H62" s="14">
        <f t="shared" si="7"/>
        <v>0</v>
      </c>
      <c r="I62" s="14">
        <f t="shared" si="7"/>
        <v>0</v>
      </c>
      <c r="J62" s="14">
        <f>B62+C62+D62+E62+F62+G62+H62+I62</f>
        <v>101403</v>
      </c>
    </row>
    <row r="81" spans="10:10">
      <c r="J81" s="100" t="s">
        <v>1287</v>
      </c>
    </row>
  </sheetData>
  <mergeCells count="12">
    <mergeCell ref="B60:J60"/>
    <mergeCell ref="A4:A5"/>
    <mergeCell ref="B4:J4"/>
    <mergeCell ref="B7:J7"/>
    <mergeCell ref="B13:J13"/>
    <mergeCell ref="B18:J18"/>
    <mergeCell ref="B23:J23"/>
    <mergeCell ref="A41:A42"/>
    <mergeCell ref="B41:J41"/>
    <mergeCell ref="B44:J44"/>
    <mergeCell ref="B50:J50"/>
    <mergeCell ref="B55:J5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J70"/>
  <sheetViews>
    <sheetView workbookViewId="0">
      <selection activeCell="K76" sqref="K76"/>
    </sheetView>
  </sheetViews>
  <sheetFormatPr defaultRowHeight="15"/>
  <cols>
    <col min="1" max="10" width="8.28515625" customWidth="1"/>
  </cols>
  <sheetData>
    <row r="2" spans="1:10" ht="15.75">
      <c r="A2" s="12" t="s">
        <v>253</v>
      </c>
    </row>
    <row r="4" spans="1:10">
      <c r="A4" s="160" t="s">
        <v>50</v>
      </c>
      <c r="B4" s="225"/>
      <c r="C4" s="225"/>
      <c r="D4" s="226"/>
      <c r="E4" s="160" t="s">
        <v>930</v>
      </c>
      <c r="F4" s="225"/>
      <c r="G4" s="226"/>
      <c r="H4" s="160" t="s">
        <v>48</v>
      </c>
      <c r="I4" s="230"/>
      <c r="J4" s="231"/>
    </row>
    <row r="5" spans="1:10">
      <c r="A5" s="177"/>
      <c r="B5" s="177"/>
      <c r="C5" s="177"/>
      <c r="D5" s="177"/>
      <c r="E5" s="177"/>
      <c r="F5" s="177"/>
      <c r="G5" s="177"/>
      <c r="H5" s="177"/>
      <c r="I5" s="177"/>
      <c r="J5" s="177"/>
    </row>
    <row r="6" spans="1:10">
      <c r="A6" s="149"/>
      <c r="B6" s="149"/>
      <c r="C6" s="149"/>
      <c r="D6" s="149"/>
      <c r="E6" s="149"/>
      <c r="F6" s="149"/>
      <c r="G6" s="149"/>
      <c r="H6" s="149"/>
      <c r="I6" s="149"/>
      <c r="J6" s="149"/>
    </row>
    <row r="7" spans="1:10">
      <c r="A7" s="149"/>
      <c r="B7" s="149"/>
      <c r="C7" s="149"/>
      <c r="D7" s="149"/>
      <c r="E7" s="149"/>
      <c r="F7" s="149"/>
      <c r="G7" s="149"/>
      <c r="H7" s="149"/>
      <c r="I7" s="149"/>
      <c r="J7" s="149"/>
    </row>
    <row r="8" spans="1:10">
      <c r="A8" s="149"/>
      <c r="B8" s="149"/>
      <c r="C8" s="149"/>
      <c r="D8" s="149"/>
      <c r="E8" s="149"/>
      <c r="F8" s="149"/>
      <c r="G8" s="149"/>
      <c r="H8" s="149"/>
      <c r="I8" s="149"/>
      <c r="J8" s="149"/>
    </row>
    <row r="10" spans="1:10" ht="30" customHeight="1">
      <c r="A10" s="190" t="s">
        <v>426</v>
      </c>
      <c r="B10" s="191"/>
      <c r="C10" s="191"/>
      <c r="D10" s="191"/>
      <c r="E10" s="191"/>
      <c r="F10" s="191"/>
      <c r="G10" s="191"/>
      <c r="H10" s="191"/>
      <c r="I10" s="191"/>
      <c r="J10" s="191"/>
    </row>
    <row r="12" spans="1:10" ht="15" customHeight="1">
      <c r="A12" s="227" t="s">
        <v>247</v>
      </c>
      <c r="B12" s="228"/>
      <c r="C12" s="228"/>
      <c r="D12" s="228"/>
      <c r="E12" s="228"/>
      <c r="F12" s="227" t="s">
        <v>452</v>
      </c>
      <c r="G12" s="228"/>
      <c r="H12" s="228"/>
      <c r="I12" s="228"/>
      <c r="J12" s="228"/>
    </row>
    <row r="13" spans="1:10" ht="24.95" customHeight="1">
      <c r="A13" s="167" t="s">
        <v>81</v>
      </c>
      <c r="B13" s="229"/>
      <c r="C13" s="229"/>
      <c r="D13" s="229"/>
      <c r="E13" s="229"/>
      <c r="F13" s="177"/>
      <c r="G13" s="178"/>
      <c r="H13" s="178"/>
      <c r="I13" s="178"/>
      <c r="J13" s="178"/>
    </row>
    <row r="14" spans="1:10" ht="24.95" customHeight="1">
      <c r="A14" s="173" t="s">
        <v>1038</v>
      </c>
      <c r="B14" s="186"/>
      <c r="C14" s="186"/>
      <c r="D14" s="186"/>
      <c r="E14" s="186"/>
      <c r="F14" s="149"/>
      <c r="G14" s="150"/>
      <c r="H14" s="150"/>
      <c r="I14" s="150"/>
      <c r="J14" s="150"/>
    </row>
    <row r="16" spans="1:10" s="75" customFormat="1" ht="30" customHeight="1">
      <c r="A16" s="190" t="s">
        <v>126</v>
      </c>
      <c r="B16" s="191"/>
      <c r="C16" s="191"/>
      <c r="D16" s="191"/>
      <c r="E16" s="191"/>
      <c r="F16" s="191"/>
      <c r="G16" s="191"/>
      <c r="H16" s="191"/>
      <c r="I16" s="191"/>
      <c r="J16" s="191"/>
    </row>
    <row r="17" spans="1:10" s="75" customFormat="1"/>
    <row r="18" spans="1:10" ht="15" customHeight="1">
      <c r="A18" s="227" t="s">
        <v>180</v>
      </c>
      <c r="B18" s="228"/>
      <c r="C18" s="228"/>
      <c r="D18" s="228"/>
      <c r="E18" s="228"/>
      <c r="F18" s="227" t="s">
        <v>452</v>
      </c>
      <c r="G18" s="228"/>
      <c r="H18" s="228"/>
      <c r="I18" s="228"/>
      <c r="J18" s="228"/>
    </row>
    <row r="19" spans="1:10" ht="24.95" customHeight="1">
      <c r="A19" s="167" t="s">
        <v>189</v>
      </c>
      <c r="B19" s="229"/>
      <c r="C19" s="229"/>
      <c r="D19" s="229"/>
      <c r="E19" s="229"/>
      <c r="F19" s="177"/>
      <c r="G19" s="178"/>
      <c r="H19" s="178"/>
      <c r="I19" s="178"/>
      <c r="J19" s="178"/>
    </row>
    <row r="20" spans="1:10" ht="24.95" customHeight="1">
      <c r="A20" s="173" t="s">
        <v>248</v>
      </c>
      <c r="B20" s="186"/>
      <c r="C20" s="186"/>
      <c r="D20" s="186"/>
      <c r="E20" s="186"/>
      <c r="F20" s="149"/>
      <c r="G20" s="150"/>
      <c r="H20" s="150"/>
      <c r="I20" s="150"/>
      <c r="J20" s="150"/>
    </row>
    <row r="23" spans="1:10" ht="45" customHeight="1">
      <c r="A23" s="190" t="s">
        <v>725</v>
      </c>
      <c r="B23" s="191"/>
      <c r="C23" s="191"/>
      <c r="D23" s="191"/>
      <c r="E23" s="191"/>
      <c r="F23" s="191"/>
      <c r="G23" s="191"/>
      <c r="H23" s="191"/>
      <c r="I23" s="191"/>
      <c r="J23" s="191"/>
    </row>
    <row r="25" spans="1:10">
      <c r="A25" s="160" t="s">
        <v>210</v>
      </c>
      <c r="B25" s="161"/>
      <c r="C25" s="161"/>
      <c r="D25" s="161"/>
      <c r="E25" s="161"/>
      <c r="F25" s="162"/>
      <c r="G25" s="216" t="s">
        <v>452</v>
      </c>
      <c r="H25" s="216"/>
      <c r="I25" s="216"/>
      <c r="J25" s="216"/>
    </row>
    <row r="26" spans="1:10">
      <c r="A26" s="177"/>
      <c r="B26" s="177"/>
      <c r="C26" s="177"/>
      <c r="D26" s="177"/>
      <c r="E26" s="177"/>
      <c r="F26" s="177"/>
      <c r="G26" s="164"/>
      <c r="H26" s="165"/>
      <c r="I26" s="124"/>
      <c r="J26" s="125"/>
    </row>
    <row r="27" spans="1:10">
      <c r="A27" s="149"/>
      <c r="B27" s="149"/>
      <c r="C27" s="149"/>
      <c r="D27" s="149"/>
      <c r="E27" s="149"/>
      <c r="F27" s="149"/>
      <c r="G27" s="168"/>
      <c r="H27" s="174"/>
      <c r="I27" s="183"/>
      <c r="J27" s="169"/>
    </row>
    <row r="28" spans="1:10">
      <c r="A28" s="149"/>
      <c r="B28" s="149"/>
      <c r="C28" s="149"/>
      <c r="D28" s="149"/>
      <c r="E28" s="149"/>
      <c r="F28" s="149"/>
      <c r="G28" s="168"/>
      <c r="H28" s="174"/>
      <c r="I28" s="183"/>
      <c r="J28" s="169"/>
    </row>
    <row r="29" spans="1:10">
      <c r="A29" s="149"/>
      <c r="B29" s="149"/>
      <c r="C29" s="149"/>
      <c r="D29" s="149"/>
      <c r="E29" s="149"/>
      <c r="F29" s="149"/>
      <c r="G29" s="168"/>
      <c r="H29" s="174"/>
      <c r="I29" s="183"/>
      <c r="J29" s="169"/>
    </row>
    <row r="31" spans="1:10" ht="45" customHeight="1">
      <c r="A31" s="190" t="s">
        <v>1019</v>
      </c>
      <c r="B31" s="191"/>
      <c r="C31" s="191"/>
      <c r="D31" s="191"/>
      <c r="E31" s="191"/>
      <c r="F31" s="191"/>
      <c r="G31" s="191"/>
      <c r="H31" s="191"/>
      <c r="I31" s="191"/>
      <c r="J31" s="191"/>
    </row>
    <row r="32" spans="1:10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spans="1:10">
      <c r="A33" s="160" t="s">
        <v>210</v>
      </c>
      <c r="B33" s="225"/>
      <c r="C33" s="225"/>
      <c r="D33" s="225"/>
      <c r="E33" s="225"/>
      <c r="F33" s="226"/>
      <c r="G33" s="216" t="s">
        <v>452</v>
      </c>
      <c r="H33" s="216"/>
      <c r="I33" s="216"/>
      <c r="J33" s="216"/>
    </row>
    <row r="34" spans="1:10">
      <c r="A34" s="177"/>
      <c r="B34" s="177"/>
      <c r="C34" s="177"/>
      <c r="D34" s="177"/>
      <c r="E34" s="177"/>
      <c r="F34" s="177"/>
      <c r="G34" s="164"/>
      <c r="H34" s="165"/>
      <c r="I34" s="124"/>
      <c r="J34" s="125"/>
    </row>
    <row r="35" spans="1:10">
      <c r="A35" s="149"/>
      <c r="B35" s="149"/>
      <c r="C35" s="149"/>
      <c r="D35" s="149"/>
      <c r="E35" s="149"/>
      <c r="F35" s="149"/>
      <c r="G35" s="168"/>
      <c r="H35" s="174"/>
      <c r="I35" s="183"/>
      <c r="J35" s="169"/>
    </row>
    <row r="36" spans="1:10">
      <c r="A36" s="149"/>
      <c r="B36" s="149"/>
      <c r="C36" s="149"/>
      <c r="D36" s="149"/>
      <c r="E36" s="149"/>
      <c r="F36" s="149"/>
      <c r="G36" s="168"/>
      <c r="H36" s="174"/>
      <c r="I36" s="183"/>
      <c r="J36" s="169"/>
    </row>
    <row r="37" spans="1:10">
      <c r="A37" s="149"/>
      <c r="B37" s="149"/>
      <c r="C37" s="149"/>
      <c r="D37" s="149"/>
      <c r="E37" s="149"/>
      <c r="F37" s="149"/>
      <c r="G37" s="168"/>
      <c r="H37" s="174"/>
      <c r="I37" s="183"/>
      <c r="J37" s="169"/>
    </row>
    <row r="38" spans="1:10" s="11" customFormat="1">
      <c r="A38" s="46"/>
      <c r="B38" s="46"/>
      <c r="C38" s="46"/>
      <c r="D38" s="46"/>
      <c r="E38" s="46"/>
      <c r="F38" s="46"/>
      <c r="G38" s="46"/>
      <c r="H38" s="46"/>
      <c r="I38" s="42"/>
      <c r="J38" s="42"/>
    </row>
    <row r="39" spans="1:10" s="75" customFormat="1">
      <c r="A39" s="46"/>
      <c r="B39" s="46"/>
      <c r="C39" s="46"/>
      <c r="D39" s="46"/>
      <c r="E39" s="46"/>
      <c r="F39" s="46"/>
      <c r="G39" s="46"/>
      <c r="H39" s="46"/>
      <c r="I39" s="74"/>
      <c r="J39" s="74"/>
    </row>
    <row r="40" spans="1:10" s="75" customFormat="1">
      <c r="A40" s="46"/>
      <c r="B40" s="46"/>
      <c r="C40" s="46"/>
      <c r="D40" s="46"/>
      <c r="E40" s="46"/>
      <c r="F40" s="46"/>
      <c r="G40" s="46"/>
      <c r="H40" s="46"/>
      <c r="I40" s="74"/>
      <c r="J40" s="74"/>
    </row>
    <row r="41" spans="1:10" s="11" customFormat="1">
      <c r="A41" s="46"/>
      <c r="B41" s="46"/>
      <c r="C41" s="46"/>
      <c r="D41" s="46"/>
      <c r="E41" s="46"/>
      <c r="F41" s="46"/>
      <c r="G41" s="46"/>
      <c r="H41" s="46"/>
      <c r="I41" s="42"/>
      <c r="J41" s="42"/>
    </row>
    <row r="42" spans="1:10" s="11" customFormat="1">
      <c r="A42" s="46"/>
      <c r="B42" s="46"/>
      <c r="C42" s="46"/>
      <c r="D42" s="46"/>
      <c r="E42" s="46"/>
      <c r="F42" s="46"/>
      <c r="G42" s="46"/>
      <c r="H42" s="46"/>
      <c r="I42" s="42"/>
      <c r="J42" s="42"/>
    </row>
    <row r="43" spans="1:10" ht="15.75">
      <c r="A43" s="12" t="s">
        <v>592</v>
      </c>
      <c r="B43" s="11"/>
      <c r="C43" s="11"/>
      <c r="D43" s="11"/>
      <c r="E43" s="11"/>
      <c r="F43" s="11"/>
      <c r="G43" s="11"/>
      <c r="H43" s="11"/>
      <c r="I43" s="11"/>
      <c r="J43" s="11"/>
    </row>
    <row r="44" spans="1:10">
      <c r="A44" s="11"/>
      <c r="B44" s="11"/>
      <c r="C44" s="11"/>
      <c r="D44" s="11"/>
      <c r="E44" s="11"/>
      <c r="F44" s="11"/>
      <c r="G44" s="11"/>
      <c r="H44" s="11"/>
      <c r="I44" s="11"/>
      <c r="J44" s="11"/>
    </row>
    <row r="45" spans="1:10">
      <c r="A45" s="160" t="s">
        <v>459</v>
      </c>
      <c r="B45" s="225"/>
      <c r="C45" s="225"/>
      <c r="D45" s="226"/>
      <c r="E45" s="160" t="s">
        <v>452</v>
      </c>
      <c r="F45" s="225"/>
      <c r="G45" s="226"/>
      <c r="H45" s="160" t="s">
        <v>278</v>
      </c>
      <c r="I45" s="230"/>
      <c r="J45" s="231"/>
    </row>
    <row r="46" spans="1:10">
      <c r="A46" s="177"/>
      <c r="B46" s="177"/>
      <c r="C46" s="177"/>
      <c r="D46" s="177"/>
      <c r="E46" s="177"/>
      <c r="F46" s="177"/>
      <c r="G46" s="177"/>
      <c r="H46" s="177"/>
      <c r="I46" s="177"/>
      <c r="J46" s="177"/>
    </row>
    <row r="47" spans="1:10">
      <c r="A47" s="149"/>
      <c r="B47" s="149"/>
      <c r="C47" s="149"/>
      <c r="D47" s="149"/>
      <c r="E47" s="149"/>
      <c r="F47" s="149"/>
      <c r="G47" s="149"/>
      <c r="H47" s="149"/>
      <c r="I47" s="149"/>
      <c r="J47" s="149"/>
    </row>
    <row r="48" spans="1:10">
      <c r="A48" s="149"/>
      <c r="B48" s="149"/>
      <c r="C48" s="149"/>
      <c r="D48" s="149"/>
      <c r="E48" s="149"/>
      <c r="F48" s="149"/>
      <c r="G48" s="149"/>
      <c r="H48" s="149"/>
      <c r="I48" s="149"/>
      <c r="J48" s="149"/>
    </row>
    <row r="49" spans="1:10">
      <c r="A49" s="149"/>
      <c r="B49" s="149"/>
      <c r="C49" s="149"/>
      <c r="D49" s="149"/>
      <c r="E49" s="149"/>
      <c r="F49" s="149"/>
      <c r="G49" s="149"/>
      <c r="H49" s="149"/>
      <c r="I49" s="149"/>
      <c r="J49" s="149"/>
    </row>
    <row r="51" spans="1:10" ht="30" customHeight="1">
      <c r="A51" s="190" t="s">
        <v>963</v>
      </c>
      <c r="B51" s="191"/>
      <c r="C51" s="191"/>
      <c r="D51" s="191"/>
      <c r="E51" s="191"/>
      <c r="F51" s="191"/>
      <c r="G51" s="191"/>
      <c r="H51" s="191"/>
      <c r="I51" s="191"/>
      <c r="J51" s="191"/>
    </row>
    <row r="52" spans="1:10">
      <c r="A52" s="11"/>
      <c r="B52" s="11"/>
      <c r="C52" s="11"/>
      <c r="D52" s="11"/>
    </row>
    <row r="53" spans="1:10">
      <c r="A53" s="160" t="s">
        <v>954</v>
      </c>
      <c r="B53" s="225"/>
      <c r="C53" s="225"/>
      <c r="D53" s="226"/>
      <c r="E53" s="216" t="s">
        <v>93</v>
      </c>
      <c r="F53" s="216"/>
      <c r="G53" s="216" t="s">
        <v>241</v>
      </c>
      <c r="H53" s="216"/>
      <c r="I53" s="216" t="s">
        <v>806</v>
      </c>
      <c r="J53" s="216"/>
    </row>
    <row r="54" spans="1:10">
      <c r="A54" s="177"/>
      <c r="B54" s="177"/>
      <c r="C54" s="177"/>
      <c r="D54" s="177"/>
      <c r="E54" s="178"/>
      <c r="F54" s="178"/>
      <c r="G54" s="178"/>
      <c r="H54" s="178"/>
      <c r="I54" s="178"/>
      <c r="J54" s="178"/>
    </row>
    <row r="55" spans="1:10">
      <c r="A55" s="149"/>
      <c r="B55" s="149"/>
      <c r="C55" s="149"/>
      <c r="D55" s="149"/>
      <c r="E55" s="150"/>
      <c r="F55" s="150"/>
      <c r="G55" s="150"/>
      <c r="H55" s="150"/>
      <c r="I55" s="150"/>
      <c r="J55" s="150"/>
    </row>
    <row r="56" spans="1:10">
      <c r="A56" s="149"/>
      <c r="B56" s="149"/>
      <c r="C56" s="149"/>
      <c r="D56" s="149"/>
      <c r="E56" s="150"/>
      <c r="F56" s="150"/>
      <c r="G56" s="150"/>
      <c r="H56" s="150"/>
      <c r="I56" s="150"/>
      <c r="J56" s="150"/>
    </row>
    <row r="57" spans="1:10">
      <c r="A57" s="149"/>
      <c r="B57" s="149"/>
      <c r="C57" s="149"/>
      <c r="D57" s="149"/>
      <c r="E57" s="150"/>
      <c r="F57" s="150"/>
      <c r="G57" s="150"/>
      <c r="H57" s="150"/>
      <c r="I57" s="150"/>
      <c r="J57" s="150"/>
    </row>
    <row r="58" spans="1:10" s="11" customFormat="1">
      <c r="A58" s="149"/>
      <c r="B58" s="149"/>
      <c r="C58" s="149"/>
      <c r="D58" s="149"/>
      <c r="E58" s="150"/>
      <c r="F58" s="150"/>
      <c r="G58" s="150"/>
      <c r="H58" s="150"/>
      <c r="I58" s="150"/>
      <c r="J58" s="150"/>
    </row>
    <row r="59" spans="1:10" s="11" customFormat="1">
      <c r="A59" s="149"/>
      <c r="B59" s="149"/>
      <c r="C59" s="149"/>
      <c r="D59" s="149"/>
      <c r="E59" s="150"/>
      <c r="F59" s="150"/>
      <c r="G59" s="150"/>
      <c r="H59" s="150"/>
      <c r="I59" s="150"/>
      <c r="J59" s="150"/>
    </row>
    <row r="62" spans="1:10" ht="15.75">
      <c r="A62" s="12" t="s">
        <v>4</v>
      </c>
      <c r="B62" s="11"/>
      <c r="C62" s="11"/>
      <c r="D62" s="11"/>
    </row>
    <row r="63" spans="1:10">
      <c r="A63" s="11"/>
      <c r="B63" s="11"/>
      <c r="C63" s="11"/>
      <c r="D63" s="11"/>
    </row>
    <row r="64" spans="1:10" ht="29.25" customHeight="1">
      <c r="A64" s="209" t="s">
        <v>324</v>
      </c>
      <c r="B64" s="232"/>
      <c r="C64" s="209" t="s">
        <v>626</v>
      </c>
      <c r="D64" s="232"/>
      <c r="E64" s="209" t="s">
        <v>805</v>
      </c>
      <c r="F64" s="209"/>
      <c r="G64" s="209"/>
      <c r="H64" s="209" t="s">
        <v>943</v>
      </c>
      <c r="I64" s="209"/>
      <c r="J64" s="209"/>
    </row>
    <row r="65" spans="1:10">
      <c r="A65" s="177"/>
      <c r="B65" s="178"/>
      <c r="C65" s="177"/>
      <c r="D65" s="178"/>
      <c r="E65" s="178"/>
      <c r="F65" s="178"/>
      <c r="G65" s="178"/>
      <c r="H65" s="178"/>
      <c r="I65" s="178"/>
      <c r="J65" s="178"/>
    </row>
    <row r="66" spans="1:10" s="11" customFormat="1">
      <c r="A66" s="149"/>
      <c r="B66" s="150"/>
      <c r="C66" s="149"/>
      <c r="D66" s="150"/>
      <c r="E66" s="150"/>
      <c r="F66" s="150"/>
      <c r="G66" s="150"/>
      <c r="H66" s="150"/>
      <c r="I66" s="150"/>
      <c r="J66" s="150"/>
    </row>
    <row r="67" spans="1:10" s="11" customFormat="1">
      <c r="A67" s="149"/>
      <c r="B67" s="150"/>
      <c r="C67" s="149"/>
      <c r="D67" s="150"/>
      <c r="E67" s="150"/>
      <c r="F67" s="150"/>
      <c r="G67" s="150"/>
      <c r="H67" s="150"/>
      <c r="I67" s="150"/>
      <c r="J67" s="150"/>
    </row>
    <row r="68" spans="1:10" s="11" customFormat="1">
      <c r="A68" s="149"/>
      <c r="B68" s="150"/>
      <c r="C68" s="149"/>
      <c r="D68" s="150"/>
      <c r="E68" s="150"/>
      <c r="F68" s="150"/>
      <c r="G68" s="150"/>
      <c r="H68" s="150"/>
      <c r="I68" s="150"/>
      <c r="J68" s="150"/>
    </row>
    <row r="69" spans="1:10" s="11" customFormat="1">
      <c r="A69" s="149"/>
      <c r="B69" s="150"/>
      <c r="C69" s="149"/>
      <c r="D69" s="150"/>
      <c r="E69" s="150"/>
      <c r="F69" s="150"/>
      <c r="G69" s="150"/>
      <c r="H69" s="150"/>
      <c r="I69" s="150"/>
      <c r="J69" s="150"/>
    </row>
    <row r="70" spans="1:10" s="11" customFormat="1">
      <c r="A70" s="149"/>
      <c r="B70" s="150"/>
      <c r="C70" s="149"/>
      <c r="D70" s="150"/>
      <c r="E70" s="150"/>
      <c r="F70" s="150"/>
      <c r="G70" s="150"/>
      <c r="H70" s="150"/>
      <c r="I70" s="150"/>
      <c r="J70" s="150"/>
    </row>
  </sheetData>
  <sheetProtection sheet="1"/>
  <mergeCells count="123">
    <mergeCell ref="A56:D56"/>
    <mergeCell ref="E56:F56"/>
    <mergeCell ref="E57:F57"/>
    <mergeCell ref="G56:H56"/>
    <mergeCell ref="I57:J57"/>
    <mergeCell ref="C68:D68"/>
    <mergeCell ref="E65:G65"/>
    <mergeCell ref="A70:B70"/>
    <mergeCell ref="C70:D70"/>
    <mergeCell ref="E70:G70"/>
    <mergeCell ref="H70:J70"/>
    <mergeCell ref="A67:B67"/>
    <mergeCell ref="A69:B69"/>
    <mergeCell ref="C69:D69"/>
    <mergeCell ref="E69:G69"/>
    <mergeCell ref="H69:J69"/>
    <mergeCell ref="E67:G67"/>
    <mergeCell ref="H67:J67"/>
    <mergeCell ref="H66:J66"/>
    <mergeCell ref="A68:B68"/>
    <mergeCell ref="C67:D67"/>
    <mergeCell ref="E66:G66"/>
    <mergeCell ref="E68:G68"/>
    <mergeCell ref="H68:J68"/>
    <mergeCell ref="A66:B66"/>
    <mergeCell ref="I55:J55"/>
    <mergeCell ref="A53:D53"/>
    <mergeCell ref="I53:J53"/>
    <mergeCell ref="E54:F54"/>
    <mergeCell ref="G54:H54"/>
    <mergeCell ref="G55:H55"/>
    <mergeCell ref="H64:J64"/>
    <mergeCell ref="C66:D66"/>
    <mergeCell ref="H65:J65"/>
    <mergeCell ref="E58:F58"/>
    <mergeCell ref="G58:H58"/>
    <mergeCell ref="I58:J58"/>
    <mergeCell ref="A64:B64"/>
    <mergeCell ref="C64:D64"/>
    <mergeCell ref="E64:G64"/>
    <mergeCell ref="A65:B65"/>
    <mergeCell ref="C65:D65"/>
    <mergeCell ref="A57:D57"/>
    <mergeCell ref="A59:D59"/>
    <mergeCell ref="E59:F59"/>
    <mergeCell ref="G59:H59"/>
    <mergeCell ref="I59:J59"/>
    <mergeCell ref="I56:J56"/>
    <mergeCell ref="A58:D58"/>
    <mergeCell ref="E55:F55"/>
    <mergeCell ref="E48:G48"/>
    <mergeCell ref="G34:J34"/>
    <mergeCell ref="G35:J35"/>
    <mergeCell ref="G36:J36"/>
    <mergeCell ref="G57:H57"/>
    <mergeCell ref="G26:J26"/>
    <mergeCell ref="G27:J27"/>
    <mergeCell ref="G28:J28"/>
    <mergeCell ref="G29:J29"/>
    <mergeCell ref="A33:F33"/>
    <mergeCell ref="A31:J31"/>
    <mergeCell ref="A29:F29"/>
    <mergeCell ref="A26:F26"/>
    <mergeCell ref="H48:J48"/>
    <mergeCell ref="G53:H53"/>
    <mergeCell ref="E47:G47"/>
    <mergeCell ref="H47:J47"/>
    <mergeCell ref="H49:J49"/>
    <mergeCell ref="A51:J51"/>
    <mergeCell ref="A54:D54"/>
    <mergeCell ref="A55:D55"/>
    <mergeCell ref="E53:F53"/>
    <mergeCell ref="I54:J54"/>
    <mergeCell ref="H46:J46"/>
    <mergeCell ref="H45:J45"/>
    <mergeCell ref="A49:D49"/>
    <mergeCell ref="A46:D46"/>
    <mergeCell ref="A47:D47"/>
    <mergeCell ref="A48:D48"/>
    <mergeCell ref="E49:G49"/>
    <mergeCell ref="E46:G46"/>
    <mergeCell ref="A45:D45"/>
    <mergeCell ref="E45:G45"/>
    <mergeCell ref="G37:J37"/>
    <mergeCell ref="A37:F37"/>
    <mergeCell ref="H5:J5"/>
    <mergeCell ref="A19:E19"/>
    <mergeCell ref="A8:D8"/>
    <mergeCell ref="A14:E14"/>
    <mergeCell ref="H8:J8"/>
    <mergeCell ref="E8:G8"/>
    <mergeCell ref="F14:J14"/>
    <mergeCell ref="H7:J7"/>
    <mergeCell ref="A20:E20"/>
    <mergeCell ref="F20:J20"/>
    <mergeCell ref="H6:J6"/>
    <mergeCell ref="F18:J18"/>
    <mergeCell ref="A36:F36"/>
    <mergeCell ref="A34:F34"/>
    <mergeCell ref="A35:F35"/>
    <mergeCell ref="G33:J33"/>
    <mergeCell ref="G25:J25"/>
    <mergeCell ref="A27:F27"/>
    <mergeCell ref="A28:F28"/>
    <mergeCell ref="A23:J23"/>
    <mergeCell ref="A25:F25"/>
    <mergeCell ref="E4:G4"/>
    <mergeCell ref="A4:D4"/>
    <mergeCell ref="A5:D5"/>
    <mergeCell ref="A6:D6"/>
    <mergeCell ref="A7:D7"/>
    <mergeCell ref="E5:G5"/>
    <mergeCell ref="E6:G6"/>
    <mergeCell ref="E7:G7"/>
    <mergeCell ref="F19:J19"/>
    <mergeCell ref="A12:E12"/>
    <mergeCell ref="F12:J12"/>
    <mergeCell ref="A13:E13"/>
    <mergeCell ref="A10:J10"/>
    <mergeCell ref="F13:J13"/>
    <mergeCell ref="A18:E18"/>
    <mergeCell ref="A16:J16"/>
    <mergeCell ref="H4:J4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22"/>
  <sheetViews>
    <sheetView topLeftCell="A4" workbookViewId="0"/>
  </sheetViews>
  <sheetFormatPr defaultRowHeight="15"/>
  <cols>
    <col min="1" max="13" width="6.7109375" customWidth="1"/>
  </cols>
  <sheetData>
    <row r="1" spans="1:15"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s="11" customFormat="1" ht="15.75">
      <c r="A2" s="15" t="s">
        <v>105</v>
      </c>
      <c r="B2" s="31"/>
      <c r="C2" s="31"/>
      <c r="D2" s="31"/>
      <c r="E2" s="31"/>
      <c r="F2" s="31"/>
      <c r="G2" s="31"/>
      <c r="H2" s="31"/>
      <c r="I2" s="31"/>
      <c r="J2" s="31"/>
    </row>
    <row r="4" spans="1:15">
      <c r="A4" s="233" t="s">
        <v>299</v>
      </c>
      <c r="B4" s="233"/>
      <c r="C4" s="233"/>
      <c r="D4" s="235" t="s">
        <v>319</v>
      </c>
      <c r="E4" s="235"/>
      <c r="F4" s="235"/>
      <c r="G4" s="235"/>
      <c r="H4" s="235"/>
      <c r="I4" s="235"/>
      <c r="J4" s="235"/>
      <c r="K4" s="235"/>
      <c r="L4" s="235"/>
      <c r="M4" s="235"/>
    </row>
    <row r="5" spans="1:15" ht="60" customHeight="1">
      <c r="A5" s="233"/>
      <c r="B5" s="233"/>
      <c r="C5" s="233"/>
      <c r="D5" s="233" t="s">
        <v>724</v>
      </c>
      <c r="E5" s="233"/>
      <c r="F5" s="233" t="s">
        <v>256</v>
      </c>
      <c r="G5" s="233"/>
      <c r="H5" s="233" t="s">
        <v>909</v>
      </c>
      <c r="I5" s="233"/>
      <c r="J5" s="233" t="s">
        <v>1071</v>
      </c>
      <c r="K5" s="233"/>
      <c r="L5" s="233" t="s">
        <v>670</v>
      </c>
      <c r="M5" s="233"/>
    </row>
    <row r="6" spans="1:15">
      <c r="A6" s="234" t="s">
        <v>832</v>
      </c>
      <c r="B6" s="234"/>
      <c r="C6" s="234"/>
      <c r="D6" s="234" t="s">
        <v>36</v>
      </c>
      <c r="E6" s="234"/>
      <c r="F6" s="234" t="s">
        <v>647</v>
      </c>
      <c r="G6" s="234"/>
      <c r="H6" s="234" t="s">
        <v>236</v>
      </c>
      <c r="I6" s="234"/>
      <c r="J6" s="234" t="s">
        <v>741</v>
      </c>
      <c r="K6" s="234"/>
      <c r="L6" s="234" t="s">
        <v>139</v>
      </c>
      <c r="M6" s="234"/>
    </row>
    <row r="7" spans="1:15">
      <c r="A7" s="239" t="s">
        <v>483</v>
      </c>
      <c r="B7" s="239"/>
      <c r="C7" s="239"/>
      <c r="D7" s="178"/>
      <c r="E7" s="178"/>
      <c r="F7" s="178"/>
      <c r="G7" s="178"/>
      <c r="H7" s="178"/>
      <c r="I7" s="178"/>
      <c r="J7" s="178"/>
      <c r="K7" s="178"/>
      <c r="L7" s="178"/>
      <c r="M7" s="178"/>
    </row>
    <row r="8" spans="1:15">
      <c r="A8" s="236"/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</row>
    <row r="9" spans="1:15">
      <c r="A9" s="236"/>
      <c r="B9" s="236"/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6"/>
    </row>
    <row r="10" spans="1:15">
      <c r="A10" s="236"/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</row>
    <row r="11" spans="1:15" s="11" customFormat="1">
      <c r="A11" s="237" t="s">
        <v>151</v>
      </c>
      <c r="B11" s="237"/>
      <c r="C11" s="237"/>
      <c r="D11" s="150"/>
      <c r="E11" s="150"/>
      <c r="F11" s="150"/>
      <c r="G11" s="150"/>
      <c r="H11" s="150"/>
      <c r="I11" s="150"/>
      <c r="J11" s="150"/>
      <c r="K11" s="150"/>
      <c r="L11" s="150"/>
      <c r="M11" s="150"/>
    </row>
    <row r="12" spans="1:15" s="11" customFormat="1">
      <c r="A12" s="236"/>
      <c r="B12" s="236"/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</row>
    <row r="13" spans="1:15" s="11" customFormat="1">
      <c r="A13" s="236"/>
      <c r="B13" s="236"/>
      <c r="C13" s="236"/>
      <c r="D13" s="236"/>
      <c r="E13" s="236"/>
      <c r="F13" s="236"/>
      <c r="G13" s="236"/>
      <c r="H13" s="236"/>
      <c r="I13" s="236"/>
      <c r="J13" s="236"/>
      <c r="K13" s="236"/>
      <c r="L13" s="236"/>
      <c r="M13" s="236"/>
    </row>
    <row r="14" spans="1:15" s="11" customFormat="1">
      <c r="A14" s="236"/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</row>
    <row r="15" spans="1:15" s="11" customFormat="1">
      <c r="A15" s="237" t="s">
        <v>804</v>
      </c>
      <c r="B15" s="237"/>
      <c r="C15" s="237"/>
      <c r="D15" s="150"/>
      <c r="E15" s="150"/>
      <c r="F15" s="150"/>
      <c r="G15" s="150"/>
      <c r="H15" s="150"/>
      <c r="I15" s="150"/>
      <c r="J15" s="150"/>
      <c r="K15" s="150"/>
      <c r="L15" s="150"/>
      <c r="M15" s="150"/>
    </row>
    <row r="16" spans="1:15" s="11" customFormat="1">
      <c r="A16" s="236"/>
      <c r="B16" s="236"/>
      <c r="C16" s="236"/>
      <c r="D16" s="236"/>
      <c r="E16" s="236"/>
      <c r="F16" s="236"/>
      <c r="G16" s="236"/>
      <c r="H16" s="236"/>
      <c r="I16" s="236"/>
      <c r="J16" s="236"/>
      <c r="K16" s="236"/>
      <c r="L16" s="236"/>
      <c r="M16" s="236"/>
    </row>
    <row r="17" spans="1:13" s="11" customFormat="1">
      <c r="A17" s="236"/>
      <c r="B17" s="236"/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</row>
    <row r="18" spans="1:13" s="11" customFormat="1">
      <c r="A18" s="236"/>
      <c r="B18" s="236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</row>
    <row r="19" spans="1:13" s="11" customFormat="1">
      <c r="A19" s="237" t="s">
        <v>691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</row>
    <row r="20" spans="1:13" s="11" customFormat="1">
      <c r="A20" s="236"/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</row>
    <row r="21" spans="1:13" s="11" customFormat="1">
      <c r="A21" s="236"/>
      <c r="B21" s="236"/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</row>
    <row r="22" spans="1:13" s="11" customFormat="1">
      <c r="A22" s="237" t="s">
        <v>72</v>
      </c>
      <c r="B22" s="237"/>
      <c r="C22" s="237"/>
      <c r="D22" s="238" t="s">
        <v>553</v>
      </c>
      <c r="E22" s="238"/>
      <c r="F22" s="238" t="s">
        <v>553</v>
      </c>
      <c r="G22" s="238"/>
      <c r="H22" s="238" t="s">
        <v>553</v>
      </c>
      <c r="I22" s="238"/>
      <c r="J22" s="238" t="s">
        <v>553</v>
      </c>
      <c r="K22" s="238"/>
      <c r="L22" s="236">
        <f>L8+L9+L10+L12+L13+L14+L16+L17+L18+L20+L21</f>
        <v>0</v>
      </c>
      <c r="M22" s="236"/>
    </row>
  </sheetData>
  <sheetProtection sheet="1"/>
  <mergeCells count="89">
    <mergeCell ref="A19:M19"/>
    <mergeCell ref="A18:C18"/>
    <mergeCell ref="D18:E18"/>
    <mergeCell ref="F18:G18"/>
    <mergeCell ref="H18:I18"/>
    <mergeCell ref="J18:K18"/>
    <mergeCell ref="L18:M18"/>
    <mergeCell ref="J17:K17"/>
    <mergeCell ref="L17:M17"/>
    <mergeCell ref="A7:M7"/>
    <mergeCell ref="A11:M11"/>
    <mergeCell ref="A15:M15"/>
    <mergeCell ref="L14:M14"/>
    <mergeCell ref="A14:C14"/>
    <mergeCell ref="D14:E14"/>
    <mergeCell ref="F14:G14"/>
    <mergeCell ref="H14:I14"/>
    <mergeCell ref="J14:K14"/>
    <mergeCell ref="L12:M12"/>
    <mergeCell ref="A13:C13"/>
    <mergeCell ref="D13:E13"/>
    <mergeCell ref="F13:G13"/>
    <mergeCell ref="H13:I13"/>
    <mergeCell ref="L21:M21"/>
    <mergeCell ref="A22:C22"/>
    <mergeCell ref="D22:E22"/>
    <mergeCell ref="F22:G22"/>
    <mergeCell ref="H22:I22"/>
    <mergeCell ref="J22:K22"/>
    <mergeCell ref="L22:M22"/>
    <mergeCell ref="A21:C21"/>
    <mergeCell ref="D21:E21"/>
    <mergeCell ref="F21:G21"/>
    <mergeCell ref="H21:I21"/>
    <mergeCell ref="J21:K21"/>
    <mergeCell ref="L20:M20"/>
    <mergeCell ref="A16:C16"/>
    <mergeCell ref="D16:E16"/>
    <mergeCell ref="F16:G16"/>
    <mergeCell ref="H16:I16"/>
    <mergeCell ref="J16:K16"/>
    <mergeCell ref="L16:M16"/>
    <mergeCell ref="A17:C17"/>
    <mergeCell ref="D17:E17"/>
    <mergeCell ref="F17:G17"/>
    <mergeCell ref="A20:C20"/>
    <mergeCell ref="D20:E20"/>
    <mergeCell ref="F20:G20"/>
    <mergeCell ref="H20:I20"/>
    <mergeCell ref="J20:K20"/>
    <mergeCell ref="H17:I17"/>
    <mergeCell ref="J13:K13"/>
    <mergeCell ref="L13:M13"/>
    <mergeCell ref="A12:C12"/>
    <mergeCell ref="D12:E12"/>
    <mergeCell ref="F12:G12"/>
    <mergeCell ref="H12:I12"/>
    <mergeCell ref="J12:K12"/>
    <mergeCell ref="H8:I8"/>
    <mergeCell ref="J8:K8"/>
    <mergeCell ref="L8:M8"/>
    <mergeCell ref="D10:E10"/>
    <mergeCell ref="F10:G10"/>
    <mergeCell ref="H10:I10"/>
    <mergeCell ref="J10:K10"/>
    <mergeCell ref="L10:M10"/>
    <mergeCell ref="D9:E9"/>
    <mergeCell ref="F9:G9"/>
    <mergeCell ref="H9:I9"/>
    <mergeCell ref="J9:K9"/>
    <mergeCell ref="L9:M9"/>
    <mergeCell ref="A8:C8"/>
    <mergeCell ref="A9:C9"/>
    <mergeCell ref="A10:C10"/>
    <mergeCell ref="D8:E8"/>
    <mergeCell ref="F8:G8"/>
    <mergeCell ref="J5:K5"/>
    <mergeCell ref="L5:M5"/>
    <mergeCell ref="A4:C5"/>
    <mergeCell ref="A6:C6"/>
    <mergeCell ref="D6:E6"/>
    <mergeCell ref="F6:G6"/>
    <mergeCell ref="H6:I6"/>
    <mergeCell ref="J6:K6"/>
    <mergeCell ref="D4:M4"/>
    <mergeCell ref="D5:E5"/>
    <mergeCell ref="F5:G5"/>
    <mergeCell ref="H5:I5"/>
    <mergeCell ref="L6:M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R59"/>
  <sheetViews>
    <sheetView topLeftCell="A4" workbookViewId="0"/>
  </sheetViews>
  <sheetFormatPr defaultRowHeight="15"/>
  <cols>
    <col min="1" max="1" width="16" style="11" customWidth="1"/>
    <col min="2" max="10" width="7.85546875" style="11" customWidth="1"/>
    <col min="11" max="18" width="9.140625" style="8" customWidth="1"/>
    <col min="19" max="16384" width="9.140625" style="11"/>
  </cols>
  <sheetData>
    <row r="1" spans="1:18">
      <c r="B1" s="3"/>
    </row>
    <row r="2" spans="1:18" ht="15.75">
      <c r="A2" s="12" t="s">
        <v>259</v>
      </c>
    </row>
    <row r="4" spans="1:18" s="2" customFormat="1">
      <c r="A4" s="223" t="s">
        <v>72</v>
      </c>
      <c r="B4" s="222" t="s">
        <v>319</v>
      </c>
      <c r="C4" s="222"/>
      <c r="D4" s="222"/>
      <c r="E4" s="222"/>
      <c r="F4" s="222"/>
      <c r="G4" s="222"/>
      <c r="H4" s="222"/>
      <c r="I4" s="222"/>
      <c r="J4" s="222"/>
      <c r="K4" s="9"/>
      <c r="L4" s="9"/>
      <c r="M4" s="9"/>
      <c r="N4" s="9"/>
      <c r="O4" s="9"/>
      <c r="P4" s="9"/>
      <c r="Q4" s="9"/>
      <c r="R4" s="9"/>
    </row>
    <row r="5" spans="1:18" s="1" customFormat="1" ht="105" customHeight="1">
      <c r="A5" s="224"/>
      <c r="B5" s="7" t="s">
        <v>603</v>
      </c>
      <c r="C5" s="7" t="s">
        <v>218</v>
      </c>
      <c r="D5" s="7" t="s">
        <v>338</v>
      </c>
      <c r="E5" s="7" t="s">
        <v>101</v>
      </c>
      <c r="F5" s="7" t="s">
        <v>216</v>
      </c>
      <c r="G5" s="7" t="s">
        <v>431</v>
      </c>
      <c r="H5" s="7" t="s">
        <v>83</v>
      </c>
      <c r="I5" s="7" t="s">
        <v>51</v>
      </c>
      <c r="J5" s="7" t="s">
        <v>427</v>
      </c>
      <c r="K5" s="10"/>
      <c r="L5" s="10"/>
      <c r="M5" s="10"/>
      <c r="N5" s="10"/>
      <c r="O5" s="10"/>
      <c r="P5" s="10"/>
      <c r="Q5" s="10"/>
      <c r="R5" s="10"/>
    </row>
    <row r="6" spans="1:18">
      <c r="A6" s="51" t="s">
        <v>832</v>
      </c>
      <c r="B6" s="51" t="s">
        <v>36</v>
      </c>
      <c r="C6" s="51" t="s">
        <v>647</v>
      </c>
      <c r="D6" s="51" t="s">
        <v>236</v>
      </c>
      <c r="E6" s="51" t="s">
        <v>741</v>
      </c>
      <c r="F6" s="51" t="s">
        <v>139</v>
      </c>
      <c r="G6" s="51" t="s">
        <v>618</v>
      </c>
      <c r="H6" s="51" t="s">
        <v>107</v>
      </c>
      <c r="I6" s="51" t="s">
        <v>639</v>
      </c>
      <c r="J6" s="51" t="s">
        <v>238</v>
      </c>
    </row>
    <row r="7" spans="1:18" ht="15.95" customHeight="1">
      <c r="A7" s="50" t="s">
        <v>347</v>
      </c>
      <c r="B7" s="178"/>
      <c r="C7" s="178"/>
      <c r="D7" s="178"/>
      <c r="E7" s="178"/>
      <c r="F7" s="178"/>
      <c r="G7" s="178"/>
      <c r="H7" s="178"/>
      <c r="I7" s="178"/>
      <c r="J7" s="178"/>
    </row>
    <row r="8" spans="1:18" ht="26.1" customHeight="1">
      <c r="A8" s="5" t="s">
        <v>314</v>
      </c>
      <c r="B8" s="14">
        <f>IF(ISERROR(VLOOKUP(221,Suvaha_BO!A:F,4,0)),0,VLOOKUP(221,Suvaha_BO!A:F,4,0))</f>
        <v>0</v>
      </c>
      <c r="C8" s="14">
        <f>IF(ISERROR(VLOOKUP(231,Suvaha_BO!A:F,4,0)),0,VLOOKUP(231,Suvaha_BO!A:F,4,0))</f>
        <v>0</v>
      </c>
      <c r="D8" s="14">
        <f>IF(ISERROR(VLOOKUP(241,Suvaha_BO!A:F,4,0)),0,VLOOKUP(241,Suvaha_BO!A:F,4,0))</f>
        <v>0</v>
      </c>
      <c r="E8" s="14">
        <f>IF(ISERROR(VLOOKUP(251,Suvaha_BO!A:F,4,0)),0,VLOOKUP(251,Suvaha_BO!A:F,4,0))</f>
        <v>0</v>
      </c>
      <c r="F8" s="14">
        <f>IF(ISERROR(VLOOKUP(261,Suvaha_BO!A:F,4,0)),0,VLOOKUP(261,Suvaha_BO!A:F,4,0))</f>
        <v>0</v>
      </c>
      <c r="G8" s="14">
        <f>IF(ISERROR(VLOOKUP(271,Suvaha_BO!A:F,4,0)),0,VLOOKUP(271,Suvaha_BO!A:F,4,0))</f>
        <v>0</v>
      </c>
      <c r="H8" s="14">
        <f>IF(ISERROR(VLOOKUP(281,Suvaha_BO!A:F,4,0)),0,VLOOKUP(281,Suvaha_BO!A:F,4,0))</f>
        <v>0</v>
      </c>
      <c r="I8" s="14">
        <f>IF(ISERROR(VLOOKUP(291,Suvaha_BO!A:F,4,0)),0,VLOOKUP(291,Suvaha_BO!A:F,4,0))</f>
        <v>0</v>
      </c>
      <c r="J8" s="14">
        <f>B8+C8+D8+E8+F8+G8+H8+I8</f>
        <v>0</v>
      </c>
    </row>
    <row r="9" spans="1:18" ht="15.95" customHeight="1">
      <c r="A9" s="4" t="s">
        <v>147</v>
      </c>
      <c r="B9" s="14">
        <f>IF(ISERROR(VLOOKUP(221,Suvaha_BO!A:F,5,0)),0,VLOOKUP(221,Suvaha_BO!A:F,5,0))</f>
        <v>0</v>
      </c>
      <c r="C9" s="14">
        <f>IF(ISERROR(VLOOKUP(231,Suvaha_BO!A:F,5,0)),0,VLOOKUP(231,Suvaha_BO!A:F,5,0))</f>
        <v>0</v>
      </c>
      <c r="D9" s="14">
        <f>IF(ISERROR(VLOOKUP(241,Suvaha_BO!A:F,5,0)),0,VLOOKUP(241,Suvaha_BO!A:F,5,0))</f>
        <v>0</v>
      </c>
      <c r="E9" s="14">
        <f>IF(ISERROR(VLOOKUP(251,Suvaha_BO!A:F,5,0)),0,VLOOKUP(251,Suvaha_BO!A:F,5,0))</f>
        <v>0</v>
      </c>
      <c r="F9" s="14">
        <f>IF(ISERROR(VLOOKUP(261,Suvaha_BO!A:F,5,0)),0,VLOOKUP(261,Suvaha_BO!A:F,5,0))</f>
        <v>0</v>
      </c>
      <c r="G9" s="14">
        <f>IF(ISERROR(VLOOKUP(271,Suvaha_BO!A:F,5,0)),0,VLOOKUP(271,Suvaha_BO!A:F,5,0))</f>
        <v>0</v>
      </c>
      <c r="H9" s="14">
        <f>IF(ISERROR(VLOOKUP(281,Suvaha_BO!A:F,5,0)),0,VLOOKUP(281,Suvaha_BO!A:F,5,0))</f>
        <v>0</v>
      </c>
      <c r="I9" s="14">
        <f>IF(ISERROR(VLOOKUP(291,Suvaha_BO!A:F,5,0)),0,VLOOKUP(291,Suvaha_BO!A:F,5,0))</f>
        <v>0</v>
      </c>
      <c r="J9" s="14">
        <f>B9+C9+D9+E9+F9+G9+H9+I9</f>
        <v>0</v>
      </c>
    </row>
    <row r="10" spans="1:18" ht="15.95" customHeight="1">
      <c r="A10" s="4" t="s">
        <v>389</v>
      </c>
      <c r="B10" s="14">
        <f>IF(ISERROR(VLOOKUP(221,Suvaha_BO!A:F,6,0)),0,VLOOKUP(221,Suvaha_BO!A:F,6,0))</f>
        <v>0</v>
      </c>
      <c r="C10" s="14">
        <f>IF(ISERROR(VLOOKUP(231,Suvaha_BO!A:F,6,0)),0,VLOOKUP(231,Suvaha_BO!A:F,6,0))</f>
        <v>0</v>
      </c>
      <c r="D10" s="14">
        <f>IF(ISERROR(VLOOKUP(241,Suvaha_BO!A:F,6,0)),0,VLOOKUP(241,Suvaha_BO!A:F,6,0))</f>
        <v>0</v>
      </c>
      <c r="E10" s="14">
        <f>IF(ISERROR(VLOOKUP(251,Suvaha_BO!A:F,6,0)),0,VLOOKUP(251,Suvaha_BO!A:F,6,0))</f>
        <v>0</v>
      </c>
      <c r="F10" s="14">
        <f>IF(ISERROR(VLOOKUP(261,Suvaha_BO!A:F,6,0)),0,VLOOKUP(261,Suvaha_BO!A:F,6,0))</f>
        <v>0</v>
      </c>
      <c r="G10" s="14">
        <f>IF(ISERROR(VLOOKUP(271,Suvaha_BO!A:F,6,0)),0,VLOOKUP(271,Suvaha_BO!A:F,6,0))</f>
        <v>0</v>
      </c>
      <c r="H10" s="14">
        <f>IF(ISERROR(VLOOKUP(281,Suvaha_BO!A:F,6,0)),0,VLOOKUP(281,Suvaha_BO!A:F,6,0))</f>
        <v>0</v>
      </c>
      <c r="I10" s="14">
        <f>IF(ISERROR(VLOOKUP(291,Suvaha_BO!A:F,6,0)),0,VLOOKUP(291,Suvaha_BO!A:F,6,0))</f>
        <v>0</v>
      </c>
      <c r="J10" s="14">
        <f>B10+C10+D10+E10+F10+G10+H10+I10</f>
        <v>0</v>
      </c>
    </row>
    <row r="11" spans="1:18" ht="15.95" customHeight="1">
      <c r="A11" s="4" t="s">
        <v>822</v>
      </c>
      <c r="B11" s="14"/>
      <c r="C11" s="14"/>
      <c r="D11" s="14"/>
      <c r="E11" s="14"/>
      <c r="F11" s="14"/>
      <c r="G11" s="14"/>
      <c r="H11" s="14"/>
      <c r="I11" s="14"/>
      <c r="J11" s="14">
        <f>B11+C11+D11+E11+F11+G11+H11+I11</f>
        <v>0</v>
      </c>
    </row>
    <row r="12" spans="1:18" ht="26.1" customHeight="1">
      <c r="A12" s="5" t="s">
        <v>1095</v>
      </c>
      <c r="B12" s="14">
        <f t="shared" ref="B12:I12" si="0">B8+B9-B10-B11</f>
        <v>0</v>
      </c>
      <c r="C12" s="14">
        <f t="shared" si="0"/>
        <v>0</v>
      </c>
      <c r="D12" s="14">
        <f t="shared" si="0"/>
        <v>0</v>
      </c>
      <c r="E12" s="14">
        <f t="shared" si="0"/>
        <v>0</v>
      </c>
      <c r="F12" s="14">
        <f t="shared" si="0"/>
        <v>0</v>
      </c>
      <c r="G12" s="14">
        <f t="shared" si="0"/>
        <v>0</v>
      </c>
      <c r="H12" s="14">
        <f t="shared" si="0"/>
        <v>0</v>
      </c>
      <c r="I12" s="14">
        <f t="shared" si="0"/>
        <v>0</v>
      </c>
      <c r="J12" s="14">
        <f>B12+C12+D12+E12+F12+G12+H12+I12</f>
        <v>0</v>
      </c>
    </row>
    <row r="13" spans="1:18" s="8" customFormat="1" ht="15.95" customHeight="1">
      <c r="A13" s="4" t="s">
        <v>1057</v>
      </c>
      <c r="B13" s="149"/>
      <c r="C13" s="149"/>
      <c r="D13" s="149"/>
      <c r="E13" s="149"/>
      <c r="F13" s="149"/>
      <c r="G13" s="149"/>
      <c r="H13" s="149"/>
      <c r="I13" s="149"/>
      <c r="J13" s="149"/>
    </row>
    <row r="14" spans="1:18" s="8" customFormat="1" ht="26.1" customHeight="1">
      <c r="A14" s="5" t="s">
        <v>314</v>
      </c>
      <c r="B14" s="14">
        <f>IF(ISERROR(VLOOKUP(222,Suvaha_BO!A:F,4,0)),0,VLOOKUP(222,Suvaha_BO!A:F,4,0))</f>
        <v>0</v>
      </c>
      <c r="C14" s="14">
        <f>IF(ISERROR(VLOOKUP(232,Suvaha_BO!A:F,4,0)),0,VLOOKUP(232,Suvaha_BO!A:F,4,0))</f>
        <v>0</v>
      </c>
      <c r="D14" s="14">
        <f>IF(ISERROR(VLOOKUP(242,Suvaha_BO!A:F,4,0)),0,VLOOKUP(242,Suvaha_BO!A:F,4,0))</f>
        <v>0</v>
      </c>
      <c r="E14" s="14">
        <f>IF(ISERROR(VLOOKUP(252,Suvaha_BO!A:F,4,0)),0,VLOOKUP(252,Suvaha_BO!A:F,4,0))</f>
        <v>0</v>
      </c>
      <c r="F14" s="14">
        <f>IF(ISERROR(VLOOKUP(262,Suvaha_BO!A:F,4,0)),0,VLOOKUP(262,Suvaha_BO!A:F,4,0))</f>
        <v>0</v>
      </c>
      <c r="G14" s="14">
        <f>IF(ISERROR(VLOOKUP(272,Suvaha_BO!A:F,4,0)),0,VLOOKUP(272,Suvaha_BO!A:F,4,0))</f>
        <v>0</v>
      </c>
      <c r="H14" s="14">
        <f>IF(ISERROR(VLOOKUP(282,Suvaha_BO!A:F,4,0)),0,VLOOKUP(282,Suvaha_BO!A:F,4,0))</f>
        <v>0</v>
      </c>
      <c r="I14" s="14">
        <f>IF(ISERROR(VLOOKUP(292,Suvaha_BO!A:F,4,0)),0,VLOOKUP(292,Suvaha_BO!A:F,4,0))</f>
        <v>0</v>
      </c>
      <c r="J14" s="14">
        <f>B14+C14+D14+E14+F14+G14+H14+I14</f>
        <v>0</v>
      </c>
    </row>
    <row r="15" spans="1:18" s="8" customFormat="1" ht="15.95" customHeight="1">
      <c r="A15" s="4" t="s">
        <v>147</v>
      </c>
      <c r="B15" s="14">
        <f>IF(ISERROR(VLOOKUP(222,Suvaha_BO!A:F,6,0)),0,VLOOKUP(222,Suvaha_BO!A:F,6,0))</f>
        <v>0</v>
      </c>
      <c r="C15" s="14">
        <f>IF(ISERROR(VLOOKUP(232,Suvaha_BO!A:F,6,0)),0,VLOOKUP(232,Suvaha_BO!A:F,6,0))</f>
        <v>0</v>
      </c>
      <c r="D15" s="14">
        <f>IF(ISERROR(VLOOKUP(242,Suvaha_BO!A:F,6,0)),0,VLOOKUP(242,Suvaha_BO!A:F,6,0))</f>
        <v>0</v>
      </c>
      <c r="E15" s="14">
        <f>IF(ISERROR(VLOOKUP(252,Suvaha_BO!A:F,6,0)),0,VLOOKUP(252,Suvaha_BO!A:F,6,0))</f>
        <v>0</v>
      </c>
      <c r="F15" s="14">
        <f>IF(ISERROR(VLOOKUP(262,Suvaha_BO!A:F,6,0)),0,VLOOKUP(262,Suvaha_BO!A:F,6,0))</f>
        <v>0</v>
      </c>
      <c r="G15" s="14">
        <f>IF(ISERROR(VLOOKUP(272,Suvaha_BO!A:F,6,0)),0,VLOOKUP(272,Suvaha_BO!A:F,6,0))</f>
        <v>0</v>
      </c>
      <c r="H15" s="14">
        <f>IF(ISERROR(VLOOKUP(282,Suvaha_BO!A:F,6,0)),0,VLOOKUP(282,Suvaha_BO!A:F,6,0))</f>
        <v>0</v>
      </c>
      <c r="I15" s="14">
        <f>IF(ISERROR(VLOOKUP(292,Suvaha_BO!A:F,6,0)),0,VLOOKUP(292,Suvaha_BO!A:F,6,0))</f>
        <v>0</v>
      </c>
      <c r="J15" s="14">
        <f>B15+C15+D15+E15+F15+G15+H15+I15</f>
        <v>0</v>
      </c>
    </row>
    <row r="16" spans="1:18" s="8" customFormat="1" ht="15.95" customHeight="1">
      <c r="A16" s="4" t="s">
        <v>389</v>
      </c>
      <c r="B16" s="14">
        <f>IF(ISERROR(VLOOKUP(222,Suvaha_BO!A:F,5,0)),0,VLOOKUP(222,Suvaha_BO!A:F,5,0))</f>
        <v>0</v>
      </c>
      <c r="C16" s="14">
        <f>IF(ISERROR(VLOOKUP(232,Suvaha_BO!A:F,5,0)),0,VLOOKUP(232,Suvaha_BO!A:F,5,0))</f>
        <v>0</v>
      </c>
      <c r="D16" s="14">
        <f>IF(ISERROR(VLOOKUP(242,Suvaha_BO!A:F,5,0)),0,VLOOKUP(242,Suvaha_BO!A:F,5,0))</f>
        <v>0</v>
      </c>
      <c r="E16" s="14">
        <f>IF(ISERROR(VLOOKUP(252,Suvaha_BO!A:F,5,0)),0,VLOOKUP(252,Suvaha_BO!A:F,5,0))</f>
        <v>0</v>
      </c>
      <c r="F16" s="14">
        <f>IF(ISERROR(VLOOKUP(262,Suvaha_BO!A:F,5,0)),0,VLOOKUP(262,Suvaha_BO!A:F,5,0))</f>
        <v>0</v>
      </c>
      <c r="G16" s="14">
        <f>IF(ISERROR(VLOOKUP(272,Suvaha_BO!A:F,5,0)),0,VLOOKUP(272,Suvaha_BO!A:F,5,0))</f>
        <v>0</v>
      </c>
      <c r="H16" s="14">
        <f>IF(ISERROR(VLOOKUP(282,Suvaha_BO!A:F,5,0)),0,VLOOKUP(282,Suvaha_BO!A:F,5,0))</f>
        <v>0</v>
      </c>
      <c r="I16" s="14">
        <f>IF(ISERROR(VLOOKUP(292,Suvaha_BO!A:F,5,0)),0,VLOOKUP(292,Suvaha_BO!A:F,5,0))</f>
        <v>0</v>
      </c>
      <c r="J16" s="14">
        <f>B16+C16+D16+E16+F16+G16+H16+I16</f>
        <v>0</v>
      </c>
    </row>
    <row r="17" spans="1:10" s="8" customFormat="1" ht="26.1" customHeight="1">
      <c r="A17" s="5" t="s">
        <v>1095</v>
      </c>
      <c r="B17" s="14">
        <f t="shared" ref="B17:I17" si="1">B14+B15-B16</f>
        <v>0</v>
      </c>
      <c r="C17" s="14">
        <f t="shared" si="1"/>
        <v>0</v>
      </c>
      <c r="D17" s="14">
        <f t="shared" si="1"/>
        <v>0</v>
      </c>
      <c r="E17" s="14">
        <f t="shared" si="1"/>
        <v>0</v>
      </c>
      <c r="F17" s="14">
        <f t="shared" si="1"/>
        <v>0</v>
      </c>
      <c r="G17" s="14">
        <f t="shared" si="1"/>
        <v>0</v>
      </c>
      <c r="H17" s="14">
        <f t="shared" si="1"/>
        <v>0</v>
      </c>
      <c r="I17" s="14">
        <f t="shared" si="1"/>
        <v>0</v>
      </c>
      <c r="J17" s="14">
        <f>B17+C17+D17+E17+F17+G17+H17+I17</f>
        <v>0</v>
      </c>
    </row>
    <row r="18" spans="1:10" s="8" customFormat="1" ht="15.95" customHeight="1">
      <c r="A18" s="4" t="s">
        <v>871</v>
      </c>
      <c r="B18" s="149"/>
      <c r="C18" s="149"/>
      <c r="D18" s="149"/>
      <c r="E18" s="149"/>
      <c r="F18" s="149"/>
      <c r="G18" s="149"/>
      <c r="H18" s="149"/>
      <c r="I18" s="149"/>
      <c r="J18" s="149"/>
    </row>
    <row r="19" spans="1:10" s="8" customFormat="1" ht="26.1" customHeight="1">
      <c r="A19" s="5" t="s">
        <v>314</v>
      </c>
      <c r="B19" s="14">
        <f t="shared" ref="B19:J19" si="2">B8-B14</f>
        <v>0</v>
      </c>
      <c r="C19" s="14">
        <f t="shared" si="2"/>
        <v>0</v>
      </c>
      <c r="D19" s="14">
        <f t="shared" si="2"/>
        <v>0</v>
      </c>
      <c r="E19" s="14">
        <f t="shared" si="2"/>
        <v>0</v>
      </c>
      <c r="F19" s="14">
        <f t="shared" si="2"/>
        <v>0</v>
      </c>
      <c r="G19" s="14">
        <f t="shared" si="2"/>
        <v>0</v>
      </c>
      <c r="H19" s="14">
        <f t="shared" si="2"/>
        <v>0</v>
      </c>
      <c r="I19" s="14">
        <f t="shared" si="2"/>
        <v>0</v>
      </c>
      <c r="J19" s="14">
        <f t="shared" si="2"/>
        <v>0</v>
      </c>
    </row>
    <row r="20" spans="1:10" s="8" customFormat="1" ht="26.1" customHeight="1">
      <c r="A20" s="5" t="s">
        <v>1095</v>
      </c>
      <c r="B20" s="14">
        <f t="shared" ref="B20:J20" si="3">B12-B17</f>
        <v>0</v>
      </c>
      <c r="C20" s="14">
        <f t="shared" si="3"/>
        <v>0</v>
      </c>
      <c r="D20" s="14">
        <f t="shared" si="3"/>
        <v>0</v>
      </c>
      <c r="E20" s="14">
        <f t="shared" si="3"/>
        <v>0</v>
      </c>
      <c r="F20" s="14">
        <f t="shared" si="3"/>
        <v>0</v>
      </c>
      <c r="G20" s="14">
        <f t="shared" si="3"/>
        <v>0</v>
      </c>
      <c r="H20" s="14">
        <f t="shared" si="3"/>
        <v>0</v>
      </c>
      <c r="I20" s="14">
        <f t="shared" si="3"/>
        <v>0</v>
      </c>
      <c r="J20" s="14">
        <f t="shared" si="3"/>
        <v>0</v>
      </c>
    </row>
    <row r="41" spans="1:18" ht="15.75">
      <c r="A41" s="12" t="s">
        <v>1116</v>
      </c>
    </row>
    <row r="43" spans="1:18" s="2" customFormat="1">
      <c r="A43" s="223" t="s">
        <v>72</v>
      </c>
      <c r="B43" s="222" t="s">
        <v>339</v>
      </c>
      <c r="C43" s="222"/>
      <c r="D43" s="222"/>
      <c r="E43" s="222"/>
      <c r="F43" s="222"/>
      <c r="G43" s="222"/>
      <c r="H43" s="222"/>
      <c r="I43" s="222"/>
      <c r="J43" s="222"/>
      <c r="K43" s="9"/>
      <c r="L43" s="9"/>
      <c r="M43" s="9"/>
      <c r="N43" s="9"/>
      <c r="O43" s="9"/>
      <c r="P43" s="9"/>
      <c r="Q43" s="9"/>
      <c r="R43" s="9"/>
    </row>
    <row r="44" spans="1:18" s="1" customFormat="1" ht="105" customHeight="1">
      <c r="A44" s="224"/>
      <c r="B44" s="7" t="s">
        <v>603</v>
      </c>
      <c r="C44" s="7" t="s">
        <v>218</v>
      </c>
      <c r="D44" s="7" t="s">
        <v>338</v>
      </c>
      <c r="E44" s="7" t="s">
        <v>101</v>
      </c>
      <c r="F44" s="7" t="s">
        <v>216</v>
      </c>
      <c r="G44" s="7" t="s">
        <v>431</v>
      </c>
      <c r="H44" s="7" t="s">
        <v>83</v>
      </c>
      <c r="I44" s="7" t="s">
        <v>51</v>
      </c>
      <c r="J44" s="7" t="s">
        <v>427</v>
      </c>
      <c r="K44" s="10"/>
      <c r="L44" s="10"/>
      <c r="M44" s="10"/>
      <c r="N44" s="10"/>
      <c r="O44" s="10"/>
      <c r="P44" s="10"/>
      <c r="Q44" s="10"/>
      <c r="R44" s="10"/>
    </row>
    <row r="45" spans="1:18">
      <c r="A45" s="51" t="s">
        <v>832</v>
      </c>
      <c r="B45" s="51" t="s">
        <v>36</v>
      </c>
      <c r="C45" s="51" t="s">
        <v>647</v>
      </c>
      <c r="D45" s="51" t="s">
        <v>236</v>
      </c>
      <c r="E45" s="51" t="s">
        <v>741</v>
      </c>
      <c r="F45" s="51" t="s">
        <v>139</v>
      </c>
      <c r="G45" s="51" t="s">
        <v>618</v>
      </c>
      <c r="H45" s="51" t="s">
        <v>107</v>
      </c>
      <c r="I45" s="51" t="s">
        <v>639</v>
      </c>
      <c r="J45" s="51" t="s">
        <v>238</v>
      </c>
    </row>
    <row r="46" spans="1:18" ht="15.95" customHeight="1">
      <c r="A46" s="50" t="s">
        <v>347</v>
      </c>
      <c r="B46" s="178"/>
      <c r="C46" s="178"/>
      <c r="D46" s="178"/>
      <c r="E46" s="178"/>
      <c r="F46" s="178"/>
      <c r="G46" s="178"/>
      <c r="H46" s="178"/>
      <c r="I46" s="178"/>
      <c r="J46" s="178"/>
    </row>
    <row r="47" spans="1:18" ht="26.1" customHeight="1">
      <c r="A47" s="5" t="s">
        <v>314</v>
      </c>
      <c r="B47" s="14">
        <f>IF(ISERROR(VLOOKUP(221,Suvaha_PO!A:F,4,0)),0,VLOOKUP(221,Suvaha_PO!A:F,4,0))</f>
        <v>0</v>
      </c>
      <c r="C47" s="14">
        <f>IF(ISERROR(VLOOKUP(231,Suvaha_PO!A:F,4,0)),0,VLOOKUP(231,Suvaha_PO!A:F,4,0))</f>
        <v>0</v>
      </c>
      <c r="D47" s="14">
        <f>IF(ISERROR(VLOOKUP(241,Suvaha_PO!A:F,4,0)),0,VLOOKUP(241,Suvaha_PO!A:F,4,0))</f>
        <v>0</v>
      </c>
      <c r="E47" s="14">
        <f>IF(ISERROR(VLOOKUP(251,Suvaha_PO!A:F,4,0)),0,VLOOKUP(251,Suvaha_PO!A:F,4,0))</f>
        <v>0</v>
      </c>
      <c r="F47" s="14">
        <f>IF(ISERROR(VLOOKUP(261,Suvaha_PO!A:F,4,0)),0,VLOOKUP(261,Suvaha_PO!A:F,4,0))</f>
        <v>0</v>
      </c>
      <c r="G47" s="14">
        <f>IF(ISERROR(VLOOKUP(271,Suvaha_PO!A:F,4,0)),0,VLOOKUP(271,Suvaha_PO!A:F,4,0))</f>
        <v>0</v>
      </c>
      <c r="H47" s="14">
        <f>IF(ISERROR(VLOOKUP(281,Suvaha_PO!A:F,4,0)),0,VLOOKUP(281,Suvaha_PO!A:F,4,0))</f>
        <v>0</v>
      </c>
      <c r="I47" s="14">
        <f>IF(ISERROR(VLOOKUP(291,Suvaha_PO!A:F,4,0)),0,VLOOKUP(291,Suvaha_PO!A:F,4,0))</f>
        <v>0</v>
      </c>
      <c r="J47" s="14">
        <f>B47+C47+D47+E47+F47+G47+H47+I47</f>
        <v>0</v>
      </c>
    </row>
    <row r="48" spans="1:18" ht="15.95" customHeight="1">
      <c r="A48" s="4" t="s">
        <v>147</v>
      </c>
      <c r="B48" s="14">
        <f>IF(ISERROR(VLOOKUP(221,Suvaha_PO!A:F,5,0)),0,VLOOKUP(221,Suvaha_PO!A:F,5,0))</f>
        <v>0</v>
      </c>
      <c r="C48" s="14">
        <f>IF(ISERROR(VLOOKUP(231,Suvaha_PO!A:F,5,0)),0,VLOOKUP(231,Suvaha_PO!A:F,5,0))</f>
        <v>0</v>
      </c>
      <c r="D48" s="14">
        <f>IF(ISERROR(VLOOKUP(241,Suvaha_PO!A:F,5,0)),0,VLOOKUP(241,Suvaha_PO!A:F,5,0))</f>
        <v>0</v>
      </c>
      <c r="E48" s="14">
        <f>IF(ISERROR(VLOOKUP(251,Suvaha_PO!A:F,5,0)),0,VLOOKUP(251,Suvaha_PO!A:F,5,0))</f>
        <v>0</v>
      </c>
      <c r="F48" s="14">
        <f>IF(ISERROR(VLOOKUP(261,Suvaha_PO!A:F,5,0)),0,VLOOKUP(261,Suvaha_PO!A:F,5,0))</f>
        <v>0</v>
      </c>
      <c r="G48" s="14">
        <f>IF(ISERROR(VLOOKUP(271,Suvaha_PO!A:F,5,0)),0,VLOOKUP(271,Suvaha_PO!A:F,5,0))</f>
        <v>0</v>
      </c>
      <c r="H48" s="14">
        <f>IF(ISERROR(VLOOKUP(281,Suvaha_PO!A:F,5,0)),0,VLOOKUP(281,Suvaha_PO!A:F,5,0))</f>
        <v>0</v>
      </c>
      <c r="I48" s="14">
        <f>IF(ISERROR(VLOOKUP(291,Suvaha_PO!A:F,5,0)),0,VLOOKUP(291,Suvaha_PO!A:F,5,0))</f>
        <v>0</v>
      </c>
      <c r="J48" s="14">
        <f>B48+C48+D48+E48+F48+G48+H48+I48</f>
        <v>0</v>
      </c>
    </row>
    <row r="49" spans="1:10" ht="15.95" customHeight="1">
      <c r="A49" s="4" t="s">
        <v>389</v>
      </c>
      <c r="B49" s="14">
        <f>IF(ISERROR(VLOOKUP(221,Suvaha_PO!A:F,6,0)),0,VLOOKUP(221,Suvaha_PO!A:F,6,0))</f>
        <v>0</v>
      </c>
      <c r="C49" s="14">
        <f>IF(ISERROR(VLOOKUP(231,Suvaha_PO!A:F,6,0)),0,VLOOKUP(231,Suvaha_PO!A:F,6,0))</f>
        <v>0</v>
      </c>
      <c r="D49" s="14">
        <f>IF(ISERROR(VLOOKUP(241,Suvaha_PO!A:F,6,0)),0,VLOOKUP(241,Suvaha_PO!A:F,6,0))</f>
        <v>0</v>
      </c>
      <c r="E49" s="14">
        <f>IF(ISERROR(VLOOKUP(251,Suvaha_PO!A:F,6,0)),0,VLOOKUP(251,Suvaha_PO!A:F,6,0))</f>
        <v>0</v>
      </c>
      <c r="F49" s="14">
        <f>IF(ISERROR(VLOOKUP(261,Suvaha_PO!A:F,6,0)),0,VLOOKUP(261,Suvaha_PO!A:F,6,0))</f>
        <v>0</v>
      </c>
      <c r="G49" s="14">
        <f>IF(ISERROR(VLOOKUP(271,Suvaha_PO!A:F,6,0)),0,VLOOKUP(271,Suvaha_PO!A:F,6,0))</f>
        <v>0</v>
      </c>
      <c r="H49" s="14">
        <f>IF(ISERROR(VLOOKUP(281,Suvaha_PO!A:F,6,0)),0,VLOOKUP(281,Suvaha_PO!A:F,6,0))</f>
        <v>0</v>
      </c>
      <c r="I49" s="14">
        <f>IF(ISERROR(VLOOKUP(291,Suvaha_PO!A:F,6,0)),0,VLOOKUP(291,Suvaha_PO!A:F,6,0))</f>
        <v>0</v>
      </c>
      <c r="J49" s="14">
        <f>B49+C49+D49+E49+F49+G49+H49+I49</f>
        <v>0</v>
      </c>
    </row>
    <row r="50" spans="1:10" ht="15.95" customHeight="1">
      <c r="A50" s="4" t="s">
        <v>822</v>
      </c>
      <c r="B50" s="14"/>
      <c r="C50" s="14"/>
      <c r="D50" s="14"/>
      <c r="E50" s="14"/>
      <c r="F50" s="14"/>
      <c r="G50" s="14"/>
      <c r="H50" s="14"/>
      <c r="I50" s="14"/>
      <c r="J50" s="14">
        <f>B50+C50+D50+E50+F50+G50+H50+I50</f>
        <v>0</v>
      </c>
    </row>
    <row r="51" spans="1:10" ht="26.1" customHeight="1">
      <c r="A51" s="5" t="s">
        <v>1095</v>
      </c>
      <c r="B51" s="14">
        <f t="shared" ref="B51:I51" si="4">B47+B48-B49-B50</f>
        <v>0</v>
      </c>
      <c r="C51" s="14">
        <f t="shared" si="4"/>
        <v>0</v>
      </c>
      <c r="D51" s="14">
        <f t="shared" si="4"/>
        <v>0</v>
      </c>
      <c r="E51" s="14">
        <f t="shared" si="4"/>
        <v>0</v>
      </c>
      <c r="F51" s="14">
        <f t="shared" si="4"/>
        <v>0</v>
      </c>
      <c r="G51" s="14">
        <f t="shared" si="4"/>
        <v>0</v>
      </c>
      <c r="H51" s="14">
        <f t="shared" si="4"/>
        <v>0</v>
      </c>
      <c r="I51" s="14">
        <f t="shared" si="4"/>
        <v>0</v>
      </c>
      <c r="J51" s="14">
        <f>B51+C51+D51+E51+F51+G51+H51+I51</f>
        <v>0</v>
      </c>
    </row>
    <row r="52" spans="1:10" s="8" customFormat="1" ht="15.95" customHeight="1">
      <c r="A52" s="4" t="s">
        <v>1057</v>
      </c>
      <c r="B52" s="149"/>
      <c r="C52" s="149"/>
      <c r="D52" s="149"/>
      <c r="E52" s="149"/>
      <c r="F52" s="149"/>
      <c r="G52" s="149"/>
      <c r="H52" s="149"/>
      <c r="I52" s="149"/>
      <c r="J52" s="149"/>
    </row>
    <row r="53" spans="1:10" s="8" customFormat="1" ht="26.1" customHeight="1">
      <c r="A53" s="5" t="s">
        <v>314</v>
      </c>
      <c r="B53" s="14">
        <f>IF(ISERROR(VLOOKUP(222,Suvaha_PO!A:F,4,0)),0,VLOOKUP(222,Suvaha_PO!A:F,4,0))</f>
        <v>0</v>
      </c>
      <c r="C53" s="14">
        <f>IF(ISERROR(VLOOKUP(232,Suvaha_PO!A:F,4,0)),0,VLOOKUP(232,Suvaha_PO!A:F,4,0))</f>
        <v>0</v>
      </c>
      <c r="D53" s="14">
        <f>IF(ISERROR(VLOOKUP(242,Suvaha_PO!A:F,4,0)),0,VLOOKUP(242,Suvaha_PO!A:F,4,0))</f>
        <v>0</v>
      </c>
      <c r="E53" s="14">
        <f>IF(ISERROR(VLOOKUP(252,Suvaha_PO!A:F,4,0)),0,VLOOKUP(252,Suvaha_PO!A:F,4,0))</f>
        <v>0</v>
      </c>
      <c r="F53" s="14">
        <f>IF(ISERROR(VLOOKUP(262,Suvaha_PO!A:F,4,0)),0,VLOOKUP(262,Suvaha_PO!A:F,4,0))</f>
        <v>0</v>
      </c>
      <c r="G53" s="14">
        <f>IF(ISERROR(VLOOKUP(272,Suvaha_PO!A:F,4,0)),0,VLOOKUP(272,Suvaha_PO!A:F,4,0))</f>
        <v>0</v>
      </c>
      <c r="H53" s="14">
        <f>IF(ISERROR(VLOOKUP(282,Suvaha_PO!A:F,4,0)),0,VLOOKUP(282,Suvaha_PO!A:F,4,0))</f>
        <v>0</v>
      </c>
      <c r="I53" s="14">
        <f>IF(ISERROR(VLOOKUP(292,Suvaha_PO!A:F,4,0)),0,VLOOKUP(292,Suvaha_PO!A:F,4,0))</f>
        <v>0</v>
      </c>
      <c r="J53" s="14">
        <f>B53+C53+D53+E53+F53+G53+H53+I53</f>
        <v>0</v>
      </c>
    </row>
    <row r="54" spans="1:10" s="8" customFormat="1" ht="15.95" customHeight="1">
      <c r="A54" s="4" t="s">
        <v>147</v>
      </c>
      <c r="B54" s="14">
        <f>IF(ISERROR(VLOOKUP(222,Suvaha_PO!A:F,6,0)),0,VLOOKUP(222,Suvaha_PO!A:F,6,0))</f>
        <v>0</v>
      </c>
      <c r="C54" s="14">
        <f>IF(ISERROR(VLOOKUP(232,Suvaha_PO!A:F,6,0)),0,VLOOKUP(232,Suvaha_PO!A:F,6,0))</f>
        <v>0</v>
      </c>
      <c r="D54" s="14">
        <f>IF(ISERROR(VLOOKUP(242,Suvaha_PO!A:F,6,0)),0,VLOOKUP(242,Suvaha_PO!A:F,6,0))</f>
        <v>0</v>
      </c>
      <c r="E54" s="14">
        <f>IF(ISERROR(VLOOKUP(252,Suvaha_PO!A:F,6,0)),0,VLOOKUP(252,Suvaha_PO!A:F,6,0))</f>
        <v>0</v>
      </c>
      <c r="F54" s="14">
        <f>IF(ISERROR(VLOOKUP(262,Suvaha_PO!A:F,6,0)),0,VLOOKUP(262,Suvaha_PO!A:F,6,0))</f>
        <v>0</v>
      </c>
      <c r="G54" s="14">
        <f>IF(ISERROR(VLOOKUP(272,Suvaha_PO!A:F,6,0)),0,VLOOKUP(272,Suvaha_PO!A:F,6,0))</f>
        <v>0</v>
      </c>
      <c r="H54" s="14">
        <f>IF(ISERROR(VLOOKUP(282,Suvaha_PO!A:F,6,0)),0,VLOOKUP(282,Suvaha_PO!A:F,6,0))</f>
        <v>0</v>
      </c>
      <c r="I54" s="14">
        <f>IF(ISERROR(VLOOKUP(292,Suvaha_PO!A:F,6,0)),0,VLOOKUP(292,Suvaha_PO!A:F,6,0))</f>
        <v>0</v>
      </c>
      <c r="J54" s="14">
        <f>B54+C54+D54+E54+F54+G54+H54+I54</f>
        <v>0</v>
      </c>
    </row>
    <row r="55" spans="1:10" s="8" customFormat="1" ht="15.95" customHeight="1">
      <c r="A55" s="4" t="s">
        <v>389</v>
      </c>
      <c r="B55" s="14">
        <f>IF(ISERROR(VLOOKUP(222,Suvaha_PO!A:F,5,0)),0,VLOOKUP(222,Suvaha_PO!A:F,5,0))</f>
        <v>0</v>
      </c>
      <c r="C55" s="14">
        <f>IF(ISERROR(VLOOKUP(232,Suvaha_PO!A:F,5,0)),0,VLOOKUP(232,Suvaha_PO!A:F,5,0))</f>
        <v>0</v>
      </c>
      <c r="D55" s="14">
        <f>IF(ISERROR(VLOOKUP(242,Suvaha_PO!A:F,5,0)),0,VLOOKUP(242,Suvaha_PO!A:F,5,0))</f>
        <v>0</v>
      </c>
      <c r="E55" s="14">
        <f>IF(ISERROR(VLOOKUP(252,Suvaha_PO!A:F,5,0)),0,VLOOKUP(252,Suvaha_PO!A:F,5,0))</f>
        <v>0</v>
      </c>
      <c r="F55" s="14">
        <f>IF(ISERROR(VLOOKUP(262,Suvaha_PO!A:F,5,0)),0,VLOOKUP(262,Suvaha_PO!A:F,5,0))</f>
        <v>0</v>
      </c>
      <c r="G55" s="14">
        <f>IF(ISERROR(VLOOKUP(272,Suvaha_PO!A:F,5,0)),0,VLOOKUP(272,Suvaha_PO!A:F,5,0))</f>
        <v>0</v>
      </c>
      <c r="H55" s="14">
        <f>IF(ISERROR(VLOOKUP(282,Suvaha_PO!A:F,5,0)),0,VLOOKUP(282,Suvaha_PO!A:F,5,0))</f>
        <v>0</v>
      </c>
      <c r="I55" s="14">
        <f>IF(ISERROR(VLOOKUP(292,Suvaha_PO!A:F,5,0)),0,VLOOKUP(292,Suvaha_PO!A:F,5,0))</f>
        <v>0</v>
      </c>
      <c r="J55" s="14">
        <f>B55+C55+D55+E55+F55+G55+H55+I55</f>
        <v>0</v>
      </c>
    </row>
    <row r="56" spans="1:10" s="8" customFormat="1" ht="26.1" customHeight="1">
      <c r="A56" s="5" t="s">
        <v>1095</v>
      </c>
      <c r="B56" s="14">
        <f t="shared" ref="B56:I56" si="5">B53+B54-B55</f>
        <v>0</v>
      </c>
      <c r="C56" s="14">
        <f t="shared" si="5"/>
        <v>0</v>
      </c>
      <c r="D56" s="14">
        <f t="shared" si="5"/>
        <v>0</v>
      </c>
      <c r="E56" s="14">
        <f t="shared" si="5"/>
        <v>0</v>
      </c>
      <c r="F56" s="14">
        <f t="shared" si="5"/>
        <v>0</v>
      </c>
      <c r="G56" s="14">
        <f t="shared" si="5"/>
        <v>0</v>
      </c>
      <c r="H56" s="14">
        <f t="shared" si="5"/>
        <v>0</v>
      </c>
      <c r="I56" s="14">
        <f t="shared" si="5"/>
        <v>0</v>
      </c>
      <c r="J56" s="14">
        <f>B56+C56+D56+E56+F56+G56+H56+I56</f>
        <v>0</v>
      </c>
    </row>
    <row r="57" spans="1:10" s="8" customFormat="1" ht="15.95" customHeight="1">
      <c r="A57" s="4" t="s">
        <v>871</v>
      </c>
      <c r="B57" s="149"/>
      <c r="C57" s="149"/>
      <c r="D57" s="149"/>
      <c r="E57" s="149"/>
      <c r="F57" s="149"/>
      <c r="G57" s="149"/>
      <c r="H57" s="149"/>
      <c r="I57" s="149"/>
      <c r="J57" s="149"/>
    </row>
    <row r="58" spans="1:10" s="8" customFormat="1" ht="26.1" customHeight="1">
      <c r="A58" s="5" t="s">
        <v>314</v>
      </c>
      <c r="B58" s="14">
        <f t="shared" ref="B58:J58" si="6">B47-B53</f>
        <v>0</v>
      </c>
      <c r="C58" s="14">
        <f t="shared" si="6"/>
        <v>0</v>
      </c>
      <c r="D58" s="14">
        <f t="shared" si="6"/>
        <v>0</v>
      </c>
      <c r="E58" s="14">
        <f t="shared" si="6"/>
        <v>0</v>
      </c>
      <c r="F58" s="14">
        <f t="shared" si="6"/>
        <v>0</v>
      </c>
      <c r="G58" s="14">
        <f t="shared" si="6"/>
        <v>0</v>
      </c>
      <c r="H58" s="14">
        <f t="shared" si="6"/>
        <v>0</v>
      </c>
      <c r="I58" s="14">
        <f t="shared" si="6"/>
        <v>0</v>
      </c>
      <c r="J58" s="14">
        <f t="shared" si="6"/>
        <v>0</v>
      </c>
    </row>
    <row r="59" spans="1:10" s="8" customFormat="1" ht="26.1" customHeight="1">
      <c r="A59" s="5" t="s">
        <v>1095</v>
      </c>
      <c r="B59" s="14">
        <f t="shared" ref="B59:J59" si="7">B51-B56</f>
        <v>0</v>
      </c>
      <c r="C59" s="14">
        <f t="shared" si="7"/>
        <v>0</v>
      </c>
      <c r="D59" s="14">
        <f t="shared" si="7"/>
        <v>0</v>
      </c>
      <c r="E59" s="14">
        <f t="shared" si="7"/>
        <v>0</v>
      </c>
      <c r="F59" s="14">
        <f t="shared" si="7"/>
        <v>0</v>
      </c>
      <c r="G59" s="14">
        <f t="shared" si="7"/>
        <v>0</v>
      </c>
      <c r="H59" s="14">
        <f t="shared" si="7"/>
        <v>0</v>
      </c>
      <c r="I59" s="14">
        <f t="shared" si="7"/>
        <v>0</v>
      </c>
      <c r="J59" s="14">
        <f t="shared" si="7"/>
        <v>0</v>
      </c>
    </row>
  </sheetData>
  <sheetProtection sheet="1"/>
  <mergeCells count="10">
    <mergeCell ref="A4:A5"/>
    <mergeCell ref="B4:J4"/>
    <mergeCell ref="B7:J7"/>
    <mergeCell ref="B13:J13"/>
    <mergeCell ref="B18:J18"/>
    <mergeCell ref="A43:A44"/>
    <mergeCell ref="B43:J43"/>
    <mergeCell ref="B46:J46"/>
    <mergeCell ref="B52:J52"/>
    <mergeCell ref="B57:J57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20.7109375" customWidth="1"/>
    <col min="2" max="7" width="10.7109375" customWidth="1"/>
  </cols>
  <sheetData>
    <row r="1" spans="1:9" s="75" customFormat="1"/>
    <row r="2" spans="1:9" ht="15.75">
      <c r="A2" s="12" t="s">
        <v>202</v>
      </c>
    </row>
    <row r="3" spans="1:9" s="11" customFormat="1" ht="15.75">
      <c r="A3" s="12"/>
    </row>
    <row r="4" spans="1:9" ht="60" customHeight="1">
      <c r="A4" s="32" t="s">
        <v>86</v>
      </c>
      <c r="B4" s="33" t="s">
        <v>713</v>
      </c>
      <c r="C4" s="32" t="s">
        <v>314</v>
      </c>
      <c r="D4" s="32" t="s">
        <v>85</v>
      </c>
      <c r="E4" s="32" t="s">
        <v>169</v>
      </c>
      <c r="F4" s="32" t="s">
        <v>321</v>
      </c>
      <c r="G4" s="32" t="s">
        <v>1095</v>
      </c>
    </row>
    <row r="5" spans="1:9">
      <c r="A5" s="48" t="s">
        <v>832</v>
      </c>
      <c r="B5" s="48" t="s">
        <v>36</v>
      </c>
      <c r="C5" s="48" t="s">
        <v>647</v>
      </c>
      <c r="D5" s="48" t="s">
        <v>236</v>
      </c>
      <c r="E5" s="48" t="s">
        <v>741</v>
      </c>
      <c r="F5" s="48" t="s">
        <v>139</v>
      </c>
      <c r="G5" s="48" t="s">
        <v>618</v>
      </c>
    </row>
    <row r="6" spans="1:9" ht="35.1" customHeight="1">
      <c r="A6" s="49" t="s">
        <v>1089</v>
      </c>
      <c r="B6" s="47"/>
      <c r="C6" s="47"/>
      <c r="D6" s="47"/>
      <c r="E6" s="47"/>
      <c r="F6" s="47"/>
      <c r="G6" s="47">
        <f>C6+D6-E6-F6</f>
        <v>0</v>
      </c>
    </row>
    <row r="7" spans="1:9" ht="35.1" customHeight="1">
      <c r="A7" s="34" t="s">
        <v>772</v>
      </c>
      <c r="B7" s="37"/>
      <c r="C7" s="37"/>
      <c r="D7" s="37"/>
      <c r="E7" s="37"/>
      <c r="F7" s="37"/>
      <c r="G7" s="37">
        <f>C7+D7-E7-F7</f>
        <v>0</v>
      </c>
    </row>
    <row r="8" spans="1:9" ht="35.1" customHeight="1">
      <c r="A8" s="34" t="s">
        <v>753</v>
      </c>
      <c r="B8" s="37"/>
      <c r="C8" s="37"/>
      <c r="D8" s="37"/>
      <c r="E8" s="37"/>
      <c r="F8" s="37"/>
      <c r="G8" s="37">
        <f>C8+D8-E8-F8</f>
        <v>0</v>
      </c>
    </row>
    <row r="9" spans="1:9" ht="35.1" customHeight="1">
      <c r="A9" s="34" t="s">
        <v>775</v>
      </c>
      <c r="B9" s="37"/>
      <c r="C9" s="37"/>
      <c r="D9" s="37"/>
      <c r="E9" s="37"/>
      <c r="F9" s="37"/>
      <c r="G9" s="37">
        <f>C9+D9-E9-F9</f>
        <v>0</v>
      </c>
    </row>
    <row r="10" spans="1:9" ht="35.1" customHeight="1">
      <c r="A10" s="35" t="s">
        <v>605</v>
      </c>
      <c r="B10" s="36" t="s">
        <v>553</v>
      </c>
      <c r="C10" s="37">
        <f>SUM(C6:C9)</f>
        <v>0</v>
      </c>
      <c r="D10" s="37">
        <f>SUM(D6:D9)</f>
        <v>0</v>
      </c>
      <c r="E10" s="37">
        <f>SUM(E6:E9)</f>
        <v>0</v>
      </c>
      <c r="F10" s="37">
        <f>SUM(F6:F9)</f>
        <v>0</v>
      </c>
      <c r="G10" s="37">
        <f>SUM(G6:G9)</f>
        <v>0</v>
      </c>
    </row>
    <row r="12" spans="1:9" s="11" customFormat="1" ht="15.75">
      <c r="A12" s="12" t="s">
        <v>653</v>
      </c>
    </row>
    <row r="13" spans="1:9" s="11" customFormat="1">
      <c r="A13" s="17"/>
      <c r="B13" s="31"/>
      <c r="C13" s="31"/>
      <c r="D13" s="31"/>
      <c r="E13" s="31"/>
      <c r="F13" s="31"/>
      <c r="G13" s="31"/>
      <c r="H13" s="31"/>
      <c r="I13" s="31"/>
    </row>
    <row r="14" spans="1:9" s="11" customFormat="1" ht="60" customHeight="1">
      <c r="A14" s="240" t="s">
        <v>793</v>
      </c>
      <c r="B14" s="241"/>
      <c r="C14" s="32" t="s">
        <v>314</v>
      </c>
      <c r="D14" s="32" t="s">
        <v>85</v>
      </c>
      <c r="E14" s="32" t="s">
        <v>169</v>
      </c>
      <c r="F14" s="32" t="s">
        <v>65</v>
      </c>
      <c r="G14" s="32" t="s">
        <v>1095</v>
      </c>
    </row>
    <row r="15" spans="1:9">
      <c r="A15" s="242" t="s">
        <v>832</v>
      </c>
      <c r="B15" s="162"/>
      <c r="C15" s="48" t="s">
        <v>36</v>
      </c>
      <c r="D15" s="48" t="s">
        <v>647</v>
      </c>
      <c r="E15" s="48" t="s">
        <v>236</v>
      </c>
      <c r="F15" s="48" t="s">
        <v>741</v>
      </c>
      <c r="G15" s="48" t="s">
        <v>139</v>
      </c>
    </row>
    <row r="16" spans="1:9" s="11" customFormat="1" ht="30" customHeight="1">
      <c r="A16" s="243" t="s">
        <v>1089</v>
      </c>
      <c r="B16" s="244"/>
      <c r="C16" s="47"/>
      <c r="D16" s="47"/>
      <c r="E16" s="47"/>
      <c r="F16" s="47"/>
      <c r="G16" s="47">
        <f>C16+D16-E16-F16</f>
        <v>0</v>
      </c>
    </row>
    <row r="17" spans="1:7" s="11" customFormat="1" ht="30" customHeight="1">
      <c r="A17" s="245" t="s">
        <v>772</v>
      </c>
      <c r="B17" s="246"/>
      <c r="C17" s="37"/>
      <c r="D17" s="37"/>
      <c r="E17" s="37"/>
      <c r="F17" s="37"/>
      <c r="G17" s="37">
        <f>C17+D17-E17-F17</f>
        <v>0</v>
      </c>
    </row>
    <row r="18" spans="1:7" s="11" customFormat="1" ht="30" customHeight="1">
      <c r="A18" s="245" t="s">
        <v>753</v>
      </c>
      <c r="B18" s="246"/>
      <c r="C18" s="37"/>
      <c r="D18" s="37"/>
      <c r="E18" s="37"/>
      <c r="F18" s="37"/>
      <c r="G18" s="37">
        <f>C18+D18-E18-F18</f>
        <v>0</v>
      </c>
    </row>
    <row r="19" spans="1:7" s="11" customFormat="1" ht="30" customHeight="1">
      <c r="A19" s="245" t="s">
        <v>775</v>
      </c>
      <c r="B19" s="246"/>
      <c r="C19" s="37"/>
      <c r="D19" s="37"/>
      <c r="E19" s="37"/>
      <c r="F19" s="37"/>
      <c r="G19" s="37">
        <f>C19+D19-E19-F19</f>
        <v>0</v>
      </c>
    </row>
    <row r="20" spans="1:7" s="11" customFormat="1" ht="30" customHeight="1">
      <c r="A20" s="251" t="s">
        <v>1051</v>
      </c>
      <c r="B20" s="246"/>
      <c r="C20" s="37">
        <f>SUM(C16:C19)</f>
        <v>0</v>
      </c>
      <c r="D20" s="37">
        <f>SUM(D16:D19)</f>
        <v>0</v>
      </c>
      <c r="E20" s="37">
        <f>SUM(E16:E19)</f>
        <v>0</v>
      </c>
      <c r="F20" s="37">
        <f>SUM(F16:F19)</f>
        <v>0</v>
      </c>
      <c r="G20" s="37">
        <f>SUM(G16:G19)</f>
        <v>0</v>
      </c>
    </row>
    <row r="22" spans="1:7" s="11" customFormat="1" ht="30" customHeight="1">
      <c r="A22" s="190" t="s">
        <v>842</v>
      </c>
      <c r="B22" s="191"/>
      <c r="C22" s="191"/>
      <c r="D22" s="191"/>
      <c r="E22" s="191"/>
      <c r="F22" s="191"/>
      <c r="G22" s="191"/>
    </row>
    <row r="23" spans="1:7" s="11" customFormat="1" ht="15.75">
      <c r="A23" s="12"/>
    </row>
    <row r="24" spans="1:7" ht="15" customHeight="1">
      <c r="A24" s="252" t="s">
        <v>72</v>
      </c>
      <c r="B24" s="252"/>
      <c r="C24" s="252"/>
      <c r="D24" s="252" t="s">
        <v>452</v>
      </c>
      <c r="E24" s="252"/>
      <c r="F24" s="252"/>
      <c r="G24" s="253"/>
    </row>
    <row r="25" spans="1:7" ht="24.95" customHeight="1">
      <c r="A25" s="247" t="s">
        <v>148</v>
      </c>
      <c r="B25" s="247"/>
      <c r="C25" s="247"/>
      <c r="D25" s="248"/>
      <c r="E25" s="248"/>
      <c r="F25" s="248"/>
      <c r="G25" s="248"/>
    </row>
    <row r="26" spans="1:7" ht="24.95" customHeight="1">
      <c r="A26" s="249" t="s">
        <v>720</v>
      </c>
      <c r="B26" s="249"/>
      <c r="C26" s="249"/>
      <c r="D26" s="250"/>
      <c r="E26" s="250"/>
      <c r="F26" s="250"/>
      <c r="G26" s="250"/>
    </row>
  </sheetData>
  <sheetProtection sheet="1"/>
  <mergeCells count="14">
    <mergeCell ref="A19:B19"/>
    <mergeCell ref="A25:C25"/>
    <mergeCell ref="D25:G25"/>
    <mergeCell ref="A26:C26"/>
    <mergeCell ref="D26:G26"/>
    <mergeCell ref="A22:G22"/>
    <mergeCell ref="A20:B20"/>
    <mergeCell ref="A24:C24"/>
    <mergeCell ref="D24:G24"/>
    <mergeCell ref="A14:B14"/>
    <mergeCell ref="A15:B15"/>
    <mergeCell ref="A16:B16"/>
    <mergeCell ref="A17:B17"/>
    <mergeCell ref="A18:B18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32"/>
  <sheetViews>
    <sheetView topLeftCell="A22" workbookViewId="0">
      <selection activeCell="F17" sqref="F17"/>
    </sheetView>
  </sheetViews>
  <sheetFormatPr defaultRowHeight="15"/>
  <cols>
    <col min="1" max="8" width="10.7109375" customWidth="1"/>
  </cols>
  <sheetData>
    <row r="1" spans="1:8" s="11" customFormat="1"/>
    <row r="2" spans="1:8" s="11" customFormat="1" ht="15.75">
      <c r="A2" s="12" t="s">
        <v>502</v>
      </c>
    </row>
    <row r="3" spans="1:8" s="11" customFormat="1"/>
    <row r="4" spans="1:8" s="11" customFormat="1" ht="24.95" customHeight="1">
      <c r="A4" s="260" t="s">
        <v>210</v>
      </c>
      <c r="B4" s="260"/>
      <c r="C4" s="233" t="s">
        <v>941</v>
      </c>
      <c r="D4" s="233"/>
      <c r="E4" s="258" t="s">
        <v>1011</v>
      </c>
      <c r="F4" s="258"/>
      <c r="G4" s="258"/>
      <c r="H4" s="258"/>
    </row>
    <row r="5" spans="1:8" ht="24.95" customHeight="1">
      <c r="A5" s="259"/>
      <c r="B5" s="259"/>
      <c r="C5" s="252"/>
      <c r="D5" s="252"/>
      <c r="E5" s="259" t="s">
        <v>319</v>
      </c>
      <c r="F5" s="259"/>
      <c r="G5" s="252" t="s">
        <v>205</v>
      </c>
      <c r="H5" s="252"/>
    </row>
    <row r="6" spans="1:8" s="11" customFormat="1" ht="15" customHeight="1">
      <c r="A6" s="261"/>
      <c r="B6" s="262"/>
      <c r="C6" s="261"/>
      <c r="D6" s="262"/>
      <c r="E6" s="265"/>
      <c r="F6" s="266"/>
      <c r="G6" s="265"/>
      <c r="H6" s="266"/>
    </row>
    <row r="7" spans="1:8" s="11" customFormat="1" ht="15" customHeight="1">
      <c r="A7" s="263"/>
      <c r="B7" s="264"/>
      <c r="C7" s="263"/>
      <c r="D7" s="264"/>
      <c r="E7" s="267"/>
      <c r="F7" s="268"/>
      <c r="G7" s="267"/>
      <c r="H7" s="268"/>
    </row>
    <row r="8" spans="1:8" s="11" customFormat="1"/>
    <row r="9" spans="1:8" ht="15.75">
      <c r="A9" s="12" t="s">
        <v>896</v>
      </c>
    </row>
    <row r="11" spans="1:8" ht="60">
      <c r="A11" s="233" t="s">
        <v>498</v>
      </c>
      <c r="B11" s="194"/>
      <c r="C11" s="194"/>
      <c r="D11" s="43" t="s">
        <v>807</v>
      </c>
      <c r="E11" s="43" t="s">
        <v>491</v>
      </c>
      <c r="F11" s="43" t="s">
        <v>277</v>
      </c>
      <c r="G11" s="43" t="s">
        <v>419</v>
      </c>
      <c r="H11" s="43" t="s">
        <v>7</v>
      </c>
    </row>
    <row r="12" spans="1:8">
      <c r="A12" s="256" t="s">
        <v>832</v>
      </c>
      <c r="B12" s="256"/>
      <c r="C12" s="256"/>
      <c r="D12" s="48" t="s">
        <v>36</v>
      </c>
      <c r="E12" s="48" t="s">
        <v>647</v>
      </c>
      <c r="F12" s="48" t="s">
        <v>236</v>
      </c>
      <c r="G12" s="48" t="s">
        <v>741</v>
      </c>
      <c r="H12" s="48" t="s">
        <v>139</v>
      </c>
    </row>
    <row r="13" spans="1:8" ht="24.95" customHeight="1">
      <c r="A13" s="254" t="s">
        <v>522</v>
      </c>
      <c r="B13" s="254"/>
      <c r="C13" s="254"/>
      <c r="D13" s="47">
        <f>IF(ISERROR(VLOOKUP(322,Suvaha_BO!A:F,4,0)),0,VLOOKUP(322,Suvaha_BO!A:F,4,0))</f>
        <v>0</v>
      </c>
      <c r="E13" s="47">
        <f>IF(ISERROR(VLOOKUP(322,Suvaha_BO!A:F,6,0)),0,VLOOKUP(322,Suvaha_BO!A:F,6,0))</f>
        <v>0</v>
      </c>
      <c r="F13" s="47">
        <f>IF(ISERROR(VLOOKUP(322,Suvaha_BO!A:F,5,0)),0,VLOOKUP(322,Suvaha_BO!A:F,5,0))</f>
        <v>0</v>
      </c>
      <c r="G13" s="47"/>
      <c r="H13" s="47">
        <f t="shared" ref="H13:H19" si="0">D13+E13-F13-G13</f>
        <v>0</v>
      </c>
    </row>
    <row r="14" spans="1:8" ht="24.95" customHeight="1">
      <c r="A14" s="255" t="s">
        <v>757</v>
      </c>
      <c r="B14" s="255"/>
      <c r="C14" s="255"/>
      <c r="D14" s="38">
        <f>IF(ISERROR(VLOOKUP(332,Suvaha_BO!A:F,4,0)),0,VLOOKUP(332,Suvaha_BO!A:F,4,0))</f>
        <v>0</v>
      </c>
      <c r="E14" s="38">
        <f>IF(ISERROR(VLOOKUP(332,Suvaha_BO!A:F,6,0)),0,VLOOKUP(332,Suvaha_BO!A:F,6,0))</f>
        <v>0</v>
      </c>
      <c r="F14" s="38">
        <f>IF(ISERROR(VLOOKUP(332,Suvaha_BO!A:F,5,0)),0,VLOOKUP(332,Suvaha_BO!A:F,5,0))</f>
        <v>0</v>
      </c>
      <c r="G14" s="38"/>
      <c r="H14" s="38">
        <f t="shared" si="0"/>
        <v>0</v>
      </c>
    </row>
    <row r="15" spans="1:8" ht="24.95" customHeight="1">
      <c r="A15" s="255" t="s">
        <v>627</v>
      </c>
      <c r="B15" s="255"/>
      <c r="C15" s="255"/>
      <c r="D15" s="38">
        <f>IF(ISERROR(VLOOKUP(342,Suvaha_BO!A:F,4,0)),0,VLOOKUP(342,Suvaha_BO!A:F,4,0))</f>
        <v>0</v>
      </c>
      <c r="E15" s="38">
        <f>IF(ISERROR(VLOOKUP(342,Suvaha_BO!A:F,6,0)),0,VLOOKUP(342,Suvaha_BO!A:F,6,0))</f>
        <v>0</v>
      </c>
      <c r="F15" s="38">
        <f>IF(ISERROR(VLOOKUP(342,Suvaha_BO!A:F,5,0)),0,VLOOKUP(342,Suvaha_BO!A:F,5,0))</f>
        <v>0</v>
      </c>
      <c r="G15" s="38"/>
      <c r="H15" s="38">
        <f t="shared" si="0"/>
        <v>0</v>
      </c>
    </row>
    <row r="16" spans="1:8" ht="24.95" customHeight="1">
      <c r="A16" s="255" t="s">
        <v>263</v>
      </c>
      <c r="B16" s="255"/>
      <c r="C16" s="255"/>
      <c r="D16" s="38">
        <f>IF(ISERROR(VLOOKUP(352,Suvaha_BO!A:F,4,0)),0,VLOOKUP(352,Suvaha_BO!A:F,4,0))</f>
        <v>0</v>
      </c>
      <c r="E16" s="38">
        <f>IF(ISERROR(VLOOKUP(352,Suvaha_BO!A:F,6,0)),0,VLOOKUP(352,Suvaha_BO!A:F,6,0))</f>
        <v>0</v>
      </c>
      <c r="F16" s="38">
        <f>IF(ISERROR(VLOOKUP(352,Suvaha_BO!A:F,5,0)),0,VLOOKUP(352,Suvaha_BO!A:F,5,0))</f>
        <v>0</v>
      </c>
      <c r="G16" s="38"/>
      <c r="H16" s="38">
        <f t="shared" si="0"/>
        <v>0</v>
      </c>
    </row>
    <row r="17" spans="1:8" ht="24.95" customHeight="1">
      <c r="A17" s="255" t="s">
        <v>751</v>
      </c>
      <c r="B17" s="255"/>
      <c r="C17" s="255"/>
      <c r="D17" s="38">
        <f>IF(ISERROR(VLOOKUP(362,Suvaha_BO!A:F,4,0)),0,VLOOKUP(362,Suvaha_BO!A:F,4,0))</f>
        <v>0</v>
      </c>
      <c r="E17" s="38"/>
      <c r="F17" s="38"/>
      <c r="G17" s="38"/>
      <c r="H17" s="38">
        <f t="shared" si="0"/>
        <v>0</v>
      </c>
    </row>
    <row r="18" spans="1:8" s="11" customFormat="1" ht="24.95" customHeight="1">
      <c r="A18" s="255" t="s">
        <v>939</v>
      </c>
      <c r="B18" s="255"/>
      <c r="C18" s="255"/>
      <c r="D18" s="38"/>
      <c r="E18" s="38"/>
      <c r="F18" s="38"/>
      <c r="G18" s="38"/>
      <c r="H18" s="38">
        <f t="shared" si="0"/>
        <v>0</v>
      </c>
    </row>
    <row r="19" spans="1:8" s="11" customFormat="1" ht="24.95" customHeight="1">
      <c r="A19" s="255" t="s">
        <v>499</v>
      </c>
      <c r="B19" s="255"/>
      <c r="C19" s="255"/>
      <c r="D19" s="38">
        <f>IF(ISERROR(VLOOKUP(372,Suvaha_BO!A:F,4,0)),0,VLOOKUP(372,Suvaha_BO!A:F,4,0))</f>
        <v>0</v>
      </c>
      <c r="E19" s="38">
        <f>IF(ISERROR(VLOOKUP(372,Suvaha_BO!A:F,6,0)),0,VLOOKUP(372,Suvaha_BO!A:F,6,0))</f>
        <v>0</v>
      </c>
      <c r="F19" s="38">
        <f>IF(ISERROR(VLOOKUP(372,Suvaha_BO!A:F,5,0)),0,VLOOKUP(372,Suvaha_BO!A:F,5,0))</f>
        <v>0</v>
      </c>
      <c r="G19" s="38"/>
      <c r="H19" s="38">
        <f t="shared" si="0"/>
        <v>0</v>
      </c>
    </row>
    <row r="20" spans="1:8" s="11" customFormat="1" ht="24.95" customHeight="1">
      <c r="A20" s="257" t="s">
        <v>1108</v>
      </c>
      <c r="B20" s="257"/>
      <c r="C20" s="257"/>
      <c r="D20" s="40">
        <f>SUM(D13:D19)</f>
        <v>0</v>
      </c>
      <c r="E20" s="40">
        <f>SUM(E13:E19)</f>
        <v>0</v>
      </c>
      <c r="F20" s="40">
        <f>SUM(F13:F19)</f>
        <v>0</v>
      </c>
      <c r="G20" s="40">
        <f>SUM(G13:G19)</f>
        <v>0</v>
      </c>
      <c r="H20" s="40">
        <f>SUM(H13:H19)</f>
        <v>0</v>
      </c>
    </row>
    <row r="22" spans="1:8" s="11" customFormat="1" ht="15.75">
      <c r="A22" s="12" t="s">
        <v>291</v>
      </c>
    </row>
    <row r="24" spans="1:8" ht="24.95" customHeight="1">
      <c r="A24" s="252" t="s">
        <v>939</v>
      </c>
      <c r="B24" s="252"/>
      <c r="C24" s="252"/>
      <c r="D24" s="252"/>
      <c r="E24" s="252" t="s">
        <v>632</v>
      </c>
      <c r="F24" s="252"/>
      <c r="G24" s="252"/>
      <c r="H24" s="252"/>
    </row>
    <row r="25" spans="1:8" ht="24.95" customHeight="1">
      <c r="A25" s="254" t="s">
        <v>786</v>
      </c>
      <c r="B25" s="254"/>
      <c r="C25" s="254"/>
      <c r="D25" s="254"/>
      <c r="E25" s="248"/>
      <c r="F25" s="248"/>
      <c r="G25" s="248"/>
      <c r="H25" s="248"/>
    </row>
    <row r="26" spans="1:8" ht="24.95" customHeight="1">
      <c r="A26" s="255" t="s">
        <v>875</v>
      </c>
      <c r="B26" s="255"/>
      <c r="C26" s="255"/>
      <c r="D26" s="255"/>
      <c r="E26" s="250"/>
      <c r="F26" s="250"/>
      <c r="G26" s="250"/>
      <c r="H26" s="250"/>
    </row>
    <row r="28" spans="1:8" ht="30" customHeight="1">
      <c r="A28" s="190" t="s">
        <v>964</v>
      </c>
      <c r="B28" s="190"/>
      <c r="C28" s="190"/>
      <c r="D28" s="190"/>
      <c r="E28" s="190"/>
      <c r="F28" s="190"/>
      <c r="G28" s="190"/>
      <c r="H28" s="190"/>
    </row>
    <row r="30" spans="1:8" ht="24.95" customHeight="1">
      <c r="A30" s="252" t="s">
        <v>498</v>
      </c>
      <c r="B30" s="252"/>
      <c r="C30" s="252"/>
      <c r="D30" s="252"/>
      <c r="E30" s="252" t="s">
        <v>452</v>
      </c>
      <c r="F30" s="252"/>
      <c r="G30" s="252"/>
      <c r="H30" s="252"/>
    </row>
    <row r="31" spans="1:8" s="11" customFormat="1" ht="24.95" customHeight="1">
      <c r="A31" s="254" t="s">
        <v>633</v>
      </c>
      <c r="B31" s="254"/>
      <c r="C31" s="254"/>
      <c r="D31" s="254"/>
      <c r="E31" s="248"/>
      <c r="F31" s="248"/>
      <c r="G31" s="248"/>
      <c r="H31" s="248"/>
    </row>
    <row r="32" spans="1:8" s="11" customFormat="1" ht="24.95" customHeight="1">
      <c r="A32" s="255" t="s">
        <v>573</v>
      </c>
      <c r="B32" s="255"/>
      <c r="C32" s="255"/>
      <c r="D32" s="255"/>
      <c r="E32" s="250"/>
      <c r="F32" s="250"/>
      <c r="G32" s="250"/>
      <c r="H32" s="250"/>
    </row>
  </sheetData>
  <mergeCells count="36">
    <mergeCell ref="A11:C11"/>
    <mergeCell ref="A16:C16"/>
    <mergeCell ref="E4:H4"/>
    <mergeCell ref="E5:F5"/>
    <mergeCell ref="G5:H5"/>
    <mergeCell ref="A4:B5"/>
    <mergeCell ref="C4:D5"/>
    <mergeCell ref="A6:B6"/>
    <mergeCell ref="A7:B7"/>
    <mergeCell ref="C6:D6"/>
    <mergeCell ref="C7:D7"/>
    <mergeCell ref="E6:F6"/>
    <mergeCell ref="E7:F7"/>
    <mergeCell ref="G6:H6"/>
    <mergeCell ref="G7:H7"/>
    <mergeCell ref="E24:H24"/>
    <mergeCell ref="A12:C12"/>
    <mergeCell ref="A13:C13"/>
    <mergeCell ref="A14:C14"/>
    <mergeCell ref="A15:C15"/>
    <mergeCell ref="A17:C17"/>
    <mergeCell ref="A18:C18"/>
    <mergeCell ref="A19:C19"/>
    <mergeCell ref="A20:C20"/>
    <mergeCell ref="A24:D24"/>
    <mergeCell ref="A31:D31"/>
    <mergeCell ref="E31:H31"/>
    <mergeCell ref="A32:D32"/>
    <mergeCell ref="E32:H32"/>
    <mergeCell ref="A25:D25"/>
    <mergeCell ref="E25:H25"/>
    <mergeCell ref="A26:D26"/>
    <mergeCell ref="E26:H26"/>
    <mergeCell ref="A28:H28"/>
    <mergeCell ref="A30:D30"/>
    <mergeCell ref="E30:H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F135"/>
  <sheetViews>
    <sheetView topLeftCell="A64" workbookViewId="0">
      <selection activeCell="A64" sqref="A1:F1048576"/>
    </sheetView>
  </sheetViews>
  <sheetFormatPr defaultRowHeight="15"/>
  <cols>
    <col min="1" max="1" width="5.28515625" customWidth="1"/>
    <col min="2" max="2" width="74.85546875" customWidth="1"/>
    <col min="3" max="3" width="52.140625" customWidth="1"/>
    <col min="4" max="4" width="8" customWidth="1"/>
    <col min="5" max="5" width="9.140625" customWidth="1"/>
    <col min="6" max="6" width="9" customWidth="1"/>
  </cols>
  <sheetData>
    <row r="1" spans="1:6">
      <c r="A1" t="s">
        <v>869</v>
      </c>
      <c r="B1" t="s">
        <v>495</v>
      </c>
      <c r="C1" t="s">
        <v>32</v>
      </c>
      <c r="D1" t="s">
        <v>115</v>
      </c>
      <c r="E1" t="s">
        <v>435</v>
      </c>
      <c r="F1" t="s">
        <v>1061</v>
      </c>
    </row>
    <row r="2" spans="1:6">
      <c r="A2">
        <v>41</v>
      </c>
      <c r="B2" t="s">
        <v>902</v>
      </c>
      <c r="C2" t="s">
        <v>848</v>
      </c>
      <c r="D2">
        <v>0</v>
      </c>
      <c r="E2">
        <v>0</v>
      </c>
      <c r="F2">
        <v>0</v>
      </c>
    </row>
    <row r="3" spans="1:6">
      <c r="A3">
        <v>42</v>
      </c>
      <c r="B3" t="s">
        <v>902</v>
      </c>
      <c r="C3" t="s">
        <v>254</v>
      </c>
      <c r="D3">
        <v>0</v>
      </c>
      <c r="E3">
        <v>0</v>
      </c>
      <c r="F3">
        <v>0</v>
      </c>
    </row>
    <row r="4" spans="1:6">
      <c r="A4">
        <v>43</v>
      </c>
      <c r="B4" t="s">
        <v>902</v>
      </c>
      <c r="C4" t="s">
        <v>58</v>
      </c>
      <c r="D4">
        <v>0</v>
      </c>
      <c r="E4">
        <v>0</v>
      </c>
      <c r="F4">
        <v>0</v>
      </c>
    </row>
    <row r="5" spans="1:6">
      <c r="A5">
        <v>51</v>
      </c>
      <c r="B5" t="s">
        <v>697</v>
      </c>
      <c r="C5" t="s">
        <v>406</v>
      </c>
      <c r="D5">
        <v>29691</v>
      </c>
      <c r="E5">
        <v>0</v>
      </c>
      <c r="F5">
        <v>0</v>
      </c>
    </row>
    <row r="6" spans="1:6">
      <c r="A6">
        <v>52</v>
      </c>
      <c r="B6" t="s">
        <v>697</v>
      </c>
      <c r="C6" t="s">
        <v>918</v>
      </c>
      <c r="D6">
        <v>13838</v>
      </c>
      <c r="E6">
        <v>0</v>
      </c>
      <c r="F6">
        <v>6024</v>
      </c>
    </row>
    <row r="7" spans="1:6">
      <c r="A7">
        <v>53</v>
      </c>
      <c r="B7" t="s">
        <v>697</v>
      </c>
      <c r="C7" t="s">
        <v>58</v>
      </c>
      <c r="D7">
        <v>0</v>
      </c>
      <c r="E7">
        <v>0</v>
      </c>
      <c r="F7">
        <v>0</v>
      </c>
    </row>
    <row r="8" spans="1:6">
      <c r="A8">
        <v>61</v>
      </c>
      <c r="B8" t="s">
        <v>346</v>
      </c>
      <c r="C8" t="s">
        <v>167</v>
      </c>
      <c r="D8">
        <v>0</v>
      </c>
      <c r="E8">
        <v>0</v>
      </c>
      <c r="F8">
        <v>0</v>
      </c>
    </row>
    <row r="9" spans="1:6">
      <c r="A9">
        <v>62</v>
      </c>
      <c r="B9" t="s">
        <v>346</v>
      </c>
      <c r="C9" t="s">
        <v>769</v>
      </c>
      <c r="D9">
        <v>0</v>
      </c>
      <c r="E9">
        <v>0</v>
      </c>
      <c r="F9">
        <v>0</v>
      </c>
    </row>
    <row r="10" spans="1:6">
      <c r="A10">
        <v>63</v>
      </c>
      <c r="B10" t="s">
        <v>346</v>
      </c>
      <c r="C10" t="s">
        <v>58</v>
      </c>
      <c r="D10">
        <v>0</v>
      </c>
      <c r="E10">
        <v>0</v>
      </c>
      <c r="F10">
        <v>0</v>
      </c>
    </row>
    <row r="11" spans="1:6">
      <c r="A11">
        <v>71</v>
      </c>
      <c r="B11" t="s">
        <v>445</v>
      </c>
      <c r="C11" t="s">
        <v>853</v>
      </c>
      <c r="D11">
        <v>0</v>
      </c>
      <c r="E11">
        <v>0</v>
      </c>
      <c r="F11">
        <v>0</v>
      </c>
    </row>
    <row r="12" spans="1:6">
      <c r="A12">
        <v>72</v>
      </c>
      <c r="B12" t="s">
        <v>445</v>
      </c>
      <c r="C12" t="s">
        <v>317</v>
      </c>
      <c r="D12">
        <v>0</v>
      </c>
      <c r="E12">
        <v>0</v>
      </c>
      <c r="F12">
        <v>0</v>
      </c>
    </row>
    <row r="13" spans="1:6">
      <c r="A13">
        <v>73</v>
      </c>
      <c r="B13" t="s">
        <v>445</v>
      </c>
      <c r="C13" t="s">
        <v>58</v>
      </c>
      <c r="D13">
        <v>0</v>
      </c>
      <c r="E13">
        <v>0</v>
      </c>
      <c r="F13">
        <v>0</v>
      </c>
    </row>
    <row r="14" spans="1:6">
      <c r="A14">
        <v>81</v>
      </c>
      <c r="B14" t="s">
        <v>524</v>
      </c>
      <c r="C14" t="s">
        <v>731</v>
      </c>
      <c r="D14">
        <v>0</v>
      </c>
      <c r="E14">
        <v>0</v>
      </c>
      <c r="F14">
        <v>0</v>
      </c>
    </row>
    <row r="15" spans="1:6">
      <c r="A15">
        <v>82</v>
      </c>
      <c r="B15" t="s">
        <v>524</v>
      </c>
      <c r="C15" t="s">
        <v>879</v>
      </c>
      <c r="D15">
        <v>0</v>
      </c>
      <c r="E15">
        <v>0</v>
      </c>
      <c r="F15">
        <v>0</v>
      </c>
    </row>
    <row r="16" spans="1:6">
      <c r="A16">
        <v>91</v>
      </c>
      <c r="B16" t="s">
        <v>996</v>
      </c>
      <c r="C16" t="s">
        <v>705</v>
      </c>
      <c r="D16">
        <v>0</v>
      </c>
      <c r="E16">
        <v>0</v>
      </c>
      <c r="F16">
        <v>0</v>
      </c>
    </row>
    <row r="17" spans="1:6">
      <c r="A17">
        <v>92</v>
      </c>
      <c r="B17" t="s">
        <v>996</v>
      </c>
      <c r="C17" t="s">
        <v>595</v>
      </c>
      <c r="D17">
        <v>0</v>
      </c>
      <c r="E17">
        <v>0</v>
      </c>
      <c r="F17">
        <v>0</v>
      </c>
    </row>
    <row r="18" spans="1:6">
      <c r="A18">
        <v>101</v>
      </c>
      <c r="B18" t="s">
        <v>111</v>
      </c>
      <c r="C18" t="s">
        <v>134</v>
      </c>
      <c r="D18">
        <v>0</v>
      </c>
      <c r="E18">
        <v>0</v>
      </c>
      <c r="F18">
        <v>0</v>
      </c>
    </row>
    <row r="19" spans="1:6">
      <c r="A19">
        <v>102</v>
      </c>
      <c r="B19" t="s">
        <v>111</v>
      </c>
      <c r="C19" t="s">
        <v>142</v>
      </c>
      <c r="D19">
        <v>0</v>
      </c>
      <c r="E19">
        <v>0</v>
      </c>
      <c r="F19">
        <v>0</v>
      </c>
    </row>
    <row r="20" spans="1:6">
      <c r="A20">
        <v>121</v>
      </c>
      <c r="B20" t="s">
        <v>789</v>
      </c>
      <c r="C20" t="s">
        <v>674</v>
      </c>
      <c r="D20">
        <v>0</v>
      </c>
      <c r="E20">
        <v>0</v>
      </c>
      <c r="F20">
        <v>0</v>
      </c>
    </row>
    <row r="21" spans="1:6">
      <c r="A21">
        <v>122</v>
      </c>
      <c r="B21" t="s">
        <v>789</v>
      </c>
      <c r="C21" t="s">
        <v>422</v>
      </c>
      <c r="D21">
        <v>0</v>
      </c>
      <c r="E21">
        <v>0</v>
      </c>
      <c r="F21">
        <v>0</v>
      </c>
    </row>
    <row r="22" spans="1:6">
      <c r="A22">
        <v>131</v>
      </c>
      <c r="B22" t="s">
        <v>336</v>
      </c>
      <c r="C22" t="s">
        <v>89</v>
      </c>
      <c r="D22">
        <v>85381</v>
      </c>
      <c r="E22">
        <v>0</v>
      </c>
      <c r="F22">
        <v>0</v>
      </c>
    </row>
    <row r="23" spans="1:6">
      <c r="A23">
        <v>132</v>
      </c>
      <c r="B23" t="s">
        <v>336</v>
      </c>
      <c r="C23" t="s">
        <v>637</v>
      </c>
      <c r="D23">
        <v>12809</v>
      </c>
      <c r="E23">
        <v>0</v>
      </c>
      <c r="F23">
        <v>4270</v>
      </c>
    </row>
    <row r="24" spans="1:6">
      <c r="A24">
        <v>141</v>
      </c>
      <c r="B24" t="s">
        <v>651</v>
      </c>
      <c r="C24" t="s">
        <v>546</v>
      </c>
      <c r="D24">
        <v>67237</v>
      </c>
      <c r="E24">
        <v>0</v>
      </c>
      <c r="F24">
        <v>0</v>
      </c>
    </row>
    <row r="25" spans="1:6">
      <c r="A25">
        <v>142</v>
      </c>
      <c r="B25" t="s">
        <v>651</v>
      </c>
      <c r="C25" t="s">
        <v>995</v>
      </c>
      <c r="D25">
        <v>58871</v>
      </c>
      <c r="E25">
        <v>0</v>
      </c>
      <c r="F25">
        <v>1802</v>
      </c>
    </row>
    <row r="26" spans="1:6">
      <c r="A26">
        <v>151</v>
      </c>
      <c r="B26" t="s">
        <v>18</v>
      </c>
      <c r="C26" t="s">
        <v>23</v>
      </c>
      <c r="D26">
        <v>0</v>
      </c>
      <c r="E26">
        <v>0</v>
      </c>
      <c r="F26">
        <v>0</v>
      </c>
    </row>
    <row r="27" spans="1:6">
      <c r="A27">
        <v>152</v>
      </c>
      <c r="B27" t="s">
        <v>18</v>
      </c>
      <c r="C27" t="s">
        <v>696</v>
      </c>
      <c r="D27">
        <v>0</v>
      </c>
      <c r="E27">
        <v>0</v>
      </c>
      <c r="F27">
        <v>0</v>
      </c>
    </row>
    <row r="28" spans="1:6">
      <c r="A28">
        <v>153</v>
      </c>
      <c r="B28" t="s">
        <v>18</v>
      </c>
      <c r="C28" t="s">
        <v>422</v>
      </c>
      <c r="D28">
        <v>0</v>
      </c>
      <c r="E28">
        <v>0</v>
      </c>
      <c r="F28">
        <v>0</v>
      </c>
    </row>
    <row r="29" spans="1:6">
      <c r="A29">
        <v>161</v>
      </c>
      <c r="B29" t="s">
        <v>554</v>
      </c>
      <c r="C29" t="s">
        <v>465</v>
      </c>
      <c r="D29">
        <v>0</v>
      </c>
      <c r="E29">
        <v>0</v>
      </c>
      <c r="F29">
        <v>0</v>
      </c>
    </row>
    <row r="30" spans="1:6">
      <c r="A30">
        <v>162</v>
      </c>
      <c r="B30" t="s">
        <v>554</v>
      </c>
      <c r="C30" t="s">
        <v>1060</v>
      </c>
      <c r="D30">
        <v>0</v>
      </c>
      <c r="E30">
        <v>0</v>
      </c>
      <c r="F30">
        <v>0</v>
      </c>
    </row>
    <row r="31" spans="1:6">
      <c r="A31">
        <v>163</v>
      </c>
      <c r="B31" t="s">
        <v>554</v>
      </c>
      <c r="C31" t="s">
        <v>422</v>
      </c>
      <c r="D31">
        <v>0</v>
      </c>
      <c r="E31">
        <v>0</v>
      </c>
      <c r="F31">
        <v>0</v>
      </c>
    </row>
    <row r="32" spans="1:6">
      <c r="A32">
        <v>171</v>
      </c>
      <c r="B32" t="s">
        <v>582</v>
      </c>
      <c r="C32" t="s">
        <v>1000</v>
      </c>
      <c r="D32">
        <v>22701</v>
      </c>
      <c r="E32">
        <v>2283</v>
      </c>
      <c r="F32">
        <v>951</v>
      </c>
    </row>
    <row r="33" spans="1:6">
      <c r="A33">
        <v>172</v>
      </c>
      <c r="B33" t="s">
        <v>582</v>
      </c>
      <c r="C33" t="s">
        <v>99</v>
      </c>
      <c r="D33">
        <v>15161</v>
      </c>
      <c r="E33">
        <v>951</v>
      </c>
      <c r="F33">
        <v>4967</v>
      </c>
    </row>
    <row r="34" spans="1:6">
      <c r="A34">
        <v>173</v>
      </c>
      <c r="B34" t="s">
        <v>582</v>
      </c>
      <c r="C34" t="s">
        <v>40</v>
      </c>
      <c r="D34">
        <v>0</v>
      </c>
      <c r="E34">
        <v>0</v>
      </c>
      <c r="F34">
        <v>0</v>
      </c>
    </row>
    <row r="35" spans="1:6">
      <c r="A35">
        <v>174</v>
      </c>
      <c r="B35" t="s">
        <v>582</v>
      </c>
      <c r="C35" t="s">
        <v>422</v>
      </c>
      <c r="D35">
        <v>0</v>
      </c>
      <c r="E35">
        <v>0</v>
      </c>
      <c r="F35">
        <v>0</v>
      </c>
    </row>
    <row r="36" spans="1:6">
      <c r="A36">
        <v>181</v>
      </c>
      <c r="B36" t="s">
        <v>594</v>
      </c>
      <c r="C36" t="s">
        <v>1077</v>
      </c>
      <c r="D36">
        <v>0</v>
      </c>
      <c r="E36">
        <v>2283</v>
      </c>
      <c r="F36">
        <v>2283</v>
      </c>
    </row>
    <row r="37" spans="1:6">
      <c r="A37">
        <v>182</v>
      </c>
      <c r="B37" t="s">
        <v>594</v>
      </c>
      <c r="C37" t="s">
        <v>1115</v>
      </c>
      <c r="D37">
        <v>0</v>
      </c>
      <c r="E37">
        <v>0</v>
      </c>
      <c r="F37">
        <v>0</v>
      </c>
    </row>
    <row r="38" spans="1:6">
      <c r="A38">
        <v>191</v>
      </c>
      <c r="B38" t="s">
        <v>98</v>
      </c>
      <c r="C38" t="s">
        <v>494</v>
      </c>
      <c r="D38">
        <v>0</v>
      </c>
      <c r="E38">
        <v>0</v>
      </c>
      <c r="F38">
        <v>0</v>
      </c>
    </row>
    <row r="39" spans="1:6">
      <c r="A39">
        <v>192</v>
      </c>
      <c r="B39" t="s">
        <v>98</v>
      </c>
      <c r="C39" t="s">
        <v>142</v>
      </c>
      <c r="D39">
        <v>0</v>
      </c>
      <c r="E39">
        <v>0</v>
      </c>
      <c r="F39">
        <v>0</v>
      </c>
    </row>
    <row r="40" spans="1:6">
      <c r="A40">
        <v>202</v>
      </c>
      <c r="B40" t="s">
        <v>369</v>
      </c>
      <c r="C40" t="s">
        <v>110</v>
      </c>
      <c r="D40">
        <v>0</v>
      </c>
      <c r="E40">
        <v>0</v>
      </c>
      <c r="F40">
        <v>0</v>
      </c>
    </row>
    <row r="41" spans="1:6">
      <c r="A41">
        <v>221</v>
      </c>
      <c r="B41" t="s">
        <v>695</v>
      </c>
      <c r="C41" t="s">
        <v>948</v>
      </c>
      <c r="D41">
        <v>0</v>
      </c>
      <c r="E41">
        <v>0</v>
      </c>
      <c r="F41">
        <v>0</v>
      </c>
    </row>
    <row r="42" spans="1:6">
      <c r="A42">
        <v>222</v>
      </c>
      <c r="B42" t="s">
        <v>695</v>
      </c>
      <c r="C42" t="s">
        <v>503</v>
      </c>
      <c r="D42">
        <v>0</v>
      </c>
      <c r="E42">
        <v>0</v>
      </c>
      <c r="F42">
        <v>0</v>
      </c>
    </row>
    <row r="43" spans="1:6">
      <c r="A43">
        <v>231</v>
      </c>
      <c r="B43" t="s">
        <v>714</v>
      </c>
      <c r="C43" t="s">
        <v>801</v>
      </c>
      <c r="D43">
        <v>0</v>
      </c>
      <c r="E43">
        <v>0</v>
      </c>
      <c r="F43">
        <v>0</v>
      </c>
    </row>
    <row r="44" spans="1:6">
      <c r="A44">
        <v>232</v>
      </c>
      <c r="B44" t="s">
        <v>714</v>
      </c>
      <c r="C44" t="s">
        <v>503</v>
      </c>
      <c r="D44">
        <v>0</v>
      </c>
      <c r="E44">
        <v>0</v>
      </c>
      <c r="F44">
        <v>0</v>
      </c>
    </row>
    <row r="45" spans="1:6">
      <c r="A45">
        <v>241</v>
      </c>
      <c r="B45" t="s">
        <v>811</v>
      </c>
      <c r="C45" t="s">
        <v>304</v>
      </c>
      <c r="D45">
        <v>0</v>
      </c>
      <c r="E45">
        <v>0</v>
      </c>
      <c r="F45">
        <v>0</v>
      </c>
    </row>
    <row r="46" spans="1:6">
      <c r="A46">
        <v>242</v>
      </c>
      <c r="B46" t="s">
        <v>811</v>
      </c>
      <c r="C46" t="s">
        <v>503</v>
      </c>
      <c r="D46">
        <v>0</v>
      </c>
      <c r="E46">
        <v>0</v>
      </c>
      <c r="F46">
        <v>0</v>
      </c>
    </row>
    <row r="47" spans="1:6">
      <c r="A47">
        <v>251</v>
      </c>
      <c r="B47" t="s">
        <v>891</v>
      </c>
      <c r="C47" t="s">
        <v>746</v>
      </c>
      <c r="D47">
        <v>0</v>
      </c>
      <c r="E47">
        <v>0</v>
      </c>
      <c r="F47">
        <v>0</v>
      </c>
    </row>
    <row r="48" spans="1:6">
      <c r="A48">
        <v>252</v>
      </c>
      <c r="B48" t="s">
        <v>891</v>
      </c>
      <c r="C48" t="s">
        <v>503</v>
      </c>
      <c r="D48">
        <v>0</v>
      </c>
      <c r="E48">
        <v>0</v>
      </c>
      <c r="F48">
        <v>0</v>
      </c>
    </row>
    <row r="49" spans="1:6">
      <c r="A49">
        <v>261</v>
      </c>
      <c r="B49" t="s">
        <v>1121</v>
      </c>
      <c r="C49" t="s">
        <v>884</v>
      </c>
      <c r="D49">
        <v>0</v>
      </c>
      <c r="E49">
        <v>0</v>
      </c>
      <c r="F49">
        <v>0</v>
      </c>
    </row>
    <row r="50" spans="1:6">
      <c r="A50">
        <v>262</v>
      </c>
      <c r="B50" t="s">
        <v>1121</v>
      </c>
      <c r="C50" t="s">
        <v>503</v>
      </c>
      <c r="D50">
        <v>0</v>
      </c>
      <c r="E50">
        <v>0</v>
      </c>
      <c r="F50">
        <v>0</v>
      </c>
    </row>
    <row r="51" spans="1:6">
      <c r="A51">
        <v>281</v>
      </c>
      <c r="B51" t="s">
        <v>986</v>
      </c>
      <c r="C51" t="s">
        <v>97</v>
      </c>
      <c r="D51">
        <v>0</v>
      </c>
      <c r="E51">
        <v>0</v>
      </c>
      <c r="F51">
        <v>0</v>
      </c>
    </row>
    <row r="52" spans="1:6">
      <c r="A52">
        <v>282</v>
      </c>
      <c r="B52" t="s">
        <v>986</v>
      </c>
      <c r="C52" t="s">
        <v>503</v>
      </c>
      <c r="D52">
        <v>0</v>
      </c>
      <c r="E52">
        <v>0</v>
      </c>
      <c r="F52">
        <v>0</v>
      </c>
    </row>
    <row r="53" spans="1:6">
      <c r="A53">
        <v>291</v>
      </c>
      <c r="B53" t="s">
        <v>493</v>
      </c>
      <c r="C53" t="s">
        <v>669</v>
      </c>
      <c r="D53">
        <v>0</v>
      </c>
      <c r="E53">
        <v>0</v>
      </c>
      <c r="F53">
        <v>0</v>
      </c>
    </row>
    <row r="54" spans="1:6">
      <c r="A54">
        <v>292</v>
      </c>
      <c r="B54" t="s">
        <v>493</v>
      </c>
      <c r="C54" t="s">
        <v>142</v>
      </c>
      <c r="D54">
        <v>0</v>
      </c>
      <c r="E54">
        <v>0</v>
      </c>
      <c r="F54">
        <v>0</v>
      </c>
    </row>
    <row r="55" spans="1:6">
      <c r="A55">
        <v>321</v>
      </c>
      <c r="B55" t="s">
        <v>335</v>
      </c>
      <c r="C55" t="s">
        <v>847</v>
      </c>
      <c r="D55">
        <v>0</v>
      </c>
      <c r="E55">
        <v>0</v>
      </c>
      <c r="F55">
        <v>0</v>
      </c>
    </row>
    <row r="56" spans="1:6">
      <c r="A56">
        <v>322</v>
      </c>
      <c r="B56" t="s">
        <v>335</v>
      </c>
      <c r="C56" t="s">
        <v>1088</v>
      </c>
      <c r="D56">
        <v>0</v>
      </c>
      <c r="E56">
        <v>0</v>
      </c>
      <c r="F56">
        <v>0</v>
      </c>
    </row>
    <row r="57" spans="1:6">
      <c r="A57">
        <v>331</v>
      </c>
      <c r="B57" t="s">
        <v>835</v>
      </c>
      <c r="C57" t="s">
        <v>209</v>
      </c>
      <c r="D57">
        <v>0</v>
      </c>
      <c r="E57">
        <v>0</v>
      </c>
      <c r="F57">
        <v>0</v>
      </c>
    </row>
    <row r="58" spans="1:6">
      <c r="A58">
        <v>332</v>
      </c>
      <c r="B58" t="s">
        <v>835</v>
      </c>
      <c r="C58" t="s">
        <v>952</v>
      </c>
      <c r="D58">
        <v>0</v>
      </c>
      <c r="E58">
        <v>0</v>
      </c>
      <c r="F58">
        <v>0</v>
      </c>
    </row>
    <row r="59" spans="1:6">
      <c r="A59">
        <v>341</v>
      </c>
      <c r="B59" t="s">
        <v>768</v>
      </c>
      <c r="C59" t="s">
        <v>444</v>
      </c>
      <c r="D59">
        <v>0</v>
      </c>
      <c r="E59">
        <v>0</v>
      </c>
      <c r="F59">
        <v>0</v>
      </c>
    </row>
    <row r="60" spans="1:6">
      <c r="A60">
        <v>342</v>
      </c>
      <c r="B60" t="s">
        <v>768</v>
      </c>
      <c r="C60" t="s">
        <v>3</v>
      </c>
      <c r="D60">
        <v>0</v>
      </c>
      <c r="E60">
        <v>0</v>
      </c>
      <c r="F60">
        <v>0</v>
      </c>
    </row>
    <row r="61" spans="1:6">
      <c r="A61">
        <v>351</v>
      </c>
      <c r="B61" t="s">
        <v>1086</v>
      </c>
      <c r="C61" t="s">
        <v>121</v>
      </c>
      <c r="D61">
        <v>0</v>
      </c>
      <c r="E61">
        <v>0</v>
      </c>
      <c r="F61">
        <v>0</v>
      </c>
    </row>
    <row r="62" spans="1:6">
      <c r="A62">
        <v>352</v>
      </c>
      <c r="B62" t="s">
        <v>1086</v>
      </c>
      <c r="C62" t="s">
        <v>999</v>
      </c>
      <c r="D62">
        <v>0</v>
      </c>
      <c r="E62">
        <v>0</v>
      </c>
      <c r="F62">
        <v>0</v>
      </c>
    </row>
    <row r="63" spans="1:6">
      <c r="A63">
        <v>361</v>
      </c>
      <c r="B63" t="s">
        <v>356</v>
      </c>
      <c r="C63" t="s">
        <v>745</v>
      </c>
      <c r="D63">
        <v>0</v>
      </c>
      <c r="E63">
        <v>0</v>
      </c>
      <c r="F63">
        <v>0</v>
      </c>
    </row>
    <row r="64" spans="1:6">
      <c r="A64">
        <v>362</v>
      </c>
      <c r="B64" t="s">
        <v>356</v>
      </c>
      <c r="C64" t="s">
        <v>77</v>
      </c>
      <c r="D64">
        <v>0</v>
      </c>
      <c r="E64">
        <v>9287</v>
      </c>
      <c r="F64">
        <v>9287</v>
      </c>
    </row>
    <row r="65" spans="1:6">
      <c r="A65">
        <v>363</v>
      </c>
      <c r="B65" t="s">
        <v>356</v>
      </c>
      <c r="C65" t="s">
        <v>617</v>
      </c>
      <c r="D65">
        <v>0</v>
      </c>
      <c r="E65">
        <v>0</v>
      </c>
      <c r="F65">
        <v>0</v>
      </c>
    </row>
    <row r="66" spans="1:6">
      <c r="A66">
        <v>451</v>
      </c>
      <c r="B66" t="s">
        <v>1016</v>
      </c>
      <c r="C66" t="s">
        <v>162</v>
      </c>
      <c r="D66">
        <v>0</v>
      </c>
      <c r="E66">
        <v>0</v>
      </c>
      <c r="F66">
        <v>0</v>
      </c>
    </row>
    <row r="67" spans="1:6">
      <c r="A67">
        <v>471</v>
      </c>
      <c r="B67" t="s">
        <v>727</v>
      </c>
      <c r="C67" t="s">
        <v>958</v>
      </c>
      <c r="D67">
        <v>351030</v>
      </c>
      <c r="E67">
        <v>1019062</v>
      </c>
      <c r="F67">
        <v>1229341</v>
      </c>
    </row>
    <row r="68" spans="1:6">
      <c r="A68">
        <v>472</v>
      </c>
      <c r="B68" t="s">
        <v>727</v>
      </c>
      <c r="C68" t="s">
        <v>2</v>
      </c>
      <c r="D68">
        <v>5281</v>
      </c>
      <c r="E68">
        <v>0</v>
      </c>
      <c r="F68">
        <v>7927</v>
      </c>
    </row>
    <row r="69" spans="1:6">
      <c r="A69">
        <v>481</v>
      </c>
      <c r="B69" t="s">
        <v>895</v>
      </c>
      <c r="C69" t="s">
        <v>711</v>
      </c>
      <c r="D69">
        <v>0</v>
      </c>
      <c r="E69">
        <v>0</v>
      </c>
      <c r="F69">
        <v>0</v>
      </c>
    </row>
    <row r="70" spans="1:6">
      <c r="A70">
        <v>501</v>
      </c>
      <c r="B70" t="s">
        <v>571</v>
      </c>
      <c r="C70" t="s">
        <v>69</v>
      </c>
      <c r="D70">
        <v>0</v>
      </c>
      <c r="E70">
        <v>0</v>
      </c>
      <c r="F70">
        <v>0</v>
      </c>
    </row>
    <row r="71" spans="1:6">
      <c r="A71">
        <v>511</v>
      </c>
      <c r="B71" t="s">
        <v>144</v>
      </c>
      <c r="C71" t="s">
        <v>540</v>
      </c>
      <c r="D71">
        <v>0</v>
      </c>
      <c r="E71">
        <v>0</v>
      </c>
      <c r="F71">
        <v>0</v>
      </c>
    </row>
    <row r="72" spans="1:6">
      <c r="A72">
        <v>512</v>
      </c>
      <c r="B72" t="s">
        <v>144</v>
      </c>
      <c r="C72" t="s">
        <v>581</v>
      </c>
      <c r="D72">
        <v>0</v>
      </c>
      <c r="E72">
        <v>0</v>
      </c>
      <c r="F72">
        <v>0</v>
      </c>
    </row>
    <row r="73" spans="1:6">
      <c r="A73">
        <v>521</v>
      </c>
      <c r="B73" t="s">
        <v>536</v>
      </c>
      <c r="C73" t="s">
        <v>1015</v>
      </c>
      <c r="D73">
        <v>-820</v>
      </c>
      <c r="E73">
        <v>7885</v>
      </c>
      <c r="F73">
        <v>7600</v>
      </c>
    </row>
    <row r="74" spans="1:6">
      <c r="A74">
        <v>531</v>
      </c>
      <c r="B74" t="s">
        <v>872</v>
      </c>
      <c r="C74" t="s">
        <v>78</v>
      </c>
      <c r="D74">
        <v>-6825</v>
      </c>
      <c r="E74">
        <v>241659</v>
      </c>
      <c r="F74">
        <v>235877</v>
      </c>
    </row>
    <row r="75" spans="1:6">
      <c r="A75">
        <v>541</v>
      </c>
      <c r="B75" t="s">
        <v>756</v>
      </c>
      <c r="C75" t="s">
        <v>784</v>
      </c>
      <c r="D75">
        <v>18</v>
      </c>
      <c r="E75">
        <v>161</v>
      </c>
      <c r="F75">
        <v>176</v>
      </c>
    </row>
    <row r="76" spans="1:6">
      <c r="A76">
        <v>542</v>
      </c>
      <c r="B76" t="s">
        <v>756</v>
      </c>
      <c r="C76" t="s">
        <v>390</v>
      </c>
      <c r="D76">
        <v>0</v>
      </c>
      <c r="E76">
        <v>0</v>
      </c>
      <c r="F76">
        <v>0</v>
      </c>
    </row>
    <row r="77" spans="1:6">
      <c r="A77">
        <v>561</v>
      </c>
      <c r="B77" t="s">
        <v>723</v>
      </c>
      <c r="C77" t="s">
        <v>744</v>
      </c>
      <c r="D77">
        <v>9328</v>
      </c>
      <c r="E77">
        <v>62033</v>
      </c>
      <c r="F77">
        <v>69801</v>
      </c>
    </row>
    <row r="78" spans="1:6">
      <c r="A78">
        <v>571</v>
      </c>
      <c r="B78" t="s">
        <v>343</v>
      </c>
      <c r="C78" t="s">
        <v>980</v>
      </c>
      <c r="D78">
        <v>28338</v>
      </c>
      <c r="E78">
        <v>1189706</v>
      </c>
      <c r="F78">
        <v>1191015</v>
      </c>
    </row>
    <row r="79" spans="1:6">
      <c r="A79">
        <v>572</v>
      </c>
      <c r="B79" t="s">
        <v>343</v>
      </c>
      <c r="C79" t="s">
        <v>215</v>
      </c>
      <c r="D79">
        <v>0</v>
      </c>
      <c r="E79">
        <v>24363</v>
      </c>
      <c r="F79">
        <v>24363</v>
      </c>
    </row>
    <row r="80" spans="1:6">
      <c r="A80">
        <v>591</v>
      </c>
      <c r="B80" t="s">
        <v>104</v>
      </c>
      <c r="C80" t="s">
        <v>597</v>
      </c>
      <c r="D80">
        <v>0</v>
      </c>
      <c r="E80">
        <v>0</v>
      </c>
      <c r="F80">
        <v>0</v>
      </c>
    </row>
    <row r="81" spans="1:6">
      <c r="A81">
        <v>592</v>
      </c>
      <c r="B81" t="s">
        <v>104</v>
      </c>
      <c r="C81" t="s">
        <v>1114</v>
      </c>
      <c r="D81">
        <v>0</v>
      </c>
      <c r="E81">
        <v>0</v>
      </c>
      <c r="F81">
        <v>0</v>
      </c>
    </row>
    <row r="82" spans="1:6">
      <c r="A82">
        <v>601</v>
      </c>
      <c r="B82" t="s">
        <v>774</v>
      </c>
      <c r="C82" t="s">
        <v>636</v>
      </c>
      <c r="D82">
        <v>0</v>
      </c>
      <c r="E82">
        <v>0</v>
      </c>
      <c r="F82">
        <v>0</v>
      </c>
    </row>
    <row r="83" spans="1:6">
      <c r="A83">
        <v>602</v>
      </c>
      <c r="B83" t="s">
        <v>774</v>
      </c>
      <c r="C83" t="s">
        <v>1114</v>
      </c>
      <c r="D83">
        <v>0</v>
      </c>
      <c r="E83">
        <v>0</v>
      </c>
      <c r="F83">
        <v>0</v>
      </c>
    </row>
    <row r="84" spans="1:6">
      <c r="A84">
        <v>621</v>
      </c>
      <c r="B84" t="s">
        <v>698</v>
      </c>
      <c r="C84" t="s">
        <v>41</v>
      </c>
      <c r="D84">
        <v>0</v>
      </c>
      <c r="E84">
        <v>0</v>
      </c>
      <c r="F84">
        <v>0</v>
      </c>
    </row>
    <row r="85" spans="1:6">
      <c r="A85">
        <v>631</v>
      </c>
      <c r="B85" t="s">
        <v>133</v>
      </c>
      <c r="C85" t="s">
        <v>284</v>
      </c>
      <c r="D85">
        <v>96132</v>
      </c>
      <c r="E85">
        <v>160830</v>
      </c>
      <c r="F85">
        <v>204932</v>
      </c>
    </row>
    <row r="86" spans="1:6">
      <c r="A86">
        <v>641</v>
      </c>
      <c r="B86" t="s">
        <v>868</v>
      </c>
      <c r="C86" t="s">
        <v>41</v>
      </c>
      <c r="D86">
        <v>0</v>
      </c>
      <c r="E86">
        <v>0</v>
      </c>
      <c r="F86">
        <v>0</v>
      </c>
    </row>
    <row r="87" spans="1:6">
      <c r="A87">
        <v>651</v>
      </c>
      <c r="B87" t="s">
        <v>663</v>
      </c>
      <c r="C87" t="s">
        <v>650</v>
      </c>
      <c r="D87">
        <v>0</v>
      </c>
      <c r="E87">
        <v>16</v>
      </c>
      <c r="F87">
        <v>0</v>
      </c>
    </row>
    <row r="88" spans="1:6">
      <c r="A88">
        <v>691</v>
      </c>
      <c r="B88" t="s">
        <v>906</v>
      </c>
      <c r="C88" t="s">
        <v>570</v>
      </c>
      <c r="D88">
        <v>6640</v>
      </c>
      <c r="E88">
        <v>0</v>
      </c>
      <c r="F88">
        <v>0</v>
      </c>
    </row>
    <row r="89" spans="1:6">
      <c r="A89">
        <v>701</v>
      </c>
      <c r="B89" t="s">
        <v>269</v>
      </c>
      <c r="C89" t="s">
        <v>600</v>
      </c>
      <c r="D89">
        <v>0</v>
      </c>
      <c r="E89">
        <v>0</v>
      </c>
      <c r="F89">
        <v>0</v>
      </c>
    </row>
    <row r="90" spans="1:6">
      <c r="A90">
        <v>711</v>
      </c>
      <c r="B90" t="s">
        <v>31</v>
      </c>
      <c r="C90" t="s">
        <v>114</v>
      </c>
      <c r="D90">
        <v>0</v>
      </c>
      <c r="E90">
        <v>0</v>
      </c>
      <c r="F90">
        <v>0</v>
      </c>
    </row>
    <row r="91" spans="1:6">
      <c r="A91">
        <v>721</v>
      </c>
      <c r="B91" t="s">
        <v>576</v>
      </c>
      <c r="C91" t="s">
        <v>684</v>
      </c>
      <c r="D91">
        <v>0</v>
      </c>
      <c r="E91">
        <v>0</v>
      </c>
      <c r="F91">
        <v>0</v>
      </c>
    </row>
    <row r="92" spans="1:6">
      <c r="A92">
        <v>741</v>
      </c>
      <c r="B92" t="s">
        <v>878</v>
      </c>
      <c r="C92" t="s">
        <v>76</v>
      </c>
      <c r="D92">
        <v>0</v>
      </c>
      <c r="E92">
        <v>0</v>
      </c>
      <c r="F92">
        <v>0</v>
      </c>
    </row>
    <row r="93" spans="1:6">
      <c r="A93">
        <v>751</v>
      </c>
      <c r="B93" t="s">
        <v>552</v>
      </c>
      <c r="C93" t="s">
        <v>1087</v>
      </c>
      <c r="D93">
        <v>0</v>
      </c>
      <c r="E93">
        <v>0</v>
      </c>
      <c r="F93">
        <v>0</v>
      </c>
    </row>
    <row r="94" spans="1:6">
      <c r="A94">
        <v>761</v>
      </c>
      <c r="B94" t="s">
        <v>328</v>
      </c>
      <c r="C94" t="s">
        <v>190</v>
      </c>
      <c r="D94">
        <v>0</v>
      </c>
      <c r="E94">
        <v>0</v>
      </c>
      <c r="F94">
        <v>0</v>
      </c>
    </row>
    <row r="95" spans="1:6">
      <c r="A95">
        <v>771</v>
      </c>
      <c r="B95" t="s">
        <v>625</v>
      </c>
      <c r="C95" t="s">
        <v>616</v>
      </c>
      <c r="D95">
        <v>0</v>
      </c>
      <c r="E95">
        <v>0</v>
      </c>
      <c r="F95">
        <v>0</v>
      </c>
    </row>
    <row r="96" spans="1:6">
      <c r="A96">
        <v>781</v>
      </c>
      <c r="B96" t="s">
        <v>662</v>
      </c>
      <c r="C96" t="s">
        <v>482</v>
      </c>
      <c r="D96">
        <v>0</v>
      </c>
      <c r="E96">
        <v>0</v>
      </c>
      <c r="F96">
        <v>0</v>
      </c>
    </row>
    <row r="97" spans="1:6">
      <c r="A97">
        <v>791</v>
      </c>
      <c r="B97" t="s">
        <v>39</v>
      </c>
      <c r="C97" t="s">
        <v>1</v>
      </c>
      <c r="D97">
        <v>0</v>
      </c>
      <c r="E97">
        <v>0</v>
      </c>
      <c r="F97">
        <v>0</v>
      </c>
    </row>
    <row r="98" spans="1:6">
      <c r="A98">
        <v>811</v>
      </c>
      <c r="B98" t="s">
        <v>363</v>
      </c>
      <c r="C98" t="s">
        <v>825</v>
      </c>
      <c r="D98">
        <v>410</v>
      </c>
      <c r="E98">
        <v>0</v>
      </c>
      <c r="F98">
        <v>254</v>
      </c>
    </row>
    <row r="99" spans="1:6">
      <c r="A99">
        <v>821</v>
      </c>
      <c r="B99" t="s">
        <v>512</v>
      </c>
      <c r="C99" t="s">
        <v>935</v>
      </c>
      <c r="D99">
        <v>0</v>
      </c>
      <c r="E99">
        <v>0</v>
      </c>
      <c r="F99">
        <v>0</v>
      </c>
    </row>
    <row r="100" spans="1:6">
      <c r="A100">
        <v>831</v>
      </c>
      <c r="B100" t="s">
        <v>730</v>
      </c>
      <c r="C100" t="s">
        <v>1026</v>
      </c>
      <c r="D100">
        <v>0</v>
      </c>
      <c r="E100">
        <v>0</v>
      </c>
      <c r="F100">
        <v>0</v>
      </c>
    </row>
    <row r="101" spans="1:6">
      <c r="A101">
        <v>851</v>
      </c>
      <c r="B101" t="s">
        <v>283</v>
      </c>
      <c r="C101" t="s">
        <v>262</v>
      </c>
      <c r="D101">
        <v>7789</v>
      </c>
      <c r="E101">
        <v>0</v>
      </c>
      <c r="F101">
        <v>115667</v>
      </c>
    </row>
    <row r="102" spans="1:6">
      <c r="A102">
        <v>852</v>
      </c>
      <c r="B102" t="s">
        <v>283</v>
      </c>
      <c r="C102" t="s">
        <v>258</v>
      </c>
      <c r="D102">
        <v>115921</v>
      </c>
      <c r="E102">
        <v>115921</v>
      </c>
      <c r="F102">
        <v>0</v>
      </c>
    </row>
    <row r="103" spans="1:6">
      <c r="A103">
        <v>861</v>
      </c>
      <c r="B103" t="s">
        <v>413</v>
      </c>
      <c r="C103" t="s">
        <v>972</v>
      </c>
      <c r="D103">
        <v>-693015</v>
      </c>
      <c r="E103">
        <v>0</v>
      </c>
      <c r="F103">
        <v>0</v>
      </c>
    </row>
    <row r="104" spans="1:6">
      <c r="A104">
        <v>862</v>
      </c>
      <c r="B104" t="s">
        <v>413</v>
      </c>
      <c r="C104" t="s">
        <v>258</v>
      </c>
      <c r="D104">
        <v>115921</v>
      </c>
      <c r="E104">
        <v>115921</v>
      </c>
      <c r="F104">
        <v>0</v>
      </c>
    </row>
    <row r="105" spans="1:6">
      <c r="A105">
        <v>901</v>
      </c>
      <c r="B105" t="s">
        <v>1065</v>
      </c>
      <c r="C105" t="s">
        <v>783</v>
      </c>
      <c r="D105">
        <v>0</v>
      </c>
      <c r="E105">
        <v>0</v>
      </c>
      <c r="F105">
        <v>0</v>
      </c>
    </row>
    <row r="106" spans="1:6">
      <c r="A106">
        <v>911</v>
      </c>
      <c r="B106" t="s">
        <v>846</v>
      </c>
      <c r="C106" t="s">
        <v>659</v>
      </c>
      <c r="D106">
        <v>260</v>
      </c>
      <c r="E106">
        <v>25027</v>
      </c>
      <c r="F106">
        <v>82279</v>
      </c>
    </row>
    <row r="107" spans="1:6">
      <c r="A107">
        <v>921</v>
      </c>
      <c r="B107" t="s">
        <v>486</v>
      </c>
      <c r="C107" t="s">
        <v>932</v>
      </c>
      <c r="D107">
        <v>0</v>
      </c>
      <c r="E107">
        <v>0</v>
      </c>
      <c r="F107">
        <v>0</v>
      </c>
    </row>
    <row r="108" spans="1:6">
      <c r="A108">
        <v>1001</v>
      </c>
      <c r="B108" t="s">
        <v>327</v>
      </c>
      <c r="C108" t="s">
        <v>1003</v>
      </c>
      <c r="D108">
        <v>0</v>
      </c>
      <c r="E108">
        <v>0</v>
      </c>
      <c r="F108">
        <v>0</v>
      </c>
    </row>
    <row r="109" spans="1:6">
      <c r="A109">
        <v>1021</v>
      </c>
      <c r="B109" t="s">
        <v>460</v>
      </c>
      <c r="C109" t="s">
        <v>1102</v>
      </c>
      <c r="D109">
        <v>0</v>
      </c>
      <c r="E109">
        <v>0</v>
      </c>
      <c r="F109">
        <v>0</v>
      </c>
    </row>
    <row r="110" spans="1:6">
      <c r="A110">
        <v>1022</v>
      </c>
      <c r="B110" t="s">
        <v>460</v>
      </c>
      <c r="C110" t="s">
        <v>563</v>
      </c>
      <c r="D110">
        <v>0</v>
      </c>
      <c r="E110">
        <v>0</v>
      </c>
      <c r="F110">
        <v>0</v>
      </c>
    </row>
    <row r="111" spans="1:6">
      <c r="A111">
        <v>1031</v>
      </c>
      <c r="B111" t="s">
        <v>13</v>
      </c>
      <c r="C111" t="s">
        <v>688</v>
      </c>
      <c r="D111">
        <v>68</v>
      </c>
      <c r="E111">
        <v>91</v>
      </c>
      <c r="F111">
        <v>85</v>
      </c>
    </row>
    <row r="112" spans="1:6">
      <c r="A112">
        <v>1041</v>
      </c>
      <c r="B112" t="s">
        <v>586</v>
      </c>
      <c r="C112" t="s">
        <v>658</v>
      </c>
      <c r="D112">
        <v>159611</v>
      </c>
      <c r="E112">
        <v>163256</v>
      </c>
      <c r="F112">
        <v>3645</v>
      </c>
    </row>
    <row r="113" spans="1:6">
      <c r="A113">
        <v>1051</v>
      </c>
      <c r="B113" t="s">
        <v>975</v>
      </c>
      <c r="C113" t="s">
        <v>162</v>
      </c>
      <c r="D113">
        <v>0</v>
      </c>
      <c r="E113">
        <v>0</v>
      </c>
      <c r="F113">
        <v>0</v>
      </c>
    </row>
    <row r="114" spans="1:6">
      <c r="A114">
        <v>1071</v>
      </c>
      <c r="B114" t="s">
        <v>1045</v>
      </c>
      <c r="C114" t="s">
        <v>901</v>
      </c>
      <c r="D114">
        <v>135893</v>
      </c>
      <c r="E114">
        <v>955537</v>
      </c>
      <c r="F114">
        <v>962077</v>
      </c>
    </row>
    <row r="115" spans="1:6">
      <c r="A115">
        <v>1072</v>
      </c>
      <c r="B115" t="s">
        <v>1045</v>
      </c>
      <c r="C115" t="s">
        <v>518</v>
      </c>
      <c r="D115">
        <v>0</v>
      </c>
      <c r="E115">
        <v>0</v>
      </c>
      <c r="F115">
        <v>0</v>
      </c>
    </row>
    <row r="116" spans="1:6">
      <c r="A116">
        <v>1081</v>
      </c>
      <c r="B116" t="s">
        <v>895</v>
      </c>
      <c r="C116" t="s">
        <v>711</v>
      </c>
      <c r="D116">
        <v>0</v>
      </c>
      <c r="E116">
        <v>0</v>
      </c>
      <c r="F116">
        <v>0</v>
      </c>
    </row>
    <row r="117" spans="1:6">
      <c r="A117">
        <v>1091</v>
      </c>
      <c r="B117" t="s">
        <v>375</v>
      </c>
      <c r="C117" t="s">
        <v>443</v>
      </c>
      <c r="D117">
        <v>4240</v>
      </c>
      <c r="E117">
        <v>4240</v>
      </c>
      <c r="F117">
        <v>3987</v>
      </c>
    </row>
    <row r="118" spans="1:6">
      <c r="A118">
        <v>1092</v>
      </c>
      <c r="B118" t="s">
        <v>375</v>
      </c>
      <c r="C118" t="s">
        <v>612</v>
      </c>
      <c r="D118">
        <v>0</v>
      </c>
      <c r="E118">
        <v>0</v>
      </c>
      <c r="F118">
        <v>0</v>
      </c>
    </row>
    <row r="119" spans="1:6">
      <c r="A119">
        <v>1101</v>
      </c>
      <c r="B119" t="s">
        <v>179</v>
      </c>
      <c r="C119" t="s">
        <v>929</v>
      </c>
      <c r="D119">
        <v>0</v>
      </c>
      <c r="E119">
        <v>0</v>
      </c>
      <c r="F119">
        <v>0</v>
      </c>
    </row>
    <row r="120" spans="1:6">
      <c r="A120">
        <v>1102</v>
      </c>
      <c r="B120" t="s">
        <v>179</v>
      </c>
      <c r="C120" t="s">
        <v>1093</v>
      </c>
      <c r="D120">
        <v>0</v>
      </c>
      <c r="E120">
        <v>0</v>
      </c>
      <c r="F120">
        <v>0</v>
      </c>
    </row>
    <row r="121" spans="1:6">
      <c r="A121">
        <v>1121</v>
      </c>
      <c r="B121" t="s">
        <v>38</v>
      </c>
      <c r="C121" t="s">
        <v>208</v>
      </c>
      <c r="D121">
        <v>497909</v>
      </c>
      <c r="E121">
        <v>160000</v>
      </c>
      <c r="F121">
        <v>0</v>
      </c>
    </row>
    <row r="122" spans="1:6">
      <c r="A122">
        <v>1122</v>
      </c>
      <c r="B122" t="s">
        <v>38</v>
      </c>
      <c r="C122" t="s">
        <v>581</v>
      </c>
      <c r="D122">
        <v>0</v>
      </c>
      <c r="E122">
        <v>0</v>
      </c>
      <c r="F122">
        <v>0</v>
      </c>
    </row>
    <row r="123" spans="1:6">
      <c r="A123">
        <v>1131</v>
      </c>
      <c r="B123" t="s">
        <v>883</v>
      </c>
      <c r="C123" t="s">
        <v>303</v>
      </c>
      <c r="D123">
        <v>1281</v>
      </c>
      <c r="E123">
        <v>16226</v>
      </c>
      <c r="F123">
        <v>15793</v>
      </c>
    </row>
    <row r="124" spans="1:6">
      <c r="A124">
        <v>1141</v>
      </c>
      <c r="B124" t="s">
        <v>233</v>
      </c>
      <c r="C124" t="s">
        <v>1015</v>
      </c>
      <c r="D124">
        <v>820</v>
      </c>
      <c r="E124">
        <v>7885</v>
      </c>
      <c r="F124">
        <v>7600</v>
      </c>
    </row>
    <row r="125" spans="1:6">
      <c r="A125">
        <v>1151</v>
      </c>
      <c r="B125" t="s">
        <v>562</v>
      </c>
      <c r="C125" t="s">
        <v>590</v>
      </c>
      <c r="D125">
        <v>6825</v>
      </c>
      <c r="E125">
        <v>241659</v>
      </c>
      <c r="F125">
        <v>235877</v>
      </c>
    </row>
    <row r="126" spans="1:6">
      <c r="A126">
        <v>1161</v>
      </c>
      <c r="B126" t="s">
        <v>882</v>
      </c>
      <c r="C126" t="s">
        <v>898</v>
      </c>
      <c r="D126">
        <v>339242</v>
      </c>
      <c r="E126">
        <v>40736</v>
      </c>
      <c r="F126">
        <v>736</v>
      </c>
    </row>
    <row r="127" spans="1:6">
      <c r="A127">
        <v>1162</v>
      </c>
      <c r="B127" t="s">
        <v>882</v>
      </c>
      <c r="C127" t="s">
        <v>12</v>
      </c>
      <c r="D127">
        <v>0</v>
      </c>
      <c r="E127">
        <v>0</v>
      </c>
      <c r="F127">
        <v>0</v>
      </c>
    </row>
    <row r="128" spans="1:6">
      <c r="A128">
        <v>1171</v>
      </c>
      <c r="B128" t="s">
        <v>145</v>
      </c>
      <c r="C128" t="s">
        <v>971</v>
      </c>
      <c r="D128">
        <v>0</v>
      </c>
      <c r="E128">
        <v>0</v>
      </c>
      <c r="F128">
        <v>0</v>
      </c>
    </row>
    <row r="129" spans="1:6">
      <c r="A129">
        <v>1191</v>
      </c>
      <c r="B129" t="s">
        <v>580</v>
      </c>
      <c r="C129" t="s">
        <v>511</v>
      </c>
      <c r="D129">
        <v>0</v>
      </c>
      <c r="E129">
        <v>0</v>
      </c>
      <c r="F129">
        <v>0</v>
      </c>
    </row>
    <row r="130" spans="1:6">
      <c r="A130">
        <v>1201</v>
      </c>
      <c r="B130" t="s">
        <v>1014</v>
      </c>
      <c r="C130" t="s">
        <v>980</v>
      </c>
      <c r="D130">
        <v>-28338</v>
      </c>
      <c r="E130">
        <v>1189706</v>
      </c>
      <c r="F130">
        <v>1191015</v>
      </c>
    </row>
    <row r="131" spans="1:6">
      <c r="A131">
        <v>1202</v>
      </c>
      <c r="B131" t="s">
        <v>1014</v>
      </c>
      <c r="C131" t="s">
        <v>710</v>
      </c>
      <c r="D131">
        <v>0</v>
      </c>
      <c r="E131">
        <v>0</v>
      </c>
      <c r="F131">
        <v>0</v>
      </c>
    </row>
    <row r="132" spans="1:6">
      <c r="A132">
        <v>1221</v>
      </c>
      <c r="B132" t="s">
        <v>485</v>
      </c>
      <c r="C132" t="s">
        <v>41</v>
      </c>
      <c r="D132">
        <v>0</v>
      </c>
      <c r="E132">
        <v>0</v>
      </c>
      <c r="F132">
        <v>0</v>
      </c>
    </row>
    <row r="133" spans="1:6">
      <c r="A133">
        <v>1231</v>
      </c>
      <c r="B133" t="s">
        <v>545</v>
      </c>
      <c r="C133" t="s">
        <v>54</v>
      </c>
      <c r="D133">
        <v>0</v>
      </c>
      <c r="E133">
        <v>0</v>
      </c>
      <c r="F133">
        <v>0</v>
      </c>
    </row>
    <row r="134" spans="1:6">
      <c r="A134">
        <v>1241</v>
      </c>
      <c r="B134" t="s">
        <v>428</v>
      </c>
      <c r="C134" t="s">
        <v>743</v>
      </c>
      <c r="D134">
        <v>0</v>
      </c>
      <c r="E134">
        <v>0</v>
      </c>
      <c r="F134">
        <v>0</v>
      </c>
    </row>
    <row r="135" spans="1:6">
      <c r="A135">
        <v>1251</v>
      </c>
      <c r="B135" t="s">
        <v>250</v>
      </c>
      <c r="C135" t="s">
        <v>1056</v>
      </c>
      <c r="D135">
        <v>0</v>
      </c>
      <c r="E135">
        <v>0</v>
      </c>
      <c r="F135">
        <v>0</v>
      </c>
    </row>
  </sheetData>
  <sheetProtection sheet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44"/>
  <sheetViews>
    <sheetView topLeftCell="A37" workbookViewId="0"/>
  </sheetViews>
  <sheetFormatPr defaultRowHeight="15"/>
  <sheetData>
    <row r="1" spans="1:9" s="11" customFormat="1"/>
    <row r="2" spans="1:9" ht="15" customHeight="1">
      <c r="A2" s="190" t="s">
        <v>383</v>
      </c>
      <c r="B2" s="190"/>
      <c r="C2" s="190"/>
      <c r="D2" s="190"/>
      <c r="E2" s="190"/>
      <c r="F2" s="190"/>
      <c r="G2" s="190"/>
      <c r="H2" s="190"/>
      <c r="I2" s="190"/>
    </row>
    <row r="4" spans="1:9" ht="50.1" customHeight="1">
      <c r="A4" s="233" t="s">
        <v>288</v>
      </c>
      <c r="B4" s="233"/>
      <c r="C4" s="233"/>
      <c r="D4" s="233" t="s">
        <v>873</v>
      </c>
      <c r="E4" s="233"/>
      <c r="F4" s="233" t="s">
        <v>591</v>
      </c>
      <c r="G4" s="233"/>
      <c r="H4" s="233" t="s">
        <v>583</v>
      </c>
      <c r="I4" s="233"/>
    </row>
    <row r="5" spans="1:9">
      <c r="A5" s="234" t="s">
        <v>832</v>
      </c>
      <c r="B5" s="234"/>
      <c r="C5" s="234"/>
      <c r="D5" s="234" t="s">
        <v>36</v>
      </c>
      <c r="E5" s="234"/>
      <c r="F5" s="234" t="s">
        <v>647</v>
      </c>
      <c r="G5" s="234"/>
      <c r="H5" s="234" t="s">
        <v>236</v>
      </c>
      <c r="I5" s="234"/>
    </row>
    <row r="6" spans="1:9">
      <c r="A6" s="270" t="s">
        <v>204</v>
      </c>
      <c r="B6" s="270"/>
      <c r="C6" s="270"/>
      <c r="D6" s="271"/>
      <c r="E6" s="271"/>
      <c r="F6" s="271"/>
      <c r="G6" s="271"/>
      <c r="H6" s="271"/>
      <c r="I6" s="271"/>
    </row>
    <row r="7" spans="1:9" s="11" customFormat="1">
      <c r="A7" s="272" t="s">
        <v>177</v>
      </c>
      <c r="B7" s="272"/>
      <c r="C7" s="272"/>
      <c r="D7" s="273"/>
      <c r="E7" s="273"/>
      <c r="F7" s="273"/>
      <c r="G7" s="273"/>
      <c r="H7" s="273"/>
      <c r="I7" s="273"/>
    </row>
    <row r="8" spans="1:9" s="11" customFormat="1">
      <c r="A8" s="272" t="s">
        <v>750</v>
      </c>
      <c r="B8" s="272"/>
      <c r="C8" s="272"/>
      <c r="D8" s="273">
        <f>D6-D7</f>
        <v>0</v>
      </c>
      <c r="E8" s="273"/>
      <c r="F8" s="273">
        <f>F6-F7</f>
        <v>0</v>
      </c>
      <c r="G8" s="273"/>
      <c r="H8" s="273">
        <f>H6-H7</f>
        <v>0</v>
      </c>
      <c r="I8" s="273"/>
    </row>
    <row r="10" spans="1:9" s="11" customFormat="1" ht="15" customHeight="1">
      <c r="A10" s="190" t="s">
        <v>598</v>
      </c>
      <c r="B10" s="190"/>
      <c r="C10" s="190"/>
      <c r="D10" s="190"/>
      <c r="E10" s="190"/>
      <c r="F10" s="190"/>
      <c r="G10" s="190"/>
      <c r="H10" s="190"/>
      <c r="I10" s="190"/>
    </row>
    <row r="12" spans="1:9" ht="39.950000000000003" customHeight="1">
      <c r="A12" s="233" t="s">
        <v>261</v>
      </c>
      <c r="B12" s="233"/>
      <c r="C12" s="233"/>
      <c r="D12" s="240" t="s">
        <v>873</v>
      </c>
      <c r="E12" s="277"/>
      <c r="F12" s="278"/>
      <c r="G12" s="258" t="s">
        <v>583</v>
      </c>
      <c r="H12" s="258"/>
      <c r="I12" s="258"/>
    </row>
    <row r="13" spans="1:9">
      <c r="A13" s="234" t="s">
        <v>832</v>
      </c>
      <c r="B13" s="234"/>
      <c r="C13" s="234"/>
      <c r="D13" s="279" t="s">
        <v>36</v>
      </c>
      <c r="E13" s="279"/>
      <c r="F13" s="279"/>
      <c r="G13" s="279" t="s">
        <v>647</v>
      </c>
      <c r="H13" s="279"/>
      <c r="I13" s="279"/>
    </row>
    <row r="14" spans="1:9" ht="39.950000000000003" customHeight="1">
      <c r="A14" s="274" t="s">
        <v>501</v>
      </c>
      <c r="B14" s="275"/>
      <c r="C14" s="276"/>
      <c r="D14" s="280"/>
      <c r="E14" s="280"/>
      <c r="F14" s="280"/>
      <c r="G14" s="280"/>
      <c r="H14" s="280"/>
      <c r="I14" s="280"/>
    </row>
    <row r="15" spans="1:9" ht="39.950000000000003" customHeight="1">
      <c r="A15" s="255" t="s">
        <v>520</v>
      </c>
      <c r="B15" s="255"/>
      <c r="C15" s="255"/>
      <c r="D15" s="269"/>
      <c r="E15" s="269"/>
      <c r="F15" s="269"/>
      <c r="G15" s="269"/>
      <c r="H15" s="269"/>
      <c r="I15" s="269"/>
    </row>
    <row r="16" spans="1:9" ht="30" customHeight="1">
      <c r="A16" s="255" t="s">
        <v>949</v>
      </c>
      <c r="B16" s="255"/>
      <c r="C16" s="255"/>
      <c r="D16" s="269"/>
      <c r="E16" s="269"/>
      <c r="F16" s="269"/>
      <c r="G16" s="269"/>
      <c r="H16" s="269"/>
      <c r="I16" s="269"/>
    </row>
    <row r="17" spans="1:9" s="11" customFormat="1" ht="30" customHeight="1">
      <c r="A17" s="255" t="s">
        <v>1119</v>
      </c>
      <c r="B17" s="255"/>
      <c r="C17" s="255"/>
      <c r="D17" s="269"/>
      <c r="E17" s="269"/>
      <c r="F17" s="269"/>
      <c r="G17" s="269"/>
      <c r="H17" s="269"/>
      <c r="I17" s="269"/>
    </row>
    <row r="19" spans="1:9" ht="15.75">
      <c r="A19" s="190" t="s">
        <v>766</v>
      </c>
      <c r="B19" s="190"/>
      <c r="C19" s="190"/>
      <c r="D19" s="190"/>
      <c r="E19" s="190"/>
      <c r="F19" s="190"/>
      <c r="G19" s="190"/>
      <c r="H19" s="190"/>
      <c r="I19" s="190"/>
    </row>
    <row r="20" spans="1:9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60" customHeight="1">
      <c r="A21" s="233" t="s">
        <v>288</v>
      </c>
      <c r="B21" s="233"/>
      <c r="C21" s="233"/>
      <c r="D21" s="233" t="s">
        <v>873</v>
      </c>
      <c r="E21" s="233"/>
      <c r="F21" s="233" t="s">
        <v>591</v>
      </c>
      <c r="G21" s="233"/>
      <c r="H21" s="233" t="s">
        <v>944</v>
      </c>
      <c r="I21" s="233"/>
    </row>
    <row r="22" spans="1:9">
      <c r="A22" s="234" t="s">
        <v>832</v>
      </c>
      <c r="B22" s="234"/>
      <c r="C22" s="234"/>
      <c r="D22" s="234" t="s">
        <v>36</v>
      </c>
      <c r="E22" s="234"/>
      <c r="F22" s="234" t="s">
        <v>647</v>
      </c>
      <c r="G22" s="234"/>
      <c r="H22" s="234" t="s">
        <v>236</v>
      </c>
      <c r="I22" s="234"/>
    </row>
    <row r="23" spans="1:9" ht="24.95" customHeight="1">
      <c r="A23" s="274" t="s">
        <v>754</v>
      </c>
      <c r="B23" s="281"/>
      <c r="C23" s="282"/>
      <c r="D23" s="280"/>
      <c r="E23" s="280"/>
      <c r="F23" s="280"/>
      <c r="G23" s="280"/>
      <c r="H23" s="280"/>
      <c r="I23" s="280"/>
    </row>
    <row r="24" spans="1:9" ht="24.95" customHeight="1">
      <c r="A24" s="283" t="s">
        <v>380</v>
      </c>
      <c r="B24" s="284"/>
      <c r="C24" s="285"/>
      <c r="D24" s="269"/>
      <c r="E24" s="269"/>
      <c r="F24" s="269"/>
      <c r="G24" s="269"/>
      <c r="H24" s="269"/>
      <c r="I24" s="269"/>
    </row>
    <row r="25" spans="1:9" ht="24.95" customHeight="1">
      <c r="A25" s="283" t="s">
        <v>750</v>
      </c>
      <c r="B25" s="284"/>
      <c r="C25" s="285"/>
      <c r="D25" s="269">
        <f>D23-D24</f>
        <v>0</v>
      </c>
      <c r="E25" s="269"/>
      <c r="F25" s="269">
        <f>F23-F24</f>
        <v>0</v>
      </c>
      <c r="G25" s="269"/>
      <c r="H25" s="269">
        <f>H23-H24</f>
        <v>0</v>
      </c>
      <c r="I25" s="269"/>
    </row>
    <row r="26" spans="1:9" s="11" customFormat="1" ht="15" customHeight="1">
      <c r="A26" s="55"/>
      <c r="B26" s="56"/>
      <c r="C26" s="56"/>
      <c r="D26" s="57"/>
      <c r="E26" s="57"/>
      <c r="F26" s="57"/>
      <c r="G26" s="57"/>
      <c r="H26" s="57"/>
      <c r="I26" s="57"/>
    </row>
    <row r="27" spans="1:9" s="11" customFormat="1" ht="15" customHeight="1">
      <c r="A27" s="55"/>
      <c r="B27" s="56"/>
      <c r="C27" s="56"/>
      <c r="D27" s="57"/>
      <c r="E27" s="57"/>
      <c r="F27" s="57"/>
      <c r="G27" s="57"/>
      <c r="H27" s="57"/>
      <c r="I27" s="57"/>
    </row>
    <row r="28" spans="1:9" s="11" customFormat="1" ht="15" customHeight="1">
      <c r="A28" s="55"/>
      <c r="B28" s="56"/>
      <c r="C28" s="56"/>
      <c r="D28" s="57"/>
      <c r="E28" s="57"/>
      <c r="F28" s="57"/>
      <c r="G28" s="57"/>
      <c r="H28" s="57"/>
      <c r="I28" s="57"/>
    </row>
    <row r="29" spans="1:9" s="11" customFormat="1" ht="15" customHeight="1">
      <c r="A29" s="55"/>
      <c r="B29" s="56"/>
      <c r="C29" s="56"/>
      <c r="D29" s="57"/>
      <c r="E29" s="57"/>
      <c r="F29" s="57"/>
      <c r="G29" s="57"/>
      <c r="H29" s="57"/>
      <c r="I29" s="57"/>
    </row>
    <row r="30" spans="1:9" s="11" customFormat="1" ht="15" customHeight="1">
      <c r="A30" s="55"/>
      <c r="B30" s="56"/>
      <c r="C30" s="56"/>
      <c r="D30" s="57"/>
      <c r="E30" s="57"/>
      <c r="F30" s="57"/>
      <c r="G30" s="57"/>
      <c r="H30" s="57"/>
      <c r="I30" s="57"/>
    </row>
    <row r="31" spans="1:9" s="11" customFormat="1" ht="15" customHeight="1">
      <c r="A31" s="55"/>
      <c r="B31" s="56"/>
      <c r="C31" s="56"/>
      <c r="D31" s="57"/>
      <c r="E31" s="57"/>
      <c r="F31" s="57"/>
      <c r="G31" s="57"/>
      <c r="H31" s="57"/>
      <c r="I31" s="57"/>
    </row>
    <row r="32" spans="1:9" s="11" customFormat="1" ht="15" customHeight="1">
      <c r="A32" s="55"/>
      <c r="B32" s="56"/>
      <c r="C32" s="56"/>
      <c r="D32" s="57"/>
      <c r="E32" s="57"/>
      <c r="F32" s="57"/>
      <c r="G32" s="57"/>
      <c r="H32" s="57"/>
      <c r="I32" s="57"/>
    </row>
    <row r="33" spans="1:9" s="11" customFormat="1" ht="15" customHeight="1">
      <c r="A33" s="55"/>
      <c r="B33" s="56"/>
      <c r="C33" s="56"/>
      <c r="D33" s="57"/>
      <c r="E33" s="57"/>
      <c r="F33" s="57"/>
      <c r="G33" s="57"/>
      <c r="H33" s="57"/>
      <c r="I33" s="57"/>
    </row>
    <row r="34" spans="1:9">
      <c r="A34" s="11"/>
      <c r="B34" s="11"/>
      <c r="C34" s="11"/>
      <c r="D34" s="11"/>
      <c r="E34" s="11"/>
      <c r="F34" s="11"/>
      <c r="G34" s="11"/>
      <c r="H34" s="11"/>
      <c r="I34" s="11"/>
    </row>
    <row r="35" spans="1:9" s="11" customFormat="1"/>
    <row r="36" spans="1:9" s="11" customFormat="1"/>
    <row r="37" spans="1:9" s="11" customFormat="1" ht="15.75">
      <c r="A37" s="190" t="s">
        <v>232</v>
      </c>
      <c r="B37" s="190"/>
      <c r="C37" s="190"/>
      <c r="D37" s="190"/>
      <c r="E37" s="190"/>
      <c r="F37" s="190"/>
      <c r="G37" s="190"/>
      <c r="H37" s="190"/>
      <c r="I37" s="190"/>
    </row>
    <row r="38" spans="1:9">
      <c r="A38" s="11"/>
      <c r="B38" s="11"/>
      <c r="C38" s="11"/>
      <c r="D38" s="11"/>
      <c r="E38" s="11"/>
      <c r="F38" s="11"/>
      <c r="G38" s="11"/>
      <c r="H38" s="11"/>
      <c r="I38" s="11"/>
    </row>
    <row r="39" spans="1:9" ht="50.1" customHeight="1">
      <c r="A39" s="233" t="s">
        <v>527</v>
      </c>
      <c r="B39" s="233"/>
      <c r="C39" s="233"/>
      <c r="D39" s="240" t="s">
        <v>873</v>
      </c>
      <c r="E39" s="277"/>
      <c r="F39" s="278"/>
      <c r="G39" s="258" t="s">
        <v>944</v>
      </c>
      <c r="H39" s="258"/>
      <c r="I39" s="258"/>
    </row>
    <row r="40" spans="1:9">
      <c r="A40" s="234" t="s">
        <v>832</v>
      </c>
      <c r="B40" s="234"/>
      <c r="C40" s="234"/>
      <c r="D40" s="279" t="s">
        <v>36</v>
      </c>
      <c r="E40" s="279"/>
      <c r="F40" s="279"/>
      <c r="G40" s="279" t="s">
        <v>647</v>
      </c>
      <c r="H40" s="279"/>
      <c r="I40" s="279"/>
    </row>
    <row r="41" spans="1:9" ht="35.1" customHeight="1">
      <c r="A41" s="274" t="s">
        <v>1124</v>
      </c>
      <c r="B41" s="275"/>
      <c r="C41" s="276"/>
      <c r="D41" s="280"/>
      <c r="E41" s="280"/>
      <c r="F41" s="280"/>
      <c r="G41" s="280"/>
      <c r="H41" s="280"/>
      <c r="I41" s="280"/>
    </row>
    <row r="42" spans="1:9" ht="35.1" customHeight="1">
      <c r="A42" s="255" t="s">
        <v>520</v>
      </c>
      <c r="B42" s="255"/>
      <c r="C42" s="255"/>
      <c r="D42" s="269"/>
      <c r="E42" s="269"/>
      <c r="F42" s="269"/>
      <c r="G42" s="269"/>
      <c r="H42" s="269"/>
      <c r="I42" s="269"/>
    </row>
    <row r="43" spans="1:9" ht="35.1" customHeight="1">
      <c r="A43" s="255" t="s">
        <v>949</v>
      </c>
      <c r="B43" s="255"/>
      <c r="C43" s="255"/>
      <c r="D43" s="269"/>
      <c r="E43" s="269"/>
      <c r="F43" s="269"/>
      <c r="G43" s="269"/>
      <c r="H43" s="269"/>
      <c r="I43" s="269"/>
    </row>
    <row r="44" spans="1:9" ht="35.1" customHeight="1">
      <c r="A44" s="255" t="s">
        <v>1119</v>
      </c>
      <c r="B44" s="255"/>
      <c r="C44" s="255"/>
      <c r="D44" s="269"/>
      <c r="E44" s="269"/>
      <c r="F44" s="269"/>
      <c r="G44" s="269"/>
      <c r="H44" s="269"/>
      <c r="I44" s="269"/>
    </row>
  </sheetData>
  <sheetProtection sheet="1"/>
  <mergeCells count="80">
    <mergeCell ref="A43:C43"/>
    <mergeCell ref="D43:F43"/>
    <mergeCell ref="G43:I43"/>
    <mergeCell ref="A44:C44"/>
    <mergeCell ref="D44:F44"/>
    <mergeCell ref="G44:I44"/>
    <mergeCell ref="A41:C41"/>
    <mergeCell ref="D41:F41"/>
    <mergeCell ref="G41:I41"/>
    <mergeCell ref="A42:C42"/>
    <mergeCell ref="D42:F42"/>
    <mergeCell ref="G42:I42"/>
    <mergeCell ref="A37:I37"/>
    <mergeCell ref="A39:C39"/>
    <mergeCell ref="D39:F39"/>
    <mergeCell ref="G39:I39"/>
    <mergeCell ref="A40:C40"/>
    <mergeCell ref="D40:F40"/>
    <mergeCell ref="G40:I40"/>
    <mergeCell ref="A24:C24"/>
    <mergeCell ref="D24:E24"/>
    <mergeCell ref="F24:G24"/>
    <mergeCell ref="H24:I24"/>
    <mergeCell ref="A25:C25"/>
    <mergeCell ref="D25:E25"/>
    <mergeCell ref="F25:G25"/>
    <mergeCell ref="H25:I25"/>
    <mergeCell ref="A22:C22"/>
    <mergeCell ref="D22:E22"/>
    <mergeCell ref="F22:G22"/>
    <mergeCell ref="H22:I22"/>
    <mergeCell ref="A23:C23"/>
    <mergeCell ref="D23:E23"/>
    <mergeCell ref="F23:G23"/>
    <mergeCell ref="H23:I23"/>
    <mergeCell ref="A10:I10"/>
    <mergeCell ref="A19:I19"/>
    <mergeCell ref="A21:C21"/>
    <mergeCell ref="D21:E21"/>
    <mergeCell ref="F21:G21"/>
    <mergeCell ref="H21:I21"/>
    <mergeCell ref="A13:C13"/>
    <mergeCell ref="A14:C14"/>
    <mergeCell ref="A15:C15"/>
    <mergeCell ref="A16:C16"/>
    <mergeCell ref="D12:F12"/>
    <mergeCell ref="G12:I12"/>
    <mergeCell ref="D13:F13"/>
    <mergeCell ref="G13:I13"/>
    <mergeCell ref="D14:F14"/>
    <mergeCell ref="G14:I14"/>
    <mergeCell ref="A4:C4"/>
    <mergeCell ref="D4:E4"/>
    <mergeCell ref="F4:G4"/>
    <mergeCell ref="H4:I4"/>
    <mergeCell ref="A5:C5"/>
    <mergeCell ref="D5:E5"/>
    <mergeCell ref="A2:I2"/>
    <mergeCell ref="A12:C12"/>
    <mergeCell ref="A6:C6"/>
    <mergeCell ref="D6:E6"/>
    <mergeCell ref="F6:G6"/>
    <mergeCell ref="H6:I6"/>
    <mergeCell ref="F5:G5"/>
    <mergeCell ref="H5:I5"/>
    <mergeCell ref="A8:C8"/>
    <mergeCell ref="D8:E8"/>
    <mergeCell ref="F8:G8"/>
    <mergeCell ref="H8:I8"/>
    <mergeCell ref="A7:C7"/>
    <mergeCell ref="D7:E7"/>
    <mergeCell ref="F7:G7"/>
    <mergeCell ref="H7:I7"/>
    <mergeCell ref="D15:F15"/>
    <mergeCell ref="D16:F16"/>
    <mergeCell ref="G15:I15"/>
    <mergeCell ref="G16:I16"/>
    <mergeCell ref="A17:C17"/>
    <mergeCell ref="D17:F17"/>
    <mergeCell ref="G17:I17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76"/>
  <sheetViews>
    <sheetView workbookViewId="0">
      <selection activeCell="A62" sqref="A62"/>
    </sheetView>
  </sheetViews>
  <sheetFormatPr defaultRowHeight="15"/>
  <cols>
    <col min="1" max="9" width="9.7109375" style="11" customWidth="1"/>
    <col min="10" max="16384" width="9.140625" style="11"/>
  </cols>
  <sheetData>
    <row r="1" spans="1:9" ht="15.75">
      <c r="A1" s="12" t="s">
        <v>690</v>
      </c>
    </row>
    <row r="3" spans="1:9">
      <c r="A3" s="286" t="s">
        <v>1070</v>
      </c>
      <c r="B3" s="287"/>
      <c r="C3" s="287"/>
      <c r="D3" s="288"/>
      <c r="E3" s="240" t="s">
        <v>319</v>
      </c>
      <c r="F3" s="201"/>
      <c r="G3" s="201"/>
      <c r="H3" s="201"/>
      <c r="I3" s="202"/>
    </row>
    <row r="4" spans="1:9" ht="60">
      <c r="A4" s="289"/>
      <c r="B4" s="290"/>
      <c r="C4" s="290"/>
      <c r="D4" s="291"/>
      <c r="E4" s="45" t="s">
        <v>807</v>
      </c>
      <c r="F4" s="45" t="s">
        <v>491</v>
      </c>
      <c r="G4" s="45" t="s">
        <v>277</v>
      </c>
      <c r="H4" s="45" t="s">
        <v>419</v>
      </c>
      <c r="I4" s="45" t="s">
        <v>7</v>
      </c>
    </row>
    <row r="5" spans="1:9">
      <c r="A5" s="256" t="s">
        <v>832</v>
      </c>
      <c r="B5" s="256"/>
      <c r="C5" s="256"/>
      <c r="D5" s="256"/>
      <c r="E5" s="52" t="s">
        <v>36</v>
      </c>
      <c r="F5" s="52" t="s">
        <v>647</v>
      </c>
      <c r="G5" s="48" t="s">
        <v>236</v>
      </c>
      <c r="H5" s="48" t="s">
        <v>741</v>
      </c>
      <c r="I5" s="48" t="s">
        <v>139</v>
      </c>
    </row>
    <row r="6" spans="1:9" ht="24.95" customHeight="1">
      <c r="A6" s="292" t="s">
        <v>622</v>
      </c>
      <c r="B6" s="293"/>
      <c r="C6" s="293"/>
      <c r="D6" s="294"/>
      <c r="E6" s="47">
        <v>26922</v>
      </c>
      <c r="F6" s="47">
        <v>500</v>
      </c>
      <c r="G6" s="47">
        <f>IF(ISERROR(VLOOKUP(391,Suvaha_BO!A:F,5,0)),0,VLOOKUP(391,Suvaha_BO!A:F,5,0))</f>
        <v>0</v>
      </c>
      <c r="H6" s="47"/>
      <c r="I6" s="47">
        <f>E6+F6-G6-H6</f>
        <v>27422</v>
      </c>
    </row>
    <row r="7" spans="1:9" ht="24.95" customHeight="1">
      <c r="A7" s="245" t="s">
        <v>425</v>
      </c>
      <c r="B7" s="295"/>
      <c r="C7" s="295"/>
      <c r="D7" s="202"/>
      <c r="E7" s="41">
        <f>IF(ISERROR(VLOOKUP(411,Suvaha_BO!A:F,4,0)),0,VLOOKUP(411,Suvaha_BO!A:F,4,0))</f>
        <v>0</v>
      </c>
      <c r="F7" s="41">
        <f>IF(ISERROR(VLOOKUP(411,Suvaha_BO!A:F,6,0)),0,VLOOKUP(411,Suvaha_BO!A:F,6,0))</f>
        <v>0</v>
      </c>
      <c r="G7" s="41">
        <f>IF(ISERROR(VLOOKUP(411,Suvaha_BO!A:F,5,0)),0,VLOOKUP(411,Suvaha_BO!A:F,5,0))</f>
        <v>0</v>
      </c>
      <c r="H7" s="41"/>
      <c r="I7" s="41">
        <f>E7+F7-G7-H7</f>
        <v>0</v>
      </c>
    </row>
    <row r="8" spans="1:9" ht="24.95" customHeight="1">
      <c r="A8" s="245" t="s">
        <v>1109</v>
      </c>
      <c r="B8" s="295"/>
      <c r="C8" s="295"/>
      <c r="D8" s="202"/>
      <c r="E8" s="41">
        <f>IF(ISERROR(VLOOKUP(421,Suvaha_BO!A:F,4,0)),0,VLOOKUP(421,Suvaha_BO!A:F,4,0))</f>
        <v>0</v>
      </c>
      <c r="F8" s="41">
        <f>IF(ISERROR(VLOOKUP(421,Suvaha_BO!A:F,6,0)),0,VLOOKUP(421,Suvaha_BO!A:F,6,0))</f>
        <v>0</v>
      </c>
      <c r="G8" s="41">
        <f>IF(ISERROR(VLOOKUP(342,Suvaha_BO!A:F,5,0)),0,VLOOKUP(342,Suvaha_BO!A:F,5,0))</f>
        <v>0</v>
      </c>
      <c r="H8" s="41"/>
      <c r="I8" s="41">
        <f>E8+F8-G8-H8</f>
        <v>0</v>
      </c>
    </row>
    <row r="9" spans="1:9" ht="24.95" customHeight="1">
      <c r="A9" s="245" t="s">
        <v>136</v>
      </c>
      <c r="B9" s="295"/>
      <c r="C9" s="295"/>
      <c r="D9" s="202"/>
      <c r="E9" s="41">
        <f>IF(ISERROR(VLOOKUP(431,Suvaha_BO!A:F,4,0)),0,VLOOKUP(431,Suvaha_BO!A:F,4,0))</f>
        <v>0</v>
      </c>
      <c r="F9" s="41">
        <f>IF(ISERROR(VLOOKUP(431,Suvaha_BO!A:F,6,0)),0,VLOOKUP(431,Suvaha_BO!A:F,6,0))</f>
        <v>0</v>
      </c>
      <c r="G9" s="41">
        <f>IF(ISERROR(VLOOKUP(431,Suvaha_BO!A:F,5,0)),0,VLOOKUP(431,Suvaha_BO!A:F,5,0))</f>
        <v>0</v>
      </c>
      <c r="H9" s="41"/>
      <c r="I9" s="41">
        <f>E9+F9-G9-H9</f>
        <v>0</v>
      </c>
    </row>
    <row r="10" spans="1:9" ht="24.95" customHeight="1">
      <c r="A10" s="245" t="s">
        <v>322</v>
      </c>
      <c r="B10" s="295"/>
      <c r="C10" s="295"/>
      <c r="D10" s="202"/>
      <c r="E10" s="41">
        <f>IF(ISERROR(VLOOKUP(441,Suvaha_BO!A:F,4,0)),0,VLOOKUP(441,Suvaha_BO!A:F,4,0))</f>
        <v>0</v>
      </c>
      <c r="F10" s="41">
        <f>IF(ISERROR(VLOOKUP(441,Suvaha_BO!A:F,6,0)),0,VLOOKUP(441,Suvaha_BO!A:F,6,0))</f>
        <v>0</v>
      </c>
      <c r="G10" s="41">
        <f>IF(ISERROR(VLOOKUP(441,Suvaha_BO!A:F,5,0)),0,VLOOKUP(441,Suvaha_BO!A:F,5,0))</f>
        <v>0</v>
      </c>
      <c r="H10" s="41"/>
      <c r="I10" s="41">
        <f>E10+F10-G10-H10</f>
        <v>0</v>
      </c>
    </row>
    <row r="11" spans="1:9" ht="24.95" customHeight="1">
      <c r="A11" s="251" t="s">
        <v>803</v>
      </c>
      <c r="B11" s="296"/>
      <c r="C11" s="296"/>
      <c r="D11" s="202"/>
      <c r="E11" s="40">
        <f>SUM(E6:E10)</f>
        <v>26922</v>
      </c>
      <c r="F11" s="40">
        <f>SUM(F6:F10)</f>
        <v>500</v>
      </c>
      <c r="G11" s="40">
        <f>SUM(G6:G10)</f>
        <v>0</v>
      </c>
      <c r="H11" s="40">
        <f>SUM(H6:H10)</f>
        <v>0</v>
      </c>
      <c r="I11" s="40">
        <f>SUM(I6:I10)</f>
        <v>27422</v>
      </c>
    </row>
    <row r="13" spans="1:9" ht="15.75">
      <c r="A13" s="190" t="s">
        <v>667</v>
      </c>
      <c r="B13" s="190"/>
      <c r="C13" s="190"/>
      <c r="D13" s="190"/>
      <c r="E13" s="190"/>
      <c r="F13" s="190"/>
      <c r="G13" s="190"/>
      <c r="H13" s="190"/>
      <c r="I13" s="190"/>
    </row>
    <row r="15" spans="1:9" ht="15" customHeight="1">
      <c r="A15" s="233" t="s">
        <v>288</v>
      </c>
      <c r="B15" s="233"/>
      <c r="C15" s="233"/>
      <c r="D15" s="233" t="s">
        <v>548</v>
      </c>
      <c r="E15" s="233"/>
      <c r="F15" s="233" t="s">
        <v>469</v>
      </c>
      <c r="G15" s="233"/>
      <c r="H15" s="233" t="s">
        <v>803</v>
      </c>
      <c r="I15" s="233"/>
    </row>
    <row r="16" spans="1:9">
      <c r="A16" s="234" t="s">
        <v>832</v>
      </c>
      <c r="B16" s="234"/>
      <c r="C16" s="234"/>
      <c r="D16" s="234" t="s">
        <v>36</v>
      </c>
      <c r="E16" s="234"/>
      <c r="F16" s="234" t="s">
        <v>647</v>
      </c>
      <c r="G16" s="234"/>
      <c r="H16" s="234" t="s">
        <v>236</v>
      </c>
      <c r="I16" s="234"/>
    </row>
    <row r="17" spans="1:9">
      <c r="A17" s="315" t="s">
        <v>1058</v>
      </c>
      <c r="B17" s="316"/>
      <c r="C17" s="316"/>
      <c r="D17" s="316"/>
      <c r="E17" s="316"/>
      <c r="F17" s="316"/>
      <c r="G17" s="316"/>
      <c r="H17" s="316"/>
      <c r="I17" s="317"/>
    </row>
    <row r="18" spans="1:9" ht="24.95" customHeight="1">
      <c r="A18" s="247" t="s">
        <v>622</v>
      </c>
      <c r="B18" s="247"/>
      <c r="C18" s="247"/>
      <c r="D18" s="280"/>
      <c r="E18" s="280"/>
      <c r="F18" s="280"/>
      <c r="G18" s="280"/>
      <c r="H18" s="280">
        <f>D18+F18</f>
        <v>0</v>
      </c>
      <c r="I18" s="280"/>
    </row>
    <row r="19" spans="1:9" ht="24.95" customHeight="1">
      <c r="A19" s="249" t="s">
        <v>425</v>
      </c>
      <c r="B19" s="249"/>
      <c r="C19" s="249"/>
      <c r="D19" s="269"/>
      <c r="E19" s="269"/>
      <c r="F19" s="269"/>
      <c r="G19" s="269"/>
      <c r="H19" s="280">
        <f>D19+F19</f>
        <v>0</v>
      </c>
      <c r="I19" s="280"/>
    </row>
    <row r="20" spans="1:9" ht="24.95" customHeight="1">
      <c r="A20" s="249" t="s">
        <v>1109</v>
      </c>
      <c r="B20" s="249"/>
      <c r="C20" s="249"/>
      <c r="D20" s="280"/>
      <c r="E20" s="280"/>
      <c r="F20" s="280"/>
      <c r="G20" s="280"/>
      <c r="H20" s="280">
        <f>D20+F20</f>
        <v>0</v>
      </c>
      <c r="I20" s="280"/>
    </row>
    <row r="21" spans="1:9" ht="24.95" customHeight="1">
      <c r="A21" s="249" t="s">
        <v>136</v>
      </c>
      <c r="B21" s="249"/>
      <c r="C21" s="249"/>
      <c r="D21" s="269"/>
      <c r="E21" s="269"/>
      <c r="F21" s="269"/>
      <c r="G21" s="269"/>
      <c r="H21" s="280">
        <f>D21+F21</f>
        <v>0</v>
      </c>
      <c r="I21" s="280"/>
    </row>
    <row r="22" spans="1:9" ht="24.95" customHeight="1">
      <c r="A22" s="249" t="s">
        <v>322</v>
      </c>
      <c r="B22" s="249"/>
      <c r="C22" s="249"/>
      <c r="D22" s="269"/>
      <c r="E22" s="269"/>
      <c r="F22" s="269"/>
      <c r="G22" s="269"/>
      <c r="H22" s="280">
        <f>D22+F22</f>
        <v>0</v>
      </c>
      <c r="I22" s="280"/>
    </row>
    <row r="23" spans="1:9" ht="24.95" customHeight="1">
      <c r="A23" s="310" t="s">
        <v>457</v>
      </c>
      <c r="B23" s="311"/>
      <c r="C23" s="312"/>
      <c r="D23" s="313">
        <f>D18+D22</f>
        <v>0</v>
      </c>
      <c r="E23" s="314"/>
      <c r="F23" s="313">
        <f>F18+F22</f>
        <v>0</v>
      </c>
      <c r="G23" s="314"/>
      <c r="H23" s="313">
        <f>H18+H22</f>
        <v>0</v>
      </c>
      <c r="I23" s="314"/>
    </row>
    <row r="24" spans="1:9">
      <c r="A24" s="307" t="s">
        <v>610</v>
      </c>
      <c r="B24" s="308"/>
      <c r="C24" s="308"/>
      <c r="D24" s="308"/>
      <c r="E24" s="308"/>
      <c r="F24" s="308"/>
      <c r="G24" s="308"/>
      <c r="H24" s="308"/>
      <c r="I24" s="309"/>
    </row>
    <row r="25" spans="1:9" ht="24.95" customHeight="1">
      <c r="A25" s="247" t="s">
        <v>622</v>
      </c>
      <c r="B25" s="247"/>
      <c r="C25" s="247"/>
      <c r="D25" s="280">
        <v>83084</v>
      </c>
      <c r="E25" s="280"/>
      <c r="F25" s="280">
        <v>142652</v>
      </c>
      <c r="G25" s="280"/>
      <c r="H25" s="280">
        <f t="shared" ref="H25:H31" si="0">D25+F25</f>
        <v>225736</v>
      </c>
      <c r="I25" s="280"/>
    </row>
    <row r="26" spans="1:9" ht="24.95" customHeight="1">
      <c r="A26" s="249" t="s">
        <v>425</v>
      </c>
      <c r="B26" s="249"/>
      <c r="C26" s="249"/>
      <c r="D26" s="269"/>
      <c r="E26" s="269"/>
      <c r="F26" s="269"/>
      <c r="G26" s="269"/>
      <c r="H26" s="280">
        <f t="shared" si="0"/>
        <v>0</v>
      </c>
      <c r="I26" s="280"/>
    </row>
    <row r="27" spans="1:9" ht="24.95" customHeight="1">
      <c r="A27" s="249" t="s">
        <v>1109</v>
      </c>
      <c r="B27" s="249"/>
      <c r="C27" s="249"/>
      <c r="D27" s="280"/>
      <c r="E27" s="280"/>
      <c r="F27" s="280"/>
      <c r="G27" s="280"/>
      <c r="H27" s="280">
        <f t="shared" si="0"/>
        <v>0</v>
      </c>
      <c r="I27" s="280"/>
    </row>
    <row r="28" spans="1:9" ht="24.95" customHeight="1">
      <c r="A28" s="249" t="s">
        <v>136</v>
      </c>
      <c r="B28" s="249"/>
      <c r="C28" s="249"/>
      <c r="D28" s="269"/>
      <c r="E28" s="269"/>
      <c r="F28" s="269"/>
      <c r="G28" s="269"/>
      <c r="H28" s="280">
        <f t="shared" si="0"/>
        <v>0</v>
      </c>
      <c r="I28" s="280"/>
    </row>
    <row r="29" spans="1:9" ht="24.95" customHeight="1">
      <c r="A29" s="249" t="s">
        <v>680</v>
      </c>
      <c r="B29" s="249"/>
      <c r="C29" s="249"/>
      <c r="D29" s="280"/>
      <c r="E29" s="280"/>
      <c r="F29" s="280"/>
      <c r="G29" s="280"/>
      <c r="H29" s="280">
        <f t="shared" si="0"/>
        <v>0</v>
      </c>
      <c r="I29" s="280"/>
    </row>
    <row r="30" spans="1:9" ht="24.95" customHeight="1">
      <c r="A30" s="249" t="s">
        <v>541</v>
      </c>
      <c r="B30" s="249"/>
      <c r="C30" s="249"/>
      <c r="D30" s="269">
        <v>4720</v>
      </c>
      <c r="E30" s="269"/>
      <c r="F30" s="269"/>
      <c r="G30" s="269"/>
      <c r="H30" s="280">
        <f t="shared" si="0"/>
        <v>4720</v>
      </c>
      <c r="I30" s="280"/>
    </row>
    <row r="31" spans="1:9" ht="24.95" customHeight="1">
      <c r="A31" s="249" t="s">
        <v>322</v>
      </c>
      <c r="B31" s="249"/>
      <c r="C31" s="249"/>
      <c r="D31" s="269">
        <v>11</v>
      </c>
      <c r="E31" s="269"/>
      <c r="F31" s="269"/>
      <c r="G31" s="269"/>
      <c r="H31" s="280">
        <f t="shared" si="0"/>
        <v>11</v>
      </c>
      <c r="I31" s="280"/>
    </row>
    <row r="32" spans="1:9" ht="24.95" customHeight="1">
      <c r="A32" s="302" t="s">
        <v>195</v>
      </c>
      <c r="B32" s="303"/>
      <c r="C32" s="304"/>
      <c r="D32" s="305">
        <f>SUM(D25:E31)</f>
        <v>87815</v>
      </c>
      <c r="E32" s="306"/>
      <c r="F32" s="305">
        <f>F25+F31</f>
        <v>142652</v>
      </c>
      <c r="G32" s="306"/>
      <c r="H32" s="305">
        <f>SUM(H25:I31)</f>
        <v>230467</v>
      </c>
      <c r="I32" s="306"/>
    </row>
    <row r="33" spans="1:10" s="100" customFormat="1" ht="24.95" customHeight="1">
      <c r="A33" s="112"/>
      <c r="B33" s="112"/>
      <c r="C33" s="112"/>
      <c r="D33" s="113"/>
      <c r="E33" s="113"/>
      <c r="F33" s="113"/>
      <c r="G33" s="113"/>
      <c r="H33" s="113"/>
      <c r="I33" s="113"/>
      <c r="J33" s="100" t="s">
        <v>1288</v>
      </c>
    </row>
    <row r="35" spans="1:10" ht="15" customHeight="1">
      <c r="A35" s="190" t="s">
        <v>578</v>
      </c>
      <c r="B35" s="190"/>
      <c r="C35" s="190"/>
      <c r="D35" s="190"/>
      <c r="E35" s="190"/>
      <c r="F35" s="190"/>
      <c r="G35" s="190"/>
      <c r="H35" s="190"/>
      <c r="I35" s="190"/>
    </row>
    <row r="37" spans="1:10" ht="30" customHeight="1">
      <c r="A37" s="233" t="s">
        <v>1028</v>
      </c>
      <c r="B37" s="233"/>
      <c r="C37" s="233"/>
      <c r="D37" s="240" t="s">
        <v>319</v>
      </c>
      <c r="E37" s="277"/>
      <c r="F37" s="278"/>
      <c r="G37" s="240" t="s">
        <v>339</v>
      </c>
      <c r="H37" s="277"/>
      <c r="I37" s="278"/>
    </row>
    <row r="38" spans="1:10">
      <c r="A38" s="234" t="s">
        <v>832</v>
      </c>
      <c r="B38" s="234"/>
      <c r="C38" s="234"/>
      <c r="D38" s="279" t="s">
        <v>36</v>
      </c>
      <c r="E38" s="279"/>
      <c r="F38" s="279"/>
      <c r="G38" s="279" t="s">
        <v>647</v>
      </c>
      <c r="H38" s="279"/>
      <c r="I38" s="279"/>
    </row>
    <row r="39" spans="1:10" ht="24.95" customHeight="1">
      <c r="A39" s="274" t="s">
        <v>678</v>
      </c>
      <c r="B39" s="275"/>
      <c r="C39" s="276"/>
      <c r="D39" s="280">
        <v>142652</v>
      </c>
      <c r="E39" s="280"/>
      <c r="F39" s="280"/>
      <c r="G39" s="280">
        <v>64744</v>
      </c>
      <c r="H39" s="280"/>
      <c r="I39" s="280"/>
    </row>
    <row r="40" spans="1:10" ht="24.95" customHeight="1">
      <c r="A40" s="255" t="s">
        <v>579</v>
      </c>
      <c r="B40" s="255"/>
      <c r="C40" s="255"/>
      <c r="D40" s="269">
        <v>87815</v>
      </c>
      <c r="E40" s="269"/>
      <c r="F40" s="269"/>
      <c r="G40" s="269">
        <v>165277</v>
      </c>
      <c r="H40" s="269"/>
      <c r="I40" s="269"/>
    </row>
    <row r="41" spans="1:10" ht="24.95" customHeight="1">
      <c r="A41" s="257" t="s">
        <v>195</v>
      </c>
      <c r="B41" s="257"/>
      <c r="C41" s="257"/>
      <c r="D41" s="267">
        <f>SUM(D39:F40)</f>
        <v>230467</v>
      </c>
      <c r="E41" s="267"/>
      <c r="F41" s="267"/>
      <c r="G41" s="267">
        <f>SUM(G39:I40)</f>
        <v>230021</v>
      </c>
      <c r="H41" s="267"/>
      <c r="I41" s="267"/>
    </row>
    <row r="42" spans="1:10" ht="24.95" customHeight="1">
      <c r="A42" s="255" t="s">
        <v>686</v>
      </c>
      <c r="B42" s="255"/>
      <c r="C42" s="255"/>
      <c r="D42" s="269"/>
      <c r="E42" s="269"/>
      <c r="F42" s="269"/>
      <c r="G42" s="269"/>
      <c r="H42" s="269"/>
      <c r="I42" s="269"/>
    </row>
    <row r="43" spans="1:10" ht="24.95" customHeight="1">
      <c r="A43" s="255" t="s">
        <v>785</v>
      </c>
      <c r="B43" s="255"/>
      <c r="C43" s="255"/>
      <c r="D43" s="269"/>
      <c r="E43" s="269"/>
      <c r="F43" s="269"/>
      <c r="G43" s="269"/>
      <c r="H43" s="269"/>
      <c r="I43" s="269"/>
    </row>
    <row r="44" spans="1:10" ht="24.95" customHeight="1">
      <c r="A44" s="257" t="s">
        <v>457</v>
      </c>
      <c r="B44" s="257"/>
      <c r="C44" s="257"/>
      <c r="D44" s="267">
        <f>SUM(D42:F43)</f>
        <v>0</v>
      </c>
      <c r="E44" s="267"/>
      <c r="F44" s="267"/>
      <c r="G44" s="267">
        <f>SUM(G42:I43)</f>
        <v>0</v>
      </c>
      <c r="H44" s="267"/>
      <c r="I44" s="267"/>
    </row>
    <row r="46" spans="1:10" ht="15" customHeight="1">
      <c r="A46" s="190" t="s">
        <v>1018</v>
      </c>
      <c r="B46" s="190"/>
      <c r="C46" s="190"/>
      <c r="D46" s="190"/>
      <c r="E46" s="190"/>
      <c r="F46" s="190"/>
      <c r="G46" s="190"/>
      <c r="H46" s="190"/>
      <c r="I46" s="190"/>
    </row>
    <row r="48" spans="1:10" ht="15" customHeight="1">
      <c r="A48" s="286" t="s">
        <v>519</v>
      </c>
      <c r="B48" s="287"/>
      <c r="C48" s="288"/>
      <c r="D48" s="240" t="s">
        <v>319</v>
      </c>
      <c r="E48" s="277"/>
      <c r="F48" s="277"/>
      <c r="G48" s="277"/>
      <c r="H48" s="277"/>
      <c r="I48" s="278"/>
    </row>
    <row r="49" spans="1:9" ht="15" customHeight="1">
      <c r="A49" s="299"/>
      <c r="B49" s="300"/>
      <c r="C49" s="301"/>
      <c r="D49" s="286" t="s">
        <v>1110</v>
      </c>
      <c r="E49" s="287"/>
      <c r="F49" s="288"/>
      <c r="G49" s="286" t="s">
        <v>715</v>
      </c>
      <c r="H49" s="287"/>
      <c r="I49" s="288"/>
    </row>
    <row r="50" spans="1:9" ht="24.95" customHeight="1">
      <c r="A50" s="274" t="s">
        <v>923</v>
      </c>
      <c r="B50" s="275"/>
      <c r="C50" s="276"/>
      <c r="D50" s="298" t="s">
        <v>1251</v>
      </c>
      <c r="E50" s="298"/>
      <c r="F50" s="298"/>
      <c r="G50" s="298" t="s">
        <v>1251</v>
      </c>
      <c r="H50" s="298"/>
      <c r="I50" s="298"/>
    </row>
    <row r="51" spans="1:9" ht="24.95" customHeight="1">
      <c r="A51" s="255" t="s">
        <v>796</v>
      </c>
      <c r="B51" s="255"/>
      <c r="C51" s="255"/>
      <c r="D51" s="269" t="s">
        <v>1251</v>
      </c>
      <c r="E51" s="269"/>
      <c r="F51" s="269"/>
      <c r="G51" s="269" t="s">
        <v>1251</v>
      </c>
      <c r="H51" s="269"/>
      <c r="I51" s="269"/>
    </row>
    <row r="52" spans="1:9" ht="24.95" customHeight="1">
      <c r="A52" s="255" t="s">
        <v>1250</v>
      </c>
      <c r="B52" s="255"/>
      <c r="C52" s="255"/>
      <c r="D52" s="269" t="s">
        <v>1251</v>
      </c>
      <c r="E52" s="269"/>
      <c r="F52" s="269"/>
      <c r="G52" s="269" t="s">
        <v>1251</v>
      </c>
      <c r="H52" s="269"/>
      <c r="I52" s="269"/>
    </row>
    <row r="53" spans="1:9" ht="15" customHeight="1">
      <c r="A53" s="59"/>
      <c r="B53" s="59"/>
      <c r="C53" s="59"/>
      <c r="D53" s="57"/>
      <c r="E53" s="57"/>
      <c r="F53" s="57"/>
      <c r="G53" s="57"/>
      <c r="H53" s="57"/>
      <c r="I53" s="57"/>
    </row>
    <row r="54" spans="1:9" ht="15" customHeight="1">
      <c r="A54" s="108"/>
      <c r="B54" s="59"/>
      <c r="C54" s="59"/>
      <c r="D54" s="57"/>
      <c r="E54" s="57"/>
      <c r="F54" s="57"/>
      <c r="G54" s="57"/>
      <c r="H54" s="57"/>
      <c r="I54" s="57"/>
    </row>
    <row r="55" spans="1:9" ht="15" customHeight="1">
      <c r="A55" s="108" t="s">
        <v>1245</v>
      </c>
      <c r="B55" s="59"/>
      <c r="C55" s="59"/>
      <c r="D55" s="57"/>
      <c r="E55" s="57"/>
      <c r="F55" s="57"/>
      <c r="G55" s="57"/>
      <c r="H55" s="57"/>
      <c r="I55" s="57"/>
    </row>
    <row r="56" spans="1:9" ht="15" customHeight="1">
      <c r="A56" s="108" t="s">
        <v>1246</v>
      </c>
      <c r="B56" s="108"/>
      <c r="C56" s="59"/>
      <c r="D56" s="57"/>
      <c r="E56" s="57"/>
      <c r="F56" s="57"/>
      <c r="G56" s="57"/>
      <c r="H56" s="57"/>
      <c r="I56" s="57"/>
    </row>
    <row r="57" spans="1:9" ht="15" customHeight="1">
      <c r="A57" s="108" t="s">
        <v>1247</v>
      </c>
      <c r="B57" s="59"/>
      <c r="C57" s="59"/>
      <c r="D57" s="57"/>
      <c r="E57" s="57"/>
      <c r="F57" s="57"/>
      <c r="G57" s="57"/>
      <c r="H57" s="57"/>
      <c r="I57" s="57"/>
    </row>
    <row r="58" spans="1:9" ht="15" customHeight="1">
      <c r="A58" s="108" t="s">
        <v>1248</v>
      </c>
      <c r="B58" s="59"/>
      <c r="C58" s="59"/>
      <c r="D58" s="57"/>
      <c r="E58" s="57"/>
      <c r="F58" s="57"/>
      <c r="G58" s="57"/>
      <c r="H58" s="57"/>
      <c r="I58" s="57"/>
    </row>
    <row r="59" spans="1:9" ht="15" customHeight="1">
      <c r="A59" s="108" t="s">
        <v>1249</v>
      </c>
      <c r="B59" s="59"/>
      <c r="C59" s="59"/>
      <c r="D59" s="57"/>
      <c r="E59" s="57"/>
      <c r="F59" s="57"/>
      <c r="G59" s="57"/>
      <c r="H59" s="57"/>
      <c r="I59" s="57"/>
    </row>
    <row r="60" spans="1:9" ht="15" customHeight="1">
      <c r="A60" s="108"/>
      <c r="B60" s="59"/>
      <c r="C60" s="59"/>
      <c r="D60" s="57"/>
      <c r="E60" s="57"/>
      <c r="F60" s="57"/>
      <c r="G60" s="57"/>
      <c r="H60" s="57"/>
      <c r="I60" s="57"/>
    </row>
    <row r="61" spans="1:9" ht="15" customHeight="1">
      <c r="A61" s="108" t="s">
        <v>1324</v>
      </c>
      <c r="B61" s="59"/>
      <c r="C61" s="59"/>
      <c r="D61" s="57"/>
      <c r="E61" s="57"/>
      <c r="F61" s="57"/>
      <c r="G61" s="57"/>
      <c r="H61" s="57"/>
      <c r="I61" s="57"/>
    </row>
    <row r="62" spans="1:9" ht="15" customHeight="1">
      <c r="A62" s="108" t="s">
        <v>1325</v>
      </c>
      <c r="B62" s="59"/>
      <c r="C62" s="59"/>
      <c r="D62" s="57"/>
      <c r="E62" s="57"/>
      <c r="F62" s="57"/>
      <c r="G62" s="57"/>
      <c r="H62" s="57"/>
      <c r="I62" s="57"/>
    </row>
    <row r="63" spans="1:9" ht="15" customHeight="1">
      <c r="A63" s="108"/>
      <c r="B63" s="59"/>
      <c r="C63" s="59"/>
      <c r="D63" s="57"/>
      <c r="E63" s="57"/>
      <c r="F63" s="57"/>
      <c r="G63" s="57"/>
      <c r="H63" s="57"/>
      <c r="I63" s="57"/>
    </row>
    <row r="64" spans="1:9" ht="15" customHeight="1">
      <c r="A64" s="59"/>
      <c r="B64" s="59"/>
      <c r="C64" s="59"/>
      <c r="D64" s="57"/>
      <c r="E64" s="57"/>
      <c r="F64" s="57"/>
      <c r="G64" s="57"/>
      <c r="H64" s="57"/>
      <c r="I64" s="57"/>
    </row>
    <row r="65" spans="1:10" ht="15" customHeight="1">
      <c r="A65" s="59"/>
      <c r="B65" s="59"/>
      <c r="C65" s="59"/>
      <c r="D65" s="57"/>
      <c r="E65" s="57"/>
      <c r="F65" s="57"/>
      <c r="G65" s="57"/>
      <c r="H65" s="57"/>
      <c r="I65" s="57"/>
    </row>
    <row r="66" spans="1:10" ht="15" customHeight="1">
      <c r="A66" s="59"/>
      <c r="B66" s="59"/>
      <c r="C66" s="59"/>
      <c r="D66" s="57"/>
      <c r="E66" s="57"/>
      <c r="F66" s="57"/>
      <c r="G66" s="57"/>
      <c r="H66" s="57"/>
      <c r="I66" s="57"/>
    </row>
    <row r="67" spans="1:10" ht="15" customHeight="1">
      <c r="A67" s="59"/>
      <c r="B67" s="59"/>
      <c r="C67" s="59"/>
      <c r="D67" s="57"/>
      <c r="E67" s="57"/>
      <c r="F67" s="57"/>
      <c r="G67" s="57"/>
      <c r="H67" s="57"/>
      <c r="I67" s="57"/>
    </row>
    <row r="68" spans="1:10" ht="15" customHeight="1">
      <c r="A68" s="59"/>
      <c r="B68" s="59"/>
      <c r="C68" s="59"/>
      <c r="D68" s="57"/>
      <c r="E68" s="57"/>
      <c r="F68" s="57"/>
      <c r="G68" s="57"/>
      <c r="H68" s="57"/>
      <c r="I68" s="57"/>
    </row>
    <row r="69" spans="1:10" ht="15" customHeight="1">
      <c r="A69" s="59"/>
      <c r="B69" s="59"/>
      <c r="C69" s="59"/>
      <c r="D69" s="57"/>
      <c r="E69" s="57"/>
      <c r="F69" s="57"/>
      <c r="G69" s="57"/>
      <c r="H69" s="57"/>
      <c r="I69" s="57"/>
    </row>
    <row r="70" spans="1:10" ht="15" customHeight="1">
      <c r="A70" s="59"/>
      <c r="B70" s="59"/>
      <c r="C70" s="59"/>
      <c r="D70" s="57"/>
      <c r="E70" s="57"/>
      <c r="F70" s="57"/>
      <c r="G70" s="57"/>
      <c r="H70" s="57"/>
      <c r="I70" s="57"/>
    </row>
    <row r="71" spans="1:10" ht="15" customHeight="1">
      <c r="A71" s="59"/>
      <c r="B71" s="59"/>
      <c r="C71" s="59"/>
      <c r="D71" s="57"/>
      <c r="E71" s="57"/>
      <c r="F71" s="57"/>
      <c r="G71" s="57"/>
      <c r="H71" s="57"/>
      <c r="I71" s="57"/>
    </row>
    <row r="72" spans="1:10" ht="15" customHeight="1">
      <c r="A72" s="59"/>
      <c r="B72" s="59"/>
      <c r="C72" s="59"/>
      <c r="D72" s="57"/>
      <c r="E72" s="57"/>
      <c r="F72" s="57"/>
      <c r="G72" s="57"/>
      <c r="H72" s="57"/>
      <c r="I72" s="57"/>
    </row>
    <row r="73" spans="1:10" ht="15" customHeight="1">
      <c r="A73" s="59"/>
      <c r="B73" s="59"/>
      <c r="C73" s="59"/>
      <c r="D73" s="57"/>
      <c r="E73" s="57"/>
      <c r="F73" s="57"/>
      <c r="G73" s="57"/>
      <c r="H73" s="57"/>
      <c r="I73" s="57"/>
    </row>
    <row r="74" spans="1:10" ht="15" customHeight="1">
      <c r="A74" s="59"/>
      <c r="B74" s="59"/>
      <c r="C74" s="59"/>
      <c r="D74" s="57"/>
      <c r="E74" s="57"/>
      <c r="F74" s="57"/>
      <c r="G74" s="57"/>
      <c r="H74" s="57"/>
      <c r="I74" s="57"/>
    </row>
    <row r="75" spans="1:10" ht="15" customHeight="1">
      <c r="A75" s="59"/>
      <c r="B75" s="59"/>
      <c r="C75" s="59"/>
      <c r="D75" s="57"/>
      <c r="E75" s="57"/>
      <c r="F75" s="57"/>
      <c r="G75" s="57"/>
      <c r="H75" s="57"/>
      <c r="I75" s="57"/>
    </row>
    <row r="76" spans="1:10" ht="15" customHeight="1">
      <c r="A76" s="59"/>
      <c r="B76" s="59"/>
      <c r="C76" s="59"/>
      <c r="D76" s="57"/>
      <c r="E76" s="57"/>
      <c r="F76" s="57"/>
      <c r="G76" s="57"/>
      <c r="H76" s="57"/>
      <c r="I76" s="57"/>
      <c r="J76" s="100" t="s">
        <v>1289</v>
      </c>
    </row>
  </sheetData>
  <mergeCells count="115">
    <mergeCell ref="A13:I13"/>
    <mergeCell ref="A15:C15"/>
    <mergeCell ref="D15:E15"/>
    <mergeCell ref="F15:G15"/>
    <mergeCell ref="H15:I15"/>
    <mergeCell ref="A16:C16"/>
    <mergeCell ref="D16:E16"/>
    <mergeCell ref="F16:G16"/>
    <mergeCell ref="H16:I16"/>
    <mergeCell ref="A17:I17"/>
    <mergeCell ref="A20:C20"/>
    <mergeCell ref="D20:E20"/>
    <mergeCell ref="F20:G20"/>
    <mergeCell ref="H20:I20"/>
    <mergeCell ref="A21:C21"/>
    <mergeCell ref="A18:C18"/>
    <mergeCell ref="D18:E18"/>
    <mergeCell ref="F18:G18"/>
    <mergeCell ref="H18:I18"/>
    <mergeCell ref="A19:C19"/>
    <mergeCell ref="D19:E19"/>
    <mergeCell ref="F19:G19"/>
    <mergeCell ref="H19:I19"/>
    <mergeCell ref="D21:E21"/>
    <mergeCell ref="F21:G21"/>
    <mergeCell ref="H21:I21"/>
    <mergeCell ref="A22:C22"/>
    <mergeCell ref="D22:E22"/>
    <mergeCell ref="F22:G22"/>
    <mergeCell ref="H22:I22"/>
    <mergeCell ref="A23:C23"/>
    <mergeCell ref="D23:E23"/>
    <mergeCell ref="F23:G23"/>
    <mergeCell ref="H23:I23"/>
    <mergeCell ref="A27:C27"/>
    <mergeCell ref="D27:E27"/>
    <mergeCell ref="F27:G27"/>
    <mergeCell ref="H27:I27"/>
    <mergeCell ref="A28:C28"/>
    <mergeCell ref="D28:E28"/>
    <mergeCell ref="F28:G28"/>
    <mergeCell ref="H28:I28"/>
    <mergeCell ref="A24:I24"/>
    <mergeCell ref="A25:C25"/>
    <mergeCell ref="D25:E25"/>
    <mergeCell ref="F25:G25"/>
    <mergeCell ref="H25:I25"/>
    <mergeCell ref="A26:C26"/>
    <mergeCell ref="D26:E26"/>
    <mergeCell ref="F26:G26"/>
    <mergeCell ref="H26:I26"/>
    <mergeCell ref="A35:I35"/>
    <mergeCell ref="A37:C37"/>
    <mergeCell ref="D37:F37"/>
    <mergeCell ref="G37:I37"/>
    <mergeCell ref="A38:C38"/>
    <mergeCell ref="D38:F38"/>
    <mergeCell ref="G38:I38"/>
    <mergeCell ref="A29:C29"/>
    <mergeCell ref="D29:E29"/>
    <mergeCell ref="F29:G29"/>
    <mergeCell ref="H29:I29"/>
    <mergeCell ref="A30:C30"/>
    <mergeCell ref="D30:E30"/>
    <mergeCell ref="F30:G30"/>
    <mergeCell ref="H30:I30"/>
    <mergeCell ref="A31:C31"/>
    <mergeCell ref="D31:E31"/>
    <mergeCell ref="F31:G31"/>
    <mergeCell ref="H31:I31"/>
    <mergeCell ref="A32:C32"/>
    <mergeCell ref="D32:E32"/>
    <mergeCell ref="F32:G32"/>
    <mergeCell ref="H32:I32"/>
    <mergeCell ref="D39:F39"/>
    <mergeCell ref="G39:I39"/>
    <mergeCell ref="A40:C40"/>
    <mergeCell ref="D40:F40"/>
    <mergeCell ref="G40:I40"/>
    <mergeCell ref="G41:I41"/>
    <mergeCell ref="A41:C41"/>
    <mergeCell ref="D41:F41"/>
    <mergeCell ref="A39:C39"/>
    <mergeCell ref="A46:I46"/>
    <mergeCell ref="A48:C49"/>
    <mergeCell ref="D49:F49"/>
    <mergeCell ref="G49:I49"/>
    <mergeCell ref="A44:C44"/>
    <mergeCell ref="D44:F44"/>
    <mergeCell ref="G44:I44"/>
    <mergeCell ref="A42:C42"/>
    <mergeCell ref="D42:F42"/>
    <mergeCell ref="G42:I42"/>
    <mergeCell ref="A43:C43"/>
    <mergeCell ref="D43:F43"/>
    <mergeCell ref="G43:I43"/>
    <mergeCell ref="A52:C52"/>
    <mergeCell ref="D52:F52"/>
    <mergeCell ref="G52:I52"/>
    <mergeCell ref="A50:C50"/>
    <mergeCell ref="D50:F50"/>
    <mergeCell ref="G50:I50"/>
    <mergeCell ref="A51:C51"/>
    <mergeCell ref="D51:F51"/>
    <mergeCell ref="G51:I51"/>
    <mergeCell ref="A10:D10"/>
    <mergeCell ref="A11:D11"/>
    <mergeCell ref="D48:I48"/>
    <mergeCell ref="E3:I3"/>
    <mergeCell ref="A3:D4"/>
    <mergeCell ref="A5:D5"/>
    <mergeCell ref="A6:D6"/>
    <mergeCell ref="A7:D7"/>
    <mergeCell ref="A8:D8"/>
    <mergeCell ref="A9:D9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X70"/>
  <sheetViews>
    <sheetView workbookViewId="0">
      <selection activeCell="N82" sqref="N82"/>
    </sheetView>
  </sheetViews>
  <sheetFormatPr defaultRowHeight="15"/>
  <cols>
    <col min="1" max="24" width="3.5703125" customWidth="1"/>
    <col min="25" max="26" width="3.7109375" customWidth="1"/>
  </cols>
  <sheetData>
    <row r="1" spans="1:24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24" ht="15" customHeight="1">
      <c r="A2" s="190" t="s">
        <v>761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</row>
    <row r="3" spans="1:2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24">
      <c r="A4" s="259" t="s">
        <v>288</v>
      </c>
      <c r="B4" s="259"/>
      <c r="C4" s="259"/>
      <c r="D4" s="259"/>
      <c r="E4" s="259"/>
      <c r="F4" s="259"/>
      <c r="G4" s="259"/>
      <c r="H4" s="259"/>
      <c r="I4" s="252" t="s">
        <v>319</v>
      </c>
      <c r="J4" s="252"/>
      <c r="K4" s="252"/>
      <c r="L4" s="252"/>
      <c r="M4" s="252"/>
      <c r="N4" s="252"/>
      <c r="O4" s="252"/>
      <c r="P4" s="252"/>
      <c r="Q4" s="334" t="s">
        <v>272</v>
      </c>
      <c r="R4" s="334"/>
      <c r="S4" s="334"/>
      <c r="T4" s="334"/>
      <c r="U4" s="334"/>
      <c r="V4" s="334"/>
      <c r="W4" s="334"/>
      <c r="X4" s="334"/>
    </row>
    <row r="5" spans="1:24" ht="15" customHeight="1">
      <c r="A5" s="323" t="s">
        <v>1010</v>
      </c>
      <c r="B5" s="323"/>
      <c r="C5" s="323"/>
      <c r="D5" s="323"/>
      <c r="E5" s="323"/>
      <c r="F5" s="323"/>
      <c r="G5" s="323"/>
      <c r="H5" s="323"/>
      <c r="I5" s="325">
        <v>2516</v>
      </c>
      <c r="J5" s="325"/>
      <c r="K5" s="325"/>
      <c r="L5" s="325"/>
      <c r="M5" s="325"/>
      <c r="N5" s="325"/>
      <c r="O5" s="325"/>
      <c r="P5" s="325"/>
      <c r="Q5" s="335">
        <v>958</v>
      </c>
      <c r="R5" s="335"/>
      <c r="S5" s="335"/>
      <c r="T5" s="335"/>
      <c r="U5" s="335"/>
      <c r="V5" s="335"/>
      <c r="W5" s="335"/>
      <c r="X5" s="335"/>
    </row>
    <row r="6" spans="1:24" ht="15" customHeight="1">
      <c r="A6" s="255" t="s">
        <v>934</v>
      </c>
      <c r="B6" s="255"/>
      <c r="C6" s="255"/>
      <c r="D6" s="255"/>
      <c r="E6" s="255"/>
      <c r="F6" s="255"/>
      <c r="G6" s="255"/>
      <c r="H6" s="255"/>
      <c r="I6" s="326">
        <v>3616</v>
      </c>
      <c r="J6" s="326"/>
      <c r="K6" s="326"/>
      <c r="L6" s="326"/>
      <c r="M6" s="326"/>
      <c r="N6" s="326"/>
      <c r="O6" s="326"/>
      <c r="P6" s="326"/>
      <c r="Q6" s="318">
        <v>40072</v>
      </c>
      <c r="R6" s="318"/>
      <c r="S6" s="318"/>
      <c r="T6" s="318"/>
      <c r="U6" s="318"/>
      <c r="V6" s="318"/>
      <c r="W6" s="318"/>
      <c r="X6" s="318"/>
    </row>
    <row r="7" spans="1:24" ht="15" customHeight="1">
      <c r="A7" s="255" t="s">
        <v>25</v>
      </c>
      <c r="B7" s="255"/>
      <c r="C7" s="255"/>
      <c r="D7" s="255"/>
      <c r="E7" s="255"/>
      <c r="F7" s="255"/>
      <c r="G7" s="255"/>
      <c r="H7" s="255"/>
      <c r="I7" s="326"/>
      <c r="J7" s="326"/>
      <c r="K7" s="326"/>
      <c r="L7" s="326"/>
      <c r="M7" s="326"/>
      <c r="N7" s="326"/>
      <c r="O7" s="326"/>
      <c r="P7" s="326"/>
      <c r="Q7" s="319"/>
      <c r="R7" s="319"/>
      <c r="S7" s="319"/>
      <c r="T7" s="319"/>
      <c r="U7" s="319"/>
      <c r="V7" s="319"/>
      <c r="W7" s="319"/>
      <c r="X7" s="319"/>
    </row>
    <row r="8" spans="1:24" ht="15" customHeight="1">
      <c r="A8" s="255" t="s">
        <v>357</v>
      </c>
      <c r="B8" s="255"/>
      <c r="C8" s="255"/>
      <c r="D8" s="255"/>
      <c r="E8" s="255"/>
      <c r="F8" s="255"/>
      <c r="G8" s="255"/>
      <c r="H8" s="255"/>
      <c r="I8" s="326"/>
      <c r="J8" s="326"/>
      <c r="K8" s="326"/>
      <c r="L8" s="326"/>
      <c r="M8" s="326"/>
      <c r="N8" s="326"/>
      <c r="O8" s="326"/>
      <c r="P8" s="326"/>
      <c r="Q8" s="319"/>
      <c r="R8" s="319"/>
      <c r="S8" s="319"/>
      <c r="T8" s="319"/>
      <c r="U8" s="319"/>
      <c r="V8" s="319"/>
      <c r="W8" s="319"/>
      <c r="X8" s="319"/>
    </row>
    <row r="9" spans="1:24" ht="15" customHeight="1">
      <c r="A9" s="257" t="s">
        <v>427</v>
      </c>
      <c r="B9" s="257"/>
      <c r="C9" s="257"/>
      <c r="D9" s="257"/>
      <c r="E9" s="257"/>
      <c r="F9" s="257"/>
      <c r="G9" s="257"/>
      <c r="H9" s="257"/>
      <c r="I9" s="327">
        <f>SUM(I5:P8)</f>
        <v>6132</v>
      </c>
      <c r="J9" s="327"/>
      <c r="K9" s="327"/>
      <c r="L9" s="327"/>
      <c r="M9" s="327"/>
      <c r="N9" s="327"/>
      <c r="O9" s="327"/>
      <c r="P9" s="327"/>
      <c r="Q9" s="327">
        <f>SUM(Q5:X8)</f>
        <v>41030</v>
      </c>
      <c r="R9" s="327"/>
      <c r="S9" s="327"/>
      <c r="T9" s="327"/>
      <c r="U9" s="327"/>
      <c r="V9" s="327"/>
      <c r="W9" s="327"/>
      <c r="X9" s="327"/>
    </row>
    <row r="10" spans="1:2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24" ht="15" customHeight="1">
      <c r="A11" s="190" t="s">
        <v>538</v>
      </c>
      <c r="B11" s="190"/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</row>
    <row r="12" spans="1:24" ht="15.75">
      <c r="A12" s="44"/>
      <c r="B12" s="44"/>
      <c r="C12" s="44"/>
      <c r="D12" s="44"/>
      <c r="E12" s="44"/>
      <c r="F12" s="44"/>
      <c r="G12" s="44"/>
      <c r="H12" s="44"/>
      <c r="I12" s="11"/>
      <c r="J12" s="11"/>
      <c r="K12" s="11"/>
      <c r="L12" s="11"/>
    </row>
    <row r="13" spans="1:24" ht="15" customHeight="1">
      <c r="A13" s="233" t="s">
        <v>404</v>
      </c>
      <c r="B13" s="233"/>
      <c r="C13" s="233"/>
      <c r="D13" s="233"/>
      <c r="E13" s="233"/>
      <c r="F13" s="233"/>
      <c r="G13" s="233"/>
      <c r="H13" s="233"/>
      <c r="I13" s="258" t="s">
        <v>319</v>
      </c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</row>
    <row r="14" spans="1:24" ht="24.95" customHeight="1">
      <c r="A14" s="252"/>
      <c r="B14" s="252"/>
      <c r="C14" s="252"/>
      <c r="D14" s="252"/>
      <c r="E14" s="252"/>
      <c r="F14" s="252"/>
      <c r="G14" s="252"/>
      <c r="H14" s="252"/>
      <c r="I14" s="252" t="s">
        <v>314</v>
      </c>
      <c r="J14" s="252"/>
      <c r="K14" s="252"/>
      <c r="L14" s="252"/>
      <c r="M14" s="324" t="s">
        <v>147</v>
      </c>
      <c r="N14" s="324"/>
      <c r="O14" s="324"/>
      <c r="P14" s="324"/>
      <c r="Q14" s="324" t="s">
        <v>389</v>
      </c>
      <c r="R14" s="324"/>
      <c r="S14" s="324"/>
      <c r="T14" s="324"/>
      <c r="U14" s="324" t="s">
        <v>1095</v>
      </c>
      <c r="V14" s="324"/>
      <c r="W14" s="324"/>
      <c r="X14" s="324"/>
    </row>
    <row r="15" spans="1:24" ht="33" customHeight="1">
      <c r="A15" s="322" t="s">
        <v>857</v>
      </c>
      <c r="B15" s="322"/>
      <c r="C15" s="322"/>
      <c r="D15" s="322"/>
      <c r="E15" s="322"/>
      <c r="F15" s="322"/>
      <c r="G15" s="322"/>
      <c r="H15" s="322"/>
      <c r="I15" s="298"/>
      <c r="J15" s="298"/>
      <c r="K15" s="298"/>
      <c r="L15" s="298"/>
      <c r="M15" s="321"/>
      <c r="N15" s="321"/>
      <c r="O15" s="321"/>
      <c r="P15" s="321"/>
      <c r="Q15" s="321"/>
      <c r="R15" s="321"/>
      <c r="S15" s="321"/>
      <c r="T15" s="321"/>
      <c r="U15" s="321"/>
      <c r="V15" s="321"/>
      <c r="W15" s="321"/>
      <c r="X15" s="321"/>
    </row>
    <row r="16" spans="1:24" ht="33" customHeight="1">
      <c r="A16" s="255" t="s">
        <v>808</v>
      </c>
      <c r="B16" s="255"/>
      <c r="C16" s="255"/>
      <c r="D16" s="255"/>
      <c r="E16" s="255"/>
      <c r="F16" s="255"/>
      <c r="G16" s="255"/>
      <c r="H16" s="255"/>
      <c r="I16" s="269"/>
      <c r="J16" s="269"/>
      <c r="K16" s="269"/>
      <c r="L16" s="269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19"/>
    </row>
    <row r="17" spans="1:24" ht="33" customHeight="1">
      <c r="A17" s="255" t="s">
        <v>432</v>
      </c>
      <c r="B17" s="255"/>
      <c r="C17" s="255"/>
      <c r="D17" s="255"/>
      <c r="E17" s="255"/>
      <c r="F17" s="255"/>
      <c r="G17" s="255"/>
      <c r="H17" s="255"/>
      <c r="I17" s="269"/>
      <c r="J17" s="269"/>
      <c r="K17" s="269"/>
      <c r="L17" s="269"/>
      <c r="M17" s="319"/>
      <c r="N17" s="319"/>
      <c r="O17" s="319"/>
      <c r="P17" s="319"/>
      <c r="Q17" s="319"/>
      <c r="R17" s="319"/>
      <c r="S17" s="319"/>
      <c r="T17" s="319"/>
      <c r="U17" s="319"/>
      <c r="V17" s="319"/>
      <c r="W17" s="319"/>
      <c r="X17" s="319"/>
    </row>
    <row r="18" spans="1:24" ht="33" customHeight="1">
      <c r="A18" s="255" t="s">
        <v>537</v>
      </c>
      <c r="B18" s="255"/>
      <c r="C18" s="255"/>
      <c r="D18" s="255"/>
      <c r="E18" s="255"/>
      <c r="F18" s="255"/>
      <c r="G18" s="255"/>
      <c r="H18" s="255"/>
      <c r="I18" s="269"/>
      <c r="J18" s="269"/>
      <c r="K18" s="269"/>
      <c r="L18" s="269"/>
      <c r="M18" s="319"/>
      <c r="N18" s="319"/>
      <c r="O18" s="319"/>
      <c r="P18" s="319"/>
      <c r="Q18" s="319"/>
      <c r="R18" s="319"/>
      <c r="S18" s="319"/>
      <c r="T18" s="319"/>
      <c r="U18" s="319"/>
      <c r="V18" s="319"/>
      <c r="W18" s="319"/>
      <c r="X18" s="319"/>
    </row>
    <row r="19" spans="1:24" ht="33" customHeight="1">
      <c r="A19" s="255" t="s">
        <v>330</v>
      </c>
      <c r="B19" s="255"/>
      <c r="C19" s="255"/>
      <c r="D19" s="255"/>
      <c r="E19" s="255"/>
      <c r="F19" s="255"/>
      <c r="G19" s="255"/>
      <c r="H19" s="255"/>
      <c r="I19" s="269"/>
      <c r="J19" s="269"/>
      <c r="K19" s="269"/>
      <c r="L19" s="269"/>
      <c r="M19" s="319"/>
      <c r="N19" s="319"/>
      <c r="O19" s="319"/>
      <c r="P19" s="319"/>
      <c r="Q19" s="319"/>
      <c r="R19" s="319"/>
      <c r="S19" s="319"/>
      <c r="T19" s="319"/>
      <c r="U19" s="319"/>
      <c r="V19" s="319"/>
      <c r="W19" s="319"/>
      <c r="X19" s="319"/>
    </row>
    <row r="20" spans="1:24" ht="33" customHeight="1">
      <c r="A20" s="255" t="s">
        <v>438</v>
      </c>
      <c r="B20" s="255"/>
      <c r="C20" s="255"/>
      <c r="D20" s="255"/>
      <c r="E20" s="255"/>
      <c r="F20" s="255"/>
      <c r="G20" s="255"/>
      <c r="H20" s="255"/>
      <c r="I20" s="269"/>
      <c r="J20" s="269"/>
      <c r="K20" s="269"/>
      <c r="L20" s="269"/>
      <c r="M20" s="319"/>
      <c r="N20" s="319"/>
      <c r="O20" s="319"/>
      <c r="P20" s="319"/>
      <c r="Q20" s="319"/>
      <c r="R20" s="319"/>
      <c r="S20" s="319"/>
      <c r="T20" s="319"/>
      <c r="U20" s="319"/>
      <c r="V20" s="319"/>
      <c r="W20" s="319"/>
      <c r="X20" s="319"/>
    </row>
    <row r="21" spans="1:24" ht="33" customHeight="1">
      <c r="A21" s="257" t="s">
        <v>157</v>
      </c>
      <c r="B21" s="257"/>
      <c r="C21" s="257"/>
      <c r="D21" s="257"/>
      <c r="E21" s="257"/>
      <c r="F21" s="257"/>
      <c r="G21" s="257"/>
      <c r="H21" s="257"/>
      <c r="I21" s="267">
        <f>SUM(I15:L20)</f>
        <v>0</v>
      </c>
      <c r="J21" s="267"/>
      <c r="K21" s="267"/>
      <c r="L21" s="267"/>
      <c r="M21" s="267">
        <f>SUM(M15:P20)</f>
        <v>0</v>
      </c>
      <c r="N21" s="267"/>
      <c r="O21" s="267"/>
      <c r="P21" s="267"/>
      <c r="Q21" s="267">
        <f>SUM(Q15:T20)</f>
        <v>0</v>
      </c>
      <c r="R21" s="267"/>
      <c r="S21" s="267"/>
      <c r="T21" s="267"/>
      <c r="U21" s="267">
        <f>SUM(U15:X20)</f>
        <v>0</v>
      </c>
      <c r="V21" s="267"/>
      <c r="W21" s="267"/>
      <c r="X21" s="267"/>
    </row>
    <row r="22" spans="1:2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24" ht="15" customHeight="1">
      <c r="A23" s="190" t="s">
        <v>856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</row>
    <row r="24" spans="1:24" ht="15.75">
      <c r="A24" s="44"/>
      <c r="B24" s="44"/>
      <c r="C24" s="44"/>
      <c r="D24" s="44"/>
      <c r="E24" s="44"/>
      <c r="F24" s="44"/>
      <c r="G24" s="44"/>
      <c r="H24" s="44"/>
      <c r="I24" s="11"/>
      <c r="J24" s="11"/>
      <c r="K24" s="11"/>
      <c r="L24" s="11"/>
    </row>
    <row r="25" spans="1:24" ht="50.1" customHeight="1">
      <c r="A25" s="240" t="s">
        <v>404</v>
      </c>
      <c r="B25" s="277"/>
      <c r="C25" s="277"/>
      <c r="D25" s="278"/>
      <c r="E25" s="240" t="s">
        <v>49</v>
      </c>
      <c r="F25" s="277"/>
      <c r="G25" s="277"/>
      <c r="H25" s="278"/>
      <c r="I25" s="240" t="s">
        <v>491</v>
      </c>
      <c r="J25" s="277"/>
      <c r="K25" s="277"/>
      <c r="L25" s="278"/>
      <c r="M25" s="240" t="s">
        <v>394</v>
      </c>
      <c r="N25" s="277"/>
      <c r="O25" s="277"/>
      <c r="P25" s="278"/>
      <c r="Q25" s="240" t="s">
        <v>419</v>
      </c>
      <c r="R25" s="277"/>
      <c r="S25" s="277"/>
      <c r="T25" s="278"/>
      <c r="U25" s="240" t="s">
        <v>1095</v>
      </c>
      <c r="V25" s="277"/>
      <c r="W25" s="277"/>
      <c r="X25" s="278"/>
    </row>
    <row r="26" spans="1:24">
      <c r="A26" s="328" t="s">
        <v>832</v>
      </c>
      <c r="B26" s="329"/>
      <c r="C26" s="329"/>
      <c r="D26" s="330"/>
      <c r="E26" s="328" t="s">
        <v>36</v>
      </c>
      <c r="F26" s="329"/>
      <c r="G26" s="329"/>
      <c r="H26" s="330"/>
      <c r="I26" s="328" t="s">
        <v>647</v>
      </c>
      <c r="J26" s="329"/>
      <c r="K26" s="329"/>
      <c r="L26" s="330"/>
      <c r="M26" s="341" t="s">
        <v>236</v>
      </c>
      <c r="N26" s="342"/>
      <c r="O26" s="342"/>
      <c r="P26" s="343"/>
      <c r="Q26" s="331" t="s">
        <v>741</v>
      </c>
      <c r="R26" s="332"/>
      <c r="S26" s="332"/>
      <c r="T26" s="333"/>
      <c r="U26" s="331" t="s">
        <v>139</v>
      </c>
      <c r="V26" s="332"/>
      <c r="W26" s="332"/>
      <c r="X26" s="333"/>
    </row>
    <row r="27" spans="1:24" ht="35.1" customHeight="1">
      <c r="A27" s="255" t="s">
        <v>330</v>
      </c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</row>
    <row r="28" spans="1:24" ht="35.1" customHeight="1">
      <c r="A28" s="255" t="s">
        <v>61</v>
      </c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</row>
    <row r="29" spans="1:24" ht="35.1" customHeight="1">
      <c r="A29" s="257" t="s">
        <v>157</v>
      </c>
      <c r="B29" s="257"/>
      <c r="C29" s="257"/>
      <c r="D29" s="257"/>
      <c r="E29" s="257">
        <f>SUM(E27:H28)</f>
        <v>0</v>
      </c>
      <c r="F29" s="257"/>
      <c r="G29" s="257"/>
      <c r="H29" s="257"/>
      <c r="I29" s="257">
        <f>SUM(I27:L28)</f>
        <v>0</v>
      </c>
      <c r="J29" s="257"/>
      <c r="K29" s="257"/>
      <c r="L29" s="257"/>
      <c r="M29" s="257">
        <f>SUM(M27:P28)</f>
        <v>0</v>
      </c>
      <c r="N29" s="257"/>
      <c r="O29" s="257"/>
      <c r="P29" s="257"/>
      <c r="Q29" s="257">
        <f>SUM(Q27:T28)</f>
        <v>0</v>
      </c>
      <c r="R29" s="257"/>
      <c r="S29" s="257"/>
      <c r="T29" s="257"/>
      <c r="U29" s="257">
        <f>SUM(U27:X28)</f>
        <v>0</v>
      </c>
      <c r="V29" s="257"/>
      <c r="W29" s="257"/>
      <c r="X29" s="257"/>
    </row>
    <row r="30" spans="1:24" s="11" customFormat="1" ht="15" customHeight="1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</row>
    <row r="31" spans="1:24" s="11" customFormat="1" ht="15" customHeight="1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</row>
    <row r="32" spans="1:24" s="11" customFormat="1" ht="15" customHeight="1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</row>
    <row r="33" spans="1:24" s="11" customFormat="1" ht="15" customHeight="1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</row>
    <row r="34" spans="1:24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Q34" s="339"/>
      <c r="R34" s="339"/>
      <c r="S34" s="339"/>
      <c r="T34" s="339"/>
      <c r="U34" s="339" t="s">
        <v>1290</v>
      </c>
      <c r="V34" s="339"/>
      <c r="W34" s="339"/>
      <c r="X34" s="339"/>
    </row>
    <row r="35" spans="1:24" ht="30" customHeight="1">
      <c r="A35" s="190" t="s">
        <v>381</v>
      </c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</row>
    <row r="36" spans="1:24" ht="15.75">
      <c r="A36" s="44"/>
      <c r="B36" s="44"/>
      <c r="C36" s="44"/>
      <c r="D36" s="44"/>
      <c r="E36" s="44"/>
      <c r="F36" s="44"/>
      <c r="G36" s="44"/>
      <c r="H36" s="44"/>
      <c r="I36" s="11"/>
      <c r="J36" s="11"/>
      <c r="K36" s="11"/>
      <c r="L36" s="11"/>
    </row>
    <row r="37" spans="1:24" ht="15.75" customHeight="1">
      <c r="A37" s="252" t="s">
        <v>288</v>
      </c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334" t="s">
        <v>452</v>
      </c>
      <c r="R37" s="334"/>
      <c r="S37" s="334"/>
      <c r="T37" s="334"/>
      <c r="U37" s="334"/>
      <c r="V37" s="334"/>
      <c r="W37" s="334"/>
      <c r="X37" s="334"/>
    </row>
    <row r="38" spans="1:24" ht="30" customHeight="1">
      <c r="A38" s="323" t="s">
        <v>946</v>
      </c>
      <c r="B38" s="323"/>
      <c r="C38" s="323"/>
      <c r="D38" s="323"/>
      <c r="E38" s="323"/>
      <c r="F38" s="323"/>
      <c r="G38" s="323"/>
      <c r="H38" s="323"/>
      <c r="I38" s="323"/>
      <c r="J38" s="323"/>
      <c r="K38" s="323"/>
      <c r="L38" s="323"/>
      <c r="M38" s="323"/>
      <c r="N38" s="323"/>
      <c r="O38" s="323"/>
      <c r="P38" s="323"/>
      <c r="Q38" s="338" t="s">
        <v>1251</v>
      </c>
      <c r="R38" s="338"/>
      <c r="S38" s="338"/>
      <c r="T38" s="338"/>
      <c r="U38" s="338"/>
      <c r="V38" s="338"/>
      <c r="W38" s="338"/>
      <c r="X38" s="338"/>
    </row>
    <row r="39" spans="1:24" ht="30" customHeight="1">
      <c r="A39" s="255" t="s">
        <v>813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38" t="s">
        <v>1251</v>
      </c>
      <c r="R39" s="238"/>
      <c r="S39" s="238"/>
      <c r="T39" s="238"/>
      <c r="U39" s="238"/>
      <c r="V39" s="238"/>
      <c r="W39" s="238"/>
      <c r="X39" s="238"/>
    </row>
    <row r="40" spans="1:24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24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24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24" ht="30" customHeight="1">
      <c r="A43" s="190" t="s">
        <v>666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</row>
    <row r="44" spans="1:24" ht="15.75">
      <c r="A44" s="44"/>
      <c r="B44" s="44"/>
      <c r="C44" s="44"/>
      <c r="D44" s="44"/>
      <c r="E44" s="44"/>
      <c r="F44" s="44"/>
      <c r="G44" s="44"/>
      <c r="H44" s="44"/>
      <c r="I44" s="11"/>
      <c r="J44" s="11"/>
      <c r="K44" s="11"/>
      <c r="L44" s="11"/>
    </row>
    <row r="45" spans="1:24" ht="39.950000000000003" customHeight="1">
      <c r="A45" s="233" t="s">
        <v>404</v>
      </c>
      <c r="B45" s="233"/>
      <c r="C45" s="233"/>
      <c r="D45" s="233"/>
      <c r="E45" s="233"/>
      <c r="F45" s="233"/>
      <c r="G45" s="233" t="s">
        <v>466</v>
      </c>
      <c r="H45" s="233"/>
      <c r="I45" s="233"/>
      <c r="J45" s="233"/>
      <c r="K45" s="233"/>
      <c r="L45" s="233"/>
      <c r="M45" s="233" t="s">
        <v>128</v>
      </c>
      <c r="N45" s="233"/>
      <c r="O45" s="233"/>
      <c r="P45" s="233"/>
      <c r="Q45" s="233"/>
      <c r="R45" s="233"/>
      <c r="S45" s="233" t="s">
        <v>163</v>
      </c>
      <c r="T45" s="233"/>
      <c r="U45" s="233"/>
      <c r="V45" s="233"/>
      <c r="W45" s="233"/>
      <c r="X45" s="233"/>
    </row>
    <row r="46" spans="1:24" ht="15" customHeight="1">
      <c r="A46" s="336" t="s">
        <v>832</v>
      </c>
      <c r="B46" s="336"/>
      <c r="C46" s="336"/>
      <c r="D46" s="336"/>
      <c r="E46" s="336"/>
      <c r="F46" s="336"/>
      <c r="G46" s="336" t="s">
        <v>36</v>
      </c>
      <c r="H46" s="336"/>
      <c r="I46" s="336"/>
      <c r="J46" s="336"/>
      <c r="K46" s="336"/>
      <c r="L46" s="336"/>
      <c r="M46" s="344" t="s">
        <v>647</v>
      </c>
      <c r="N46" s="344"/>
      <c r="O46" s="344"/>
      <c r="P46" s="344"/>
      <c r="Q46" s="344"/>
      <c r="R46" s="344"/>
      <c r="S46" s="344" t="s">
        <v>236</v>
      </c>
      <c r="T46" s="344"/>
      <c r="U46" s="344"/>
      <c r="V46" s="344"/>
      <c r="W46" s="344"/>
      <c r="X46" s="344"/>
    </row>
    <row r="47" spans="1:24" ht="30" customHeight="1">
      <c r="A47" s="323" t="s">
        <v>857</v>
      </c>
      <c r="B47" s="323"/>
      <c r="C47" s="323"/>
      <c r="D47" s="323"/>
      <c r="E47" s="323"/>
      <c r="F47" s="323"/>
      <c r="G47" s="323"/>
      <c r="H47" s="323"/>
      <c r="I47" s="323"/>
      <c r="J47" s="323"/>
      <c r="K47" s="323"/>
      <c r="L47" s="323"/>
      <c r="M47" s="321"/>
      <c r="N47" s="321"/>
      <c r="O47" s="321"/>
      <c r="P47" s="321"/>
      <c r="Q47" s="321"/>
      <c r="R47" s="321"/>
      <c r="S47" s="340"/>
      <c r="T47" s="340"/>
      <c r="U47" s="340"/>
      <c r="V47" s="340"/>
      <c r="W47" s="340"/>
      <c r="X47" s="340"/>
    </row>
    <row r="48" spans="1:24" ht="30" customHeight="1">
      <c r="A48" s="255" t="s">
        <v>808</v>
      </c>
      <c r="B48" s="255"/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319"/>
      <c r="N48" s="319"/>
      <c r="O48" s="319"/>
      <c r="P48" s="319"/>
      <c r="Q48" s="319"/>
      <c r="R48" s="319"/>
      <c r="S48" s="150"/>
      <c r="T48" s="150"/>
      <c r="U48" s="150"/>
      <c r="V48" s="150"/>
      <c r="W48" s="150"/>
      <c r="X48" s="150"/>
    </row>
    <row r="49" spans="1:24" ht="30" customHeight="1">
      <c r="A49" s="255" t="s">
        <v>382</v>
      </c>
      <c r="B49" s="255"/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319"/>
      <c r="N49" s="319"/>
      <c r="O49" s="319"/>
      <c r="P49" s="319"/>
      <c r="Q49" s="319"/>
      <c r="R49" s="319"/>
      <c r="S49" s="150"/>
      <c r="T49" s="150"/>
      <c r="U49" s="150"/>
      <c r="V49" s="150"/>
      <c r="W49" s="150"/>
      <c r="X49" s="150"/>
    </row>
    <row r="50" spans="1:24" ht="30" customHeight="1">
      <c r="A50" s="255" t="s">
        <v>330</v>
      </c>
      <c r="B50" s="255"/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319"/>
      <c r="N50" s="319"/>
      <c r="O50" s="319"/>
      <c r="P50" s="319"/>
      <c r="Q50" s="319"/>
      <c r="R50" s="319"/>
      <c r="S50" s="150"/>
      <c r="T50" s="150"/>
      <c r="U50" s="150"/>
      <c r="V50" s="150"/>
      <c r="W50" s="150"/>
      <c r="X50" s="150"/>
    </row>
    <row r="51" spans="1:24" ht="30" customHeight="1">
      <c r="A51" s="257" t="s">
        <v>157</v>
      </c>
      <c r="B51" s="257"/>
      <c r="C51" s="257"/>
      <c r="D51" s="257"/>
      <c r="E51" s="257"/>
      <c r="F51" s="257"/>
      <c r="G51" s="257">
        <f>SUM(G47:L50)</f>
        <v>0</v>
      </c>
      <c r="H51" s="257"/>
      <c r="I51" s="257"/>
      <c r="J51" s="257"/>
      <c r="K51" s="257"/>
      <c r="L51" s="257"/>
      <c r="M51" s="257">
        <f>SUM(M47:R50)</f>
        <v>0</v>
      </c>
      <c r="N51" s="257"/>
      <c r="O51" s="257"/>
      <c r="P51" s="257"/>
      <c r="Q51" s="257"/>
      <c r="R51" s="257"/>
      <c r="S51" s="257">
        <f>SUM(S47:X50)</f>
        <v>0</v>
      </c>
      <c r="T51" s="257"/>
      <c r="U51" s="257"/>
      <c r="V51" s="257"/>
      <c r="W51" s="257"/>
      <c r="X51" s="257"/>
    </row>
    <row r="52" spans="1:24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</row>
    <row r="53" spans="1:24" ht="30" customHeight="1">
      <c r="A53" s="190" t="s">
        <v>1047</v>
      </c>
      <c r="B53" s="190"/>
      <c r="C53" s="190"/>
      <c r="D53" s="190"/>
      <c r="E53" s="190"/>
      <c r="F53" s="190"/>
      <c r="G53" s="190"/>
      <c r="H53" s="190"/>
      <c r="I53" s="190"/>
      <c r="J53" s="190"/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0"/>
    </row>
    <row r="54" spans="1:24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spans="1:24" ht="39.950000000000003" customHeight="1">
      <c r="A55" s="252" t="s">
        <v>1096</v>
      </c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 t="s">
        <v>319</v>
      </c>
      <c r="N55" s="252"/>
      <c r="O55" s="252"/>
      <c r="P55" s="252"/>
      <c r="Q55" s="252"/>
      <c r="R55" s="252"/>
      <c r="S55" s="252" t="s">
        <v>339</v>
      </c>
      <c r="T55" s="252"/>
      <c r="U55" s="252"/>
      <c r="V55" s="252"/>
      <c r="W55" s="252"/>
      <c r="X55" s="252"/>
    </row>
    <row r="56" spans="1:24" ht="15" customHeight="1">
      <c r="A56" s="323" t="s">
        <v>313</v>
      </c>
      <c r="B56" s="323"/>
      <c r="C56" s="323"/>
      <c r="D56" s="323"/>
      <c r="E56" s="323"/>
      <c r="F56" s="323"/>
      <c r="G56" s="323"/>
      <c r="H56" s="323"/>
      <c r="I56" s="323"/>
      <c r="J56" s="323"/>
      <c r="K56" s="323"/>
      <c r="L56" s="323"/>
      <c r="M56" s="321"/>
      <c r="N56" s="321"/>
      <c r="O56" s="321"/>
      <c r="P56" s="321"/>
      <c r="Q56" s="321"/>
      <c r="R56" s="321"/>
      <c r="S56" s="321"/>
      <c r="T56" s="321"/>
      <c r="U56" s="321"/>
      <c r="V56" s="321"/>
      <c r="W56" s="321"/>
      <c r="X56" s="321"/>
    </row>
    <row r="57" spans="1:24">
      <c r="A57" s="255"/>
      <c r="B57" s="255"/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319"/>
      <c r="N57" s="319"/>
      <c r="O57" s="319"/>
      <c r="P57" s="319"/>
      <c r="Q57" s="319"/>
      <c r="R57" s="319"/>
      <c r="S57" s="319"/>
      <c r="T57" s="319"/>
      <c r="U57" s="319"/>
      <c r="V57" s="319"/>
      <c r="W57" s="319"/>
      <c r="X57" s="319"/>
    </row>
    <row r="58" spans="1:24">
      <c r="A58" s="255"/>
      <c r="B58" s="255"/>
      <c r="C58" s="255"/>
      <c r="D58" s="255"/>
      <c r="E58" s="255"/>
      <c r="F58" s="255"/>
      <c r="G58" s="255"/>
      <c r="H58" s="255"/>
      <c r="I58" s="255"/>
      <c r="J58" s="255"/>
      <c r="K58" s="255"/>
      <c r="L58" s="255"/>
      <c r="M58" s="319"/>
      <c r="N58" s="319"/>
      <c r="O58" s="319"/>
      <c r="P58" s="319"/>
      <c r="Q58" s="319"/>
      <c r="R58" s="319"/>
      <c r="S58" s="319"/>
      <c r="T58" s="319"/>
      <c r="U58" s="319"/>
      <c r="V58" s="319"/>
      <c r="W58" s="319"/>
      <c r="X58" s="319"/>
    </row>
    <row r="59" spans="1:24" ht="15" customHeight="1">
      <c r="A59" s="255" t="s">
        <v>84</v>
      </c>
      <c r="B59" s="255"/>
      <c r="C59" s="255"/>
      <c r="D59" s="255"/>
      <c r="E59" s="255"/>
      <c r="F59" s="255"/>
      <c r="G59" s="255"/>
      <c r="H59" s="255"/>
      <c r="I59" s="255"/>
      <c r="J59" s="255"/>
      <c r="K59" s="255"/>
      <c r="L59" s="255"/>
      <c r="M59" s="318">
        <v>1607</v>
      </c>
      <c r="N59" s="318"/>
      <c r="O59" s="318"/>
      <c r="P59" s="318"/>
      <c r="Q59" s="318"/>
      <c r="R59" s="318"/>
      <c r="S59" s="318">
        <v>17480</v>
      </c>
      <c r="T59" s="318"/>
      <c r="U59" s="318"/>
      <c r="V59" s="318"/>
      <c r="W59" s="318"/>
      <c r="X59" s="318"/>
    </row>
    <row r="60" spans="1:24">
      <c r="A60" s="255" t="s">
        <v>1253</v>
      </c>
      <c r="B60" s="255"/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318">
        <v>0</v>
      </c>
      <c r="N60" s="318"/>
      <c r="O60" s="318"/>
      <c r="P60" s="318"/>
      <c r="Q60" s="318"/>
      <c r="R60" s="318"/>
      <c r="S60" s="318">
        <v>0</v>
      </c>
      <c r="T60" s="318"/>
      <c r="U60" s="318"/>
      <c r="V60" s="318"/>
      <c r="W60" s="318"/>
      <c r="X60" s="318"/>
    </row>
    <row r="61" spans="1:24">
      <c r="A61" s="255" t="s">
        <v>1255</v>
      </c>
      <c r="B61" s="255"/>
      <c r="C61" s="255"/>
      <c r="D61" s="255"/>
      <c r="E61" s="255"/>
      <c r="F61" s="255"/>
      <c r="G61" s="255"/>
      <c r="H61" s="255"/>
      <c r="I61" s="255"/>
      <c r="J61" s="255"/>
      <c r="K61" s="255"/>
      <c r="L61" s="255"/>
      <c r="M61" s="318">
        <v>1607</v>
      </c>
      <c r="N61" s="318"/>
      <c r="O61" s="318"/>
      <c r="P61" s="318"/>
      <c r="Q61" s="318"/>
      <c r="R61" s="318"/>
      <c r="S61" s="318">
        <v>17480</v>
      </c>
      <c r="T61" s="318"/>
      <c r="U61" s="318"/>
      <c r="V61" s="318"/>
      <c r="W61" s="318"/>
      <c r="X61" s="318"/>
    </row>
    <row r="62" spans="1:24" ht="15" customHeight="1">
      <c r="A62" s="255" t="s">
        <v>400</v>
      </c>
      <c r="B62" s="255"/>
      <c r="C62" s="255"/>
      <c r="D62" s="255"/>
      <c r="E62" s="255"/>
      <c r="F62" s="255"/>
      <c r="G62" s="255"/>
      <c r="H62" s="255"/>
      <c r="I62" s="255"/>
      <c r="J62" s="255"/>
      <c r="K62" s="255"/>
      <c r="L62" s="255"/>
      <c r="M62" s="319"/>
      <c r="N62" s="319"/>
      <c r="O62" s="319"/>
      <c r="P62" s="319"/>
      <c r="Q62" s="319"/>
      <c r="R62" s="319"/>
      <c r="S62" s="319"/>
      <c r="T62" s="319"/>
      <c r="U62" s="319"/>
      <c r="V62" s="319"/>
      <c r="W62" s="319"/>
      <c r="X62" s="319"/>
    </row>
    <row r="63" spans="1:24">
      <c r="A63" s="255"/>
      <c r="B63" s="255"/>
      <c r="C63" s="255"/>
      <c r="D63" s="255"/>
      <c r="E63" s="255"/>
      <c r="F63" s="255"/>
      <c r="G63" s="255"/>
      <c r="H63" s="255"/>
      <c r="I63" s="255"/>
      <c r="J63" s="255"/>
      <c r="K63" s="255"/>
      <c r="L63" s="255"/>
      <c r="M63" s="319"/>
      <c r="N63" s="319"/>
      <c r="O63" s="319"/>
      <c r="P63" s="319"/>
      <c r="Q63" s="319"/>
      <c r="R63" s="319"/>
      <c r="S63" s="319"/>
      <c r="T63" s="319"/>
      <c r="U63" s="319"/>
      <c r="V63" s="319"/>
      <c r="W63" s="319"/>
      <c r="X63" s="319"/>
    </row>
    <row r="64" spans="1:24">
      <c r="A64" s="255"/>
      <c r="B64" s="255"/>
      <c r="C64" s="255"/>
      <c r="D64" s="255"/>
      <c r="E64" s="255"/>
      <c r="F64" s="255"/>
      <c r="G64" s="255"/>
      <c r="H64" s="255"/>
      <c r="I64" s="255"/>
      <c r="J64" s="255"/>
      <c r="K64" s="255"/>
      <c r="L64" s="255"/>
      <c r="M64" s="319"/>
      <c r="N64" s="319"/>
      <c r="O64" s="319"/>
      <c r="P64" s="319"/>
      <c r="Q64" s="319"/>
      <c r="R64" s="319"/>
      <c r="S64" s="319"/>
      <c r="T64" s="319"/>
      <c r="U64" s="319"/>
      <c r="V64" s="319"/>
      <c r="W64" s="319"/>
      <c r="X64" s="319"/>
    </row>
    <row r="65" spans="1:24" ht="15" customHeight="1">
      <c r="A65" s="255" t="s">
        <v>1252</v>
      </c>
      <c r="B65" s="255"/>
      <c r="C65" s="255"/>
      <c r="D65" s="255"/>
      <c r="E65" s="255"/>
      <c r="F65" s="255"/>
      <c r="G65" s="255"/>
      <c r="H65" s="255"/>
      <c r="I65" s="255"/>
      <c r="J65" s="255"/>
      <c r="K65" s="255"/>
      <c r="L65" s="255"/>
      <c r="M65" s="318">
        <v>0</v>
      </c>
      <c r="N65" s="318"/>
      <c r="O65" s="318"/>
      <c r="P65" s="318"/>
      <c r="Q65" s="318"/>
      <c r="R65" s="318"/>
      <c r="S65" s="318">
        <v>0</v>
      </c>
      <c r="T65" s="318"/>
      <c r="U65" s="318"/>
      <c r="V65" s="318"/>
      <c r="W65" s="318"/>
      <c r="X65" s="318"/>
    </row>
    <row r="66" spans="1:24">
      <c r="A66" s="255"/>
      <c r="B66" s="255"/>
      <c r="C66" s="255"/>
      <c r="D66" s="255"/>
      <c r="E66" s="255"/>
      <c r="F66" s="255"/>
      <c r="G66" s="255"/>
      <c r="H66" s="255"/>
      <c r="I66" s="255"/>
      <c r="J66" s="255"/>
      <c r="K66" s="255"/>
      <c r="L66" s="255"/>
      <c r="M66" s="319"/>
      <c r="N66" s="319"/>
      <c r="O66" s="319"/>
      <c r="P66" s="319"/>
      <c r="Q66" s="319"/>
      <c r="R66" s="319"/>
      <c r="S66" s="319"/>
      <c r="T66" s="319"/>
      <c r="U66" s="319"/>
      <c r="V66" s="319"/>
      <c r="W66" s="319"/>
      <c r="X66" s="319"/>
    </row>
    <row r="67" spans="1:24">
      <c r="A67" s="255" t="s">
        <v>1254</v>
      </c>
      <c r="B67" s="255"/>
      <c r="C67" s="255"/>
      <c r="D67" s="255"/>
      <c r="E67" s="255"/>
      <c r="F67" s="255"/>
      <c r="G67" s="255"/>
      <c r="H67" s="255"/>
      <c r="I67" s="255"/>
      <c r="J67" s="255"/>
      <c r="K67" s="255"/>
      <c r="L67" s="255"/>
      <c r="M67" s="320">
        <f>SUM(M59+M65)</f>
        <v>1607</v>
      </c>
      <c r="N67" s="320"/>
      <c r="O67" s="320"/>
      <c r="P67" s="320"/>
      <c r="Q67" s="320"/>
      <c r="R67" s="320"/>
      <c r="S67" s="320">
        <f>SUM(S60:X65)</f>
        <v>17480</v>
      </c>
      <c r="T67" s="320"/>
      <c r="U67" s="320"/>
      <c r="V67" s="320"/>
      <c r="W67" s="320"/>
      <c r="X67" s="320"/>
    </row>
    <row r="68" spans="1:24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</row>
    <row r="69" spans="1:24" s="11" customFormat="1"/>
    <row r="70" spans="1:24" s="11" customFormat="1">
      <c r="V70" s="100" t="s">
        <v>1291</v>
      </c>
    </row>
  </sheetData>
  <mergeCells count="170">
    <mergeCell ref="A53:X53"/>
    <mergeCell ref="A50:F50"/>
    <mergeCell ref="S51:X51"/>
    <mergeCell ref="I26:L26"/>
    <mergeCell ref="M26:P26"/>
    <mergeCell ref="I8:P8"/>
    <mergeCell ref="I9:P9"/>
    <mergeCell ref="S49:X49"/>
    <mergeCell ref="Q39:X39"/>
    <mergeCell ref="A38:P38"/>
    <mergeCell ref="A39:P39"/>
    <mergeCell ref="S45:X45"/>
    <mergeCell ref="S46:X46"/>
    <mergeCell ref="U27:X27"/>
    <mergeCell ref="U28:X28"/>
    <mergeCell ref="M49:R49"/>
    <mergeCell ref="G46:L46"/>
    <mergeCell ref="M45:R45"/>
    <mergeCell ref="M46:R46"/>
    <mergeCell ref="M47:R47"/>
    <mergeCell ref="M48:R48"/>
    <mergeCell ref="A46:F46"/>
    <mergeCell ref="M51:R51"/>
    <mergeCell ref="G45:L45"/>
    <mergeCell ref="A45:F45"/>
    <mergeCell ref="A37:P37"/>
    <mergeCell ref="I29:L29"/>
    <mergeCell ref="E29:H29"/>
    <mergeCell ref="A29:D29"/>
    <mergeCell ref="A43:X43"/>
    <mergeCell ref="Q37:X37"/>
    <mergeCell ref="Q38:X38"/>
    <mergeCell ref="U29:X29"/>
    <mergeCell ref="M29:P29"/>
    <mergeCell ref="U34:X34"/>
    <mergeCell ref="A35:X35"/>
    <mergeCell ref="Q29:T29"/>
    <mergeCell ref="Q34:T34"/>
    <mergeCell ref="M50:R50"/>
    <mergeCell ref="S50:X50"/>
    <mergeCell ref="A47:F47"/>
    <mergeCell ref="A48:F48"/>
    <mergeCell ref="A49:F49"/>
    <mergeCell ref="S48:X48"/>
    <mergeCell ref="S47:X47"/>
    <mergeCell ref="A2:X2"/>
    <mergeCell ref="A11:X11"/>
    <mergeCell ref="A23:X23"/>
    <mergeCell ref="G49:L49"/>
    <mergeCell ref="G50:L50"/>
    <mergeCell ref="G47:L47"/>
    <mergeCell ref="G48:L48"/>
    <mergeCell ref="Q4:X4"/>
    <mergeCell ref="Q5:X5"/>
    <mergeCell ref="U26:X26"/>
    <mergeCell ref="A66:L66"/>
    <mergeCell ref="A67:L67"/>
    <mergeCell ref="A64:L64"/>
    <mergeCell ref="A61:L61"/>
    <mergeCell ref="G51:L51"/>
    <mergeCell ref="A51:F51"/>
    <mergeCell ref="A21:H21"/>
    <mergeCell ref="I28:L28"/>
    <mergeCell ref="Q6:X6"/>
    <mergeCell ref="Q7:X7"/>
    <mergeCell ref="Q8:X8"/>
    <mergeCell ref="Q9:X9"/>
    <mergeCell ref="U14:X14"/>
    <mergeCell ref="Q14:T14"/>
    <mergeCell ref="A65:L65"/>
    <mergeCell ref="A62:L62"/>
    <mergeCell ref="A63:L63"/>
    <mergeCell ref="E28:H28"/>
    <mergeCell ref="A28:D28"/>
    <mergeCell ref="I27:L27"/>
    <mergeCell ref="E27:H27"/>
    <mergeCell ref="I21:L21"/>
    <mergeCell ref="M27:P27"/>
    <mergeCell ref="M28:P28"/>
    <mergeCell ref="E26:H26"/>
    <mergeCell ref="A26:D26"/>
    <mergeCell ref="E25:H25"/>
    <mergeCell ref="A25:D25"/>
    <mergeCell ref="A27:D27"/>
    <mergeCell ref="Q26:T26"/>
    <mergeCell ref="Q27:T27"/>
    <mergeCell ref="Q28:T28"/>
    <mergeCell ref="I4:P4"/>
    <mergeCell ref="A4:H4"/>
    <mergeCell ref="A5:H5"/>
    <mergeCell ref="A6:H6"/>
    <mergeCell ref="A7:H7"/>
    <mergeCell ref="A8:H8"/>
    <mergeCell ref="I5:P5"/>
    <mergeCell ref="A13:H14"/>
    <mergeCell ref="A9:H9"/>
    <mergeCell ref="I6:P6"/>
    <mergeCell ref="I7:P7"/>
    <mergeCell ref="A55:L55"/>
    <mergeCell ref="A56:L56"/>
    <mergeCell ref="A57:L57"/>
    <mergeCell ref="U18:X18"/>
    <mergeCell ref="M19:P19"/>
    <mergeCell ref="U19:X19"/>
    <mergeCell ref="I13:X13"/>
    <mergeCell ref="I14:L14"/>
    <mergeCell ref="M21:P21"/>
    <mergeCell ref="Q16:T16"/>
    <mergeCell ref="Q17:T17"/>
    <mergeCell ref="U25:X25"/>
    <mergeCell ref="Q25:T25"/>
    <mergeCell ref="M25:P25"/>
    <mergeCell ref="I25:L25"/>
    <mergeCell ref="U15:X15"/>
    <mergeCell ref="Q15:T15"/>
    <mergeCell ref="M15:P15"/>
    <mergeCell ref="M16:P16"/>
    <mergeCell ref="U16:X16"/>
    <mergeCell ref="U17:X17"/>
    <mergeCell ref="M14:P14"/>
    <mergeCell ref="I15:L15"/>
    <mergeCell ref="I16:L16"/>
    <mergeCell ref="Q20:T20"/>
    <mergeCell ref="Q21:T21"/>
    <mergeCell ref="M17:P17"/>
    <mergeCell ref="M18:P18"/>
    <mergeCell ref="Q18:T18"/>
    <mergeCell ref="Q19:T19"/>
    <mergeCell ref="M20:P20"/>
    <mergeCell ref="U20:X20"/>
    <mergeCell ref="U21:X21"/>
    <mergeCell ref="I18:L18"/>
    <mergeCell ref="A15:H15"/>
    <mergeCell ref="A16:H16"/>
    <mergeCell ref="A17:H17"/>
    <mergeCell ref="A18:H18"/>
    <mergeCell ref="A19:H19"/>
    <mergeCell ref="A20:H20"/>
    <mergeCell ref="I19:L19"/>
    <mergeCell ref="I20:L20"/>
    <mergeCell ref="I17:L17"/>
    <mergeCell ref="S64:X64"/>
    <mergeCell ref="S65:X65"/>
    <mergeCell ref="S66:X66"/>
    <mergeCell ref="S67:X67"/>
    <mergeCell ref="M55:R55"/>
    <mergeCell ref="M56:R56"/>
    <mergeCell ref="M57:R57"/>
    <mergeCell ref="M58:R58"/>
    <mergeCell ref="M59:R59"/>
    <mergeCell ref="M60:R60"/>
    <mergeCell ref="S58:X58"/>
    <mergeCell ref="S59:X59"/>
    <mergeCell ref="S60:X60"/>
    <mergeCell ref="S61:X61"/>
    <mergeCell ref="S62:X62"/>
    <mergeCell ref="S63:X63"/>
    <mergeCell ref="M67:R67"/>
    <mergeCell ref="S55:X55"/>
    <mergeCell ref="S56:X56"/>
    <mergeCell ref="S57:X57"/>
    <mergeCell ref="A58:L58"/>
    <mergeCell ref="A59:L59"/>
    <mergeCell ref="A60:L60"/>
    <mergeCell ref="M61:R61"/>
    <mergeCell ref="M62:R62"/>
    <mergeCell ref="M63:R63"/>
    <mergeCell ref="M64:R64"/>
    <mergeCell ref="M65:R65"/>
    <mergeCell ref="M66:R6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X88"/>
  <sheetViews>
    <sheetView topLeftCell="A76" workbookViewId="0">
      <selection activeCell="O86" sqref="O86"/>
    </sheetView>
  </sheetViews>
  <sheetFormatPr defaultRowHeight="15"/>
  <cols>
    <col min="1" max="14" width="6" customWidth="1"/>
  </cols>
  <sheetData>
    <row r="1" spans="1:24"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4" s="11" customFormat="1" ht="15.75" customHeight="1">
      <c r="A2" s="377" t="s">
        <v>285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</row>
    <row r="3" spans="1:24" s="11" customFormat="1"/>
    <row r="4" spans="1:24" ht="15.75" customHeight="1">
      <c r="A4" s="350" t="s">
        <v>862</v>
      </c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350"/>
      <c r="N4" s="350"/>
      <c r="O4" s="44"/>
      <c r="P4" s="44"/>
      <c r="Q4" s="44"/>
      <c r="R4" s="44"/>
      <c r="S4" s="44"/>
      <c r="T4" s="44"/>
      <c r="U4" s="44"/>
      <c r="V4" s="44"/>
      <c r="W4" s="44"/>
      <c r="X4" s="44"/>
    </row>
    <row r="6" spans="1:24" ht="39.950000000000003" customHeight="1">
      <c r="A6" s="252" t="s">
        <v>288</v>
      </c>
      <c r="B6" s="252"/>
      <c r="C6" s="252"/>
      <c r="D6" s="252"/>
      <c r="E6" s="252"/>
      <c r="F6" s="252"/>
      <c r="G6" s="252"/>
      <c r="H6" s="252"/>
      <c r="I6" s="252" t="s">
        <v>319</v>
      </c>
      <c r="J6" s="252"/>
      <c r="K6" s="252"/>
      <c r="L6" s="252" t="s">
        <v>339</v>
      </c>
      <c r="M6" s="252"/>
      <c r="N6" s="252"/>
    </row>
    <row r="7" spans="1:24">
      <c r="A7" s="354" t="s">
        <v>468</v>
      </c>
      <c r="B7" s="354"/>
      <c r="C7" s="354"/>
      <c r="D7" s="354"/>
      <c r="E7" s="354"/>
      <c r="F7" s="354"/>
      <c r="G7" s="354"/>
      <c r="H7" s="354"/>
      <c r="I7" s="338">
        <v>6640</v>
      </c>
      <c r="J7" s="338"/>
      <c r="K7" s="338"/>
      <c r="L7" s="338">
        <v>6640</v>
      </c>
      <c r="M7" s="338"/>
      <c r="N7" s="338"/>
    </row>
    <row r="8" spans="1:24">
      <c r="A8" s="351" t="s">
        <v>260</v>
      </c>
      <c r="B8" s="351"/>
      <c r="C8" s="351"/>
      <c r="D8" s="351"/>
      <c r="E8" s="351"/>
      <c r="F8" s="351"/>
      <c r="G8" s="351"/>
      <c r="H8" s="351"/>
      <c r="I8" s="238"/>
      <c r="J8" s="238"/>
      <c r="K8" s="238"/>
      <c r="L8" s="238"/>
      <c r="M8" s="238"/>
      <c r="N8" s="238"/>
    </row>
    <row r="9" spans="1:24">
      <c r="A9" s="351" t="s">
        <v>529</v>
      </c>
      <c r="B9" s="351"/>
      <c r="C9" s="351"/>
      <c r="D9" s="351"/>
      <c r="E9" s="351"/>
      <c r="F9" s="351"/>
      <c r="G9" s="351"/>
      <c r="H9" s="351"/>
      <c r="I9" s="238"/>
      <c r="J9" s="238"/>
      <c r="K9" s="238"/>
      <c r="L9" s="238"/>
      <c r="M9" s="238"/>
      <c r="N9" s="238"/>
    </row>
    <row r="10" spans="1:24" ht="24.95" customHeight="1">
      <c r="A10" s="351" t="s">
        <v>732</v>
      </c>
      <c r="B10" s="351"/>
      <c r="C10" s="351"/>
      <c r="D10" s="351"/>
      <c r="E10" s="351"/>
      <c r="F10" s="351"/>
      <c r="G10" s="351"/>
      <c r="H10" s="351"/>
      <c r="I10" s="238"/>
      <c r="J10" s="238"/>
      <c r="K10" s="238"/>
      <c r="L10" s="238"/>
      <c r="M10" s="238"/>
      <c r="N10" s="238"/>
    </row>
    <row r="11" spans="1:24">
      <c r="A11" s="351" t="s">
        <v>41</v>
      </c>
      <c r="B11" s="351"/>
      <c r="C11" s="351"/>
      <c r="D11" s="351"/>
      <c r="E11" s="351"/>
      <c r="F11" s="351"/>
      <c r="G11" s="351"/>
      <c r="H11" s="351"/>
      <c r="I11" s="238"/>
      <c r="J11" s="238"/>
      <c r="K11" s="238"/>
      <c r="L11" s="238"/>
      <c r="M11" s="238"/>
      <c r="N11" s="238"/>
    </row>
    <row r="12" spans="1:24">
      <c r="A12" s="351" t="s">
        <v>41</v>
      </c>
      <c r="B12" s="351"/>
      <c r="C12" s="351"/>
      <c r="D12" s="351"/>
      <c r="E12" s="351"/>
      <c r="F12" s="351"/>
      <c r="G12" s="351"/>
      <c r="H12" s="351"/>
      <c r="I12" s="238"/>
      <c r="J12" s="238"/>
      <c r="K12" s="238"/>
      <c r="L12" s="238"/>
      <c r="M12" s="238"/>
      <c r="N12" s="238"/>
    </row>
    <row r="13" spans="1:24">
      <c r="A13" s="351" t="s">
        <v>565</v>
      </c>
      <c r="B13" s="351"/>
      <c r="C13" s="351"/>
      <c r="D13" s="351"/>
      <c r="E13" s="351"/>
      <c r="F13" s="351"/>
      <c r="G13" s="351"/>
      <c r="H13" s="351"/>
      <c r="I13" s="238"/>
      <c r="J13" s="238"/>
      <c r="K13" s="238"/>
      <c r="L13" s="238"/>
      <c r="M13" s="238"/>
      <c r="N13" s="238"/>
    </row>
    <row r="14" spans="1:24">
      <c r="A14" s="351" t="s">
        <v>399</v>
      </c>
      <c r="B14" s="351"/>
      <c r="C14" s="351"/>
      <c r="D14" s="351"/>
      <c r="E14" s="351"/>
      <c r="F14" s="351"/>
      <c r="G14" s="351"/>
      <c r="H14" s="351"/>
      <c r="I14" s="238">
        <v>6640</v>
      </c>
      <c r="J14" s="238"/>
      <c r="K14" s="238"/>
      <c r="L14" s="238">
        <v>6640</v>
      </c>
      <c r="M14" s="238"/>
      <c r="N14" s="238"/>
    </row>
    <row r="15" spans="1:24">
      <c r="A15" s="351" t="s">
        <v>366</v>
      </c>
      <c r="B15" s="351"/>
      <c r="C15" s="351"/>
      <c r="D15" s="351"/>
      <c r="E15" s="351"/>
      <c r="F15" s="351"/>
      <c r="G15" s="351"/>
      <c r="H15" s="351"/>
      <c r="I15" s="238">
        <v>6640</v>
      </c>
      <c r="J15" s="238"/>
      <c r="K15" s="238"/>
      <c r="L15" s="238">
        <v>6640</v>
      </c>
      <c r="M15" s="238"/>
      <c r="N15" s="238"/>
    </row>
    <row r="16" spans="1:24" ht="39.950000000000003" customHeight="1">
      <c r="A16" s="351" t="s">
        <v>52</v>
      </c>
      <c r="B16" s="351"/>
      <c r="C16" s="351"/>
      <c r="D16" s="351"/>
      <c r="E16" s="351"/>
      <c r="F16" s="351"/>
      <c r="G16" s="351"/>
      <c r="H16" s="351"/>
      <c r="I16" s="238"/>
      <c r="J16" s="238"/>
      <c r="K16" s="238"/>
      <c r="L16" s="238"/>
      <c r="M16" s="238"/>
      <c r="N16" s="238"/>
    </row>
    <row r="18" spans="1:14" ht="15.75">
      <c r="A18" s="350" t="s">
        <v>528</v>
      </c>
      <c r="B18" s="350"/>
      <c r="C18" s="350"/>
      <c r="D18" s="350"/>
      <c r="E18" s="350"/>
      <c r="F18" s="350"/>
      <c r="G18" s="350"/>
      <c r="H18" s="350"/>
      <c r="I18" s="350"/>
      <c r="J18" s="350"/>
      <c r="K18" s="350"/>
      <c r="L18" s="350"/>
      <c r="M18" s="350"/>
      <c r="N18" s="350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t="15.75" customHeight="1">
      <c r="A20" s="252" t="s">
        <v>288</v>
      </c>
      <c r="B20" s="252"/>
      <c r="C20" s="252"/>
      <c r="D20" s="252"/>
      <c r="E20" s="252"/>
      <c r="F20" s="252"/>
      <c r="G20" s="252"/>
      <c r="H20" s="252"/>
      <c r="I20" s="356" t="s">
        <v>339</v>
      </c>
      <c r="J20" s="357"/>
      <c r="K20" s="357"/>
      <c r="L20" s="357"/>
      <c r="M20" s="357"/>
      <c r="N20" s="358"/>
    </row>
    <row r="21" spans="1:14">
      <c r="A21" s="375" t="s">
        <v>158</v>
      </c>
      <c r="B21" s="375"/>
      <c r="C21" s="375"/>
      <c r="D21" s="375"/>
      <c r="E21" s="375"/>
      <c r="F21" s="375"/>
      <c r="G21" s="375"/>
      <c r="H21" s="375"/>
      <c r="I21" s="359">
        <v>125252</v>
      </c>
      <c r="J21" s="360"/>
      <c r="K21" s="360"/>
      <c r="L21" s="360"/>
      <c r="M21" s="360"/>
      <c r="N21" s="361"/>
    </row>
    <row r="22" spans="1:14">
      <c r="A22" s="374" t="s">
        <v>629</v>
      </c>
      <c r="B22" s="374"/>
      <c r="C22" s="374"/>
      <c r="D22" s="374"/>
      <c r="E22" s="374"/>
      <c r="F22" s="374"/>
      <c r="G22" s="374"/>
      <c r="H22" s="374"/>
      <c r="I22" s="362" t="s">
        <v>319</v>
      </c>
      <c r="J22" s="363"/>
      <c r="K22" s="363"/>
      <c r="L22" s="363"/>
      <c r="M22" s="363"/>
      <c r="N22" s="364"/>
    </row>
    <row r="23" spans="1:14">
      <c r="A23" s="376" t="s">
        <v>67</v>
      </c>
      <c r="B23" s="376"/>
      <c r="C23" s="376"/>
      <c r="D23" s="376"/>
      <c r="E23" s="376"/>
      <c r="F23" s="376"/>
      <c r="G23" s="376"/>
      <c r="H23" s="376"/>
      <c r="I23" s="365"/>
      <c r="J23" s="366"/>
      <c r="K23" s="366"/>
      <c r="L23" s="366"/>
      <c r="M23" s="366"/>
      <c r="N23" s="367"/>
    </row>
    <row r="24" spans="1:14">
      <c r="A24" s="351" t="s">
        <v>523</v>
      </c>
      <c r="B24" s="351"/>
      <c r="C24" s="351"/>
      <c r="D24" s="351"/>
      <c r="E24" s="351"/>
      <c r="F24" s="351"/>
      <c r="G24" s="351"/>
      <c r="H24" s="351"/>
      <c r="I24" s="368"/>
      <c r="J24" s="369"/>
      <c r="K24" s="369"/>
      <c r="L24" s="369"/>
      <c r="M24" s="369"/>
      <c r="N24" s="370"/>
    </row>
    <row r="25" spans="1:14">
      <c r="A25" s="351" t="s">
        <v>942</v>
      </c>
      <c r="B25" s="351"/>
      <c r="C25" s="351"/>
      <c r="D25" s="351"/>
      <c r="E25" s="351"/>
      <c r="F25" s="351"/>
      <c r="G25" s="351"/>
      <c r="H25" s="351"/>
      <c r="I25" s="368"/>
      <c r="J25" s="369"/>
      <c r="K25" s="369"/>
      <c r="L25" s="369"/>
      <c r="M25" s="369"/>
      <c r="N25" s="370"/>
    </row>
    <row r="26" spans="1:14">
      <c r="A26" s="351" t="s">
        <v>497</v>
      </c>
      <c r="B26" s="351"/>
      <c r="C26" s="351"/>
      <c r="D26" s="351"/>
      <c r="E26" s="351"/>
      <c r="F26" s="351"/>
      <c r="G26" s="351"/>
      <c r="H26" s="351"/>
      <c r="I26" s="368"/>
      <c r="J26" s="369"/>
      <c r="K26" s="369"/>
      <c r="L26" s="369"/>
      <c r="M26" s="369"/>
      <c r="N26" s="370"/>
    </row>
    <row r="27" spans="1:14">
      <c r="A27" s="351" t="s">
        <v>981</v>
      </c>
      <c r="B27" s="351"/>
      <c r="C27" s="351"/>
      <c r="D27" s="351"/>
      <c r="E27" s="351"/>
      <c r="F27" s="351"/>
      <c r="G27" s="351"/>
      <c r="H27" s="351"/>
      <c r="I27" s="368"/>
      <c r="J27" s="369"/>
      <c r="K27" s="369"/>
      <c r="L27" s="369"/>
      <c r="M27" s="369"/>
      <c r="N27" s="370"/>
    </row>
    <row r="28" spans="1:14">
      <c r="A28" s="351" t="s">
        <v>34</v>
      </c>
      <c r="B28" s="351"/>
      <c r="C28" s="351"/>
      <c r="D28" s="351"/>
      <c r="E28" s="351"/>
      <c r="F28" s="351"/>
      <c r="G28" s="351"/>
      <c r="H28" s="351"/>
      <c r="I28" s="368">
        <v>125252</v>
      </c>
      <c r="J28" s="369"/>
      <c r="K28" s="369"/>
      <c r="L28" s="369"/>
      <c r="M28" s="369"/>
      <c r="N28" s="370"/>
    </row>
    <row r="29" spans="1:14">
      <c r="A29" s="351" t="s">
        <v>967</v>
      </c>
      <c r="B29" s="351"/>
      <c r="C29" s="351"/>
      <c r="D29" s="351"/>
      <c r="E29" s="351"/>
      <c r="F29" s="351"/>
      <c r="G29" s="351"/>
      <c r="H29" s="351"/>
      <c r="I29" s="368"/>
      <c r="J29" s="369"/>
      <c r="K29" s="369"/>
      <c r="L29" s="369"/>
      <c r="M29" s="369"/>
      <c r="N29" s="370"/>
    </row>
    <row r="30" spans="1:14">
      <c r="A30" s="351" t="s">
        <v>395</v>
      </c>
      <c r="B30" s="351"/>
      <c r="C30" s="351"/>
      <c r="D30" s="351"/>
      <c r="E30" s="351"/>
      <c r="F30" s="351"/>
      <c r="G30" s="351"/>
      <c r="H30" s="351"/>
      <c r="I30" s="368"/>
      <c r="J30" s="369"/>
      <c r="K30" s="369"/>
      <c r="L30" s="369"/>
      <c r="M30" s="369"/>
      <c r="N30" s="370"/>
    </row>
    <row r="31" spans="1:14">
      <c r="A31" s="352" t="s">
        <v>427</v>
      </c>
      <c r="B31" s="352"/>
      <c r="C31" s="352"/>
      <c r="D31" s="352"/>
      <c r="E31" s="352"/>
      <c r="F31" s="352"/>
      <c r="G31" s="352"/>
      <c r="H31" s="352"/>
      <c r="I31" s="371">
        <f>SUM(I23:N30)</f>
        <v>125252</v>
      </c>
      <c r="J31" s="372"/>
      <c r="K31" s="372"/>
      <c r="L31" s="372"/>
      <c r="M31" s="372"/>
      <c r="N31" s="373"/>
    </row>
    <row r="33" spans="1:14" ht="15.75">
      <c r="A33" s="350" t="s">
        <v>557</v>
      </c>
      <c r="B33" s="350"/>
      <c r="C33" s="350"/>
      <c r="D33" s="350"/>
      <c r="E33" s="350"/>
      <c r="F33" s="350"/>
      <c r="G33" s="350"/>
      <c r="H33" s="350"/>
      <c r="I33" s="350"/>
      <c r="J33" s="350"/>
      <c r="K33" s="350"/>
      <c r="L33" s="350"/>
      <c r="M33" s="350"/>
      <c r="N33" s="350"/>
    </row>
    <row r="34" spans="1:14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1:14">
      <c r="A35" s="252" t="s">
        <v>288</v>
      </c>
      <c r="B35" s="252"/>
      <c r="C35" s="252"/>
      <c r="D35" s="252"/>
      <c r="E35" s="252"/>
      <c r="F35" s="252"/>
      <c r="G35" s="252"/>
      <c r="H35" s="252"/>
      <c r="I35" s="356" t="s">
        <v>339</v>
      </c>
      <c r="J35" s="357"/>
      <c r="K35" s="357"/>
      <c r="L35" s="357"/>
      <c r="M35" s="357"/>
      <c r="N35" s="358"/>
    </row>
    <row r="36" spans="1:14">
      <c r="A36" s="375" t="s">
        <v>71</v>
      </c>
      <c r="B36" s="375"/>
      <c r="C36" s="375"/>
      <c r="D36" s="375"/>
      <c r="E36" s="375"/>
      <c r="F36" s="375"/>
      <c r="G36" s="375"/>
      <c r="H36" s="375"/>
      <c r="I36" s="359"/>
      <c r="J36" s="360"/>
      <c r="K36" s="360"/>
      <c r="L36" s="360"/>
      <c r="M36" s="360"/>
      <c r="N36" s="361"/>
    </row>
    <row r="37" spans="1:14">
      <c r="A37" s="374" t="s">
        <v>414</v>
      </c>
      <c r="B37" s="374"/>
      <c r="C37" s="374"/>
      <c r="D37" s="374"/>
      <c r="E37" s="374"/>
      <c r="F37" s="374"/>
      <c r="G37" s="374"/>
      <c r="H37" s="374"/>
      <c r="I37" s="362" t="s">
        <v>319</v>
      </c>
      <c r="J37" s="363"/>
      <c r="K37" s="363"/>
      <c r="L37" s="363"/>
      <c r="M37" s="363"/>
      <c r="N37" s="364"/>
    </row>
    <row r="38" spans="1:14">
      <c r="A38" s="376" t="s">
        <v>1081</v>
      </c>
      <c r="B38" s="376"/>
      <c r="C38" s="376"/>
      <c r="D38" s="376"/>
      <c r="E38" s="376"/>
      <c r="F38" s="376"/>
      <c r="G38" s="376"/>
      <c r="H38" s="376"/>
      <c r="I38" s="365"/>
      <c r="J38" s="366"/>
      <c r="K38" s="366"/>
      <c r="L38" s="366"/>
      <c r="M38" s="366"/>
      <c r="N38" s="367"/>
    </row>
    <row r="39" spans="1:14">
      <c r="A39" s="351" t="s">
        <v>764</v>
      </c>
      <c r="B39" s="351"/>
      <c r="C39" s="351"/>
      <c r="D39" s="351"/>
      <c r="E39" s="351"/>
      <c r="F39" s="351"/>
      <c r="G39" s="351"/>
      <c r="H39" s="351"/>
      <c r="I39" s="368"/>
      <c r="J39" s="369"/>
      <c r="K39" s="369"/>
      <c r="L39" s="369"/>
      <c r="M39" s="369"/>
      <c r="N39" s="370"/>
    </row>
    <row r="40" spans="1:14">
      <c r="A40" s="351" t="s">
        <v>693</v>
      </c>
      <c r="B40" s="351"/>
      <c r="C40" s="351"/>
      <c r="D40" s="351"/>
      <c r="E40" s="351"/>
      <c r="F40" s="351"/>
      <c r="G40" s="351"/>
      <c r="H40" s="351"/>
      <c r="I40" s="368"/>
      <c r="J40" s="369"/>
      <c r="K40" s="369"/>
      <c r="L40" s="369"/>
      <c r="M40" s="369"/>
      <c r="N40" s="370"/>
    </row>
    <row r="41" spans="1:14">
      <c r="A41" s="351" t="s">
        <v>211</v>
      </c>
      <c r="B41" s="351"/>
      <c r="C41" s="351"/>
      <c r="D41" s="351"/>
      <c r="E41" s="351"/>
      <c r="F41" s="351"/>
      <c r="G41" s="351"/>
      <c r="H41" s="351"/>
      <c r="I41" s="368"/>
      <c r="J41" s="369"/>
      <c r="K41" s="369"/>
      <c r="L41" s="369"/>
      <c r="M41" s="369"/>
      <c r="N41" s="370"/>
    </row>
    <row r="42" spans="1:14">
      <c r="A42" s="351" t="s">
        <v>488</v>
      </c>
      <c r="B42" s="351"/>
      <c r="C42" s="351"/>
      <c r="D42" s="351"/>
      <c r="E42" s="351"/>
      <c r="F42" s="351"/>
      <c r="G42" s="351"/>
      <c r="H42" s="351"/>
      <c r="I42" s="368"/>
      <c r="J42" s="369"/>
      <c r="K42" s="369"/>
      <c r="L42" s="369"/>
      <c r="M42" s="369"/>
      <c r="N42" s="370"/>
    </row>
    <row r="43" spans="1:14">
      <c r="A43" s="351" t="s">
        <v>395</v>
      </c>
      <c r="B43" s="351"/>
      <c r="C43" s="351"/>
      <c r="D43" s="351"/>
      <c r="E43" s="351"/>
      <c r="F43" s="351"/>
      <c r="G43" s="351"/>
      <c r="H43" s="351"/>
      <c r="I43" s="368"/>
      <c r="J43" s="369"/>
      <c r="K43" s="369"/>
      <c r="L43" s="369"/>
      <c r="M43" s="369"/>
      <c r="N43" s="370"/>
    </row>
    <row r="44" spans="1:14">
      <c r="A44" s="352" t="s">
        <v>427</v>
      </c>
      <c r="B44" s="352"/>
      <c r="C44" s="352"/>
      <c r="D44" s="352"/>
      <c r="E44" s="352"/>
      <c r="F44" s="352"/>
      <c r="G44" s="352"/>
      <c r="H44" s="352"/>
      <c r="I44" s="371">
        <f>SUM(I38:N43)</f>
        <v>0</v>
      </c>
      <c r="J44" s="372"/>
      <c r="K44" s="372"/>
      <c r="L44" s="372"/>
      <c r="M44" s="372"/>
      <c r="N44" s="373"/>
    </row>
    <row r="46" spans="1:14">
      <c r="M46" s="100" t="s">
        <v>1292</v>
      </c>
    </row>
    <row r="48" spans="1:14" ht="30" customHeight="1">
      <c r="A48" s="190" t="s">
        <v>352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</row>
    <row r="49" spans="1:14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1:14" ht="39.950000000000003" customHeight="1">
      <c r="A50" s="252" t="s">
        <v>288</v>
      </c>
      <c r="B50" s="252"/>
      <c r="C50" s="252"/>
      <c r="D50" s="252"/>
      <c r="E50" s="252"/>
      <c r="F50" s="252"/>
      <c r="G50" s="252"/>
      <c r="H50" s="252"/>
      <c r="I50" s="252" t="s">
        <v>319</v>
      </c>
      <c r="J50" s="252"/>
      <c r="K50" s="252"/>
      <c r="L50" s="252" t="s">
        <v>339</v>
      </c>
      <c r="M50" s="252"/>
      <c r="N50" s="252"/>
    </row>
    <row r="51" spans="1:14">
      <c r="A51" s="354" t="s">
        <v>870</v>
      </c>
      <c r="B51" s="354"/>
      <c r="C51" s="354"/>
      <c r="D51" s="354"/>
      <c r="E51" s="354"/>
      <c r="F51" s="354"/>
      <c r="G51" s="354"/>
      <c r="H51" s="354"/>
      <c r="I51" s="355"/>
      <c r="J51" s="355"/>
      <c r="K51" s="355"/>
      <c r="L51" s="355"/>
      <c r="M51" s="355"/>
      <c r="N51" s="355"/>
    </row>
    <row r="52" spans="1:14" ht="24.95" customHeight="1">
      <c r="A52" s="351" t="s">
        <v>122</v>
      </c>
      <c r="B52" s="351"/>
      <c r="C52" s="351"/>
      <c r="D52" s="351"/>
      <c r="E52" s="351"/>
      <c r="F52" s="351"/>
      <c r="G52" s="351"/>
      <c r="H52" s="351"/>
      <c r="I52" s="273"/>
      <c r="J52" s="273"/>
      <c r="K52" s="273"/>
      <c r="L52" s="273"/>
      <c r="M52" s="273"/>
      <c r="N52" s="273"/>
    </row>
    <row r="53" spans="1:14">
      <c r="A53" s="351" t="s">
        <v>440</v>
      </c>
      <c r="B53" s="351"/>
      <c r="C53" s="351"/>
      <c r="D53" s="351"/>
      <c r="E53" s="351"/>
      <c r="F53" s="351"/>
      <c r="G53" s="351"/>
      <c r="H53" s="351"/>
      <c r="I53" s="273"/>
      <c r="J53" s="273"/>
      <c r="K53" s="273"/>
      <c r="L53" s="273"/>
      <c r="M53" s="273"/>
      <c r="N53" s="273"/>
    </row>
    <row r="54" spans="1:14">
      <c r="A54" s="351"/>
      <c r="B54" s="351"/>
      <c r="C54" s="351"/>
      <c r="D54" s="351"/>
      <c r="E54" s="351"/>
      <c r="F54" s="351"/>
      <c r="G54" s="351"/>
      <c r="H54" s="351"/>
      <c r="I54" s="273"/>
      <c r="J54" s="273"/>
      <c r="K54" s="273"/>
      <c r="L54" s="273"/>
      <c r="M54" s="273"/>
      <c r="N54" s="273"/>
    </row>
    <row r="55" spans="1:14">
      <c r="A55" s="352" t="s">
        <v>427</v>
      </c>
      <c r="B55" s="352"/>
      <c r="C55" s="352"/>
      <c r="D55" s="352"/>
      <c r="E55" s="352"/>
      <c r="F55" s="352"/>
      <c r="G55" s="352"/>
      <c r="H55" s="352"/>
      <c r="I55" s="353">
        <f>SUM(I51:K54)</f>
        <v>0</v>
      </c>
      <c r="J55" s="353"/>
      <c r="K55" s="353"/>
      <c r="L55" s="353">
        <f>SUM(L51:N54)</f>
        <v>0</v>
      </c>
      <c r="M55" s="353"/>
      <c r="N55" s="353"/>
    </row>
    <row r="57" spans="1:14" ht="15.75">
      <c r="A57" s="350" t="s">
        <v>517</v>
      </c>
      <c r="B57" s="350"/>
      <c r="C57" s="350"/>
      <c r="D57" s="350"/>
      <c r="E57" s="350"/>
      <c r="F57" s="350"/>
      <c r="G57" s="350"/>
      <c r="H57" s="350"/>
      <c r="I57" s="350"/>
      <c r="J57" s="350"/>
      <c r="K57" s="350"/>
      <c r="L57" s="350"/>
      <c r="M57" s="350"/>
      <c r="N57" s="350"/>
    </row>
    <row r="59" spans="1:14">
      <c r="A59" s="233" t="s">
        <v>288</v>
      </c>
      <c r="B59" s="233"/>
      <c r="C59" s="233"/>
      <c r="D59" s="233"/>
      <c r="E59" s="233" t="s">
        <v>319</v>
      </c>
      <c r="F59" s="233"/>
      <c r="G59" s="233"/>
      <c r="H59" s="233"/>
      <c r="I59" s="233"/>
      <c r="J59" s="233"/>
      <c r="K59" s="233"/>
      <c r="L59" s="233"/>
      <c r="M59" s="233"/>
      <c r="N59" s="233"/>
    </row>
    <row r="60" spans="1:14" ht="48" customHeight="1">
      <c r="A60" s="233"/>
      <c r="B60" s="233"/>
      <c r="C60" s="233"/>
      <c r="D60" s="233"/>
      <c r="E60" s="233" t="s">
        <v>314</v>
      </c>
      <c r="F60" s="233"/>
      <c r="G60" s="233" t="s">
        <v>371</v>
      </c>
      <c r="H60" s="233"/>
      <c r="I60" s="233" t="s">
        <v>791</v>
      </c>
      <c r="J60" s="233"/>
      <c r="K60" s="233" t="s">
        <v>556</v>
      </c>
      <c r="L60" s="233"/>
      <c r="M60" s="233" t="s">
        <v>1095</v>
      </c>
      <c r="N60" s="233"/>
    </row>
    <row r="61" spans="1:14">
      <c r="A61" s="234" t="s">
        <v>832</v>
      </c>
      <c r="B61" s="234"/>
      <c r="C61" s="234"/>
      <c r="D61" s="234"/>
      <c r="E61" s="234" t="s">
        <v>36</v>
      </c>
      <c r="F61" s="234"/>
      <c r="G61" s="234" t="s">
        <v>647</v>
      </c>
      <c r="H61" s="234"/>
      <c r="I61" s="234" t="s">
        <v>236</v>
      </c>
      <c r="J61" s="234"/>
      <c r="K61" s="234" t="s">
        <v>741</v>
      </c>
      <c r="L61" s="234"/>
      <c r="M61" s="234" t="s">
        <v>139</v>
      </c>
      <c r="N61" s="234"/>
    </row>
    <row r="62" spans="1:14">
      <c r="A62" s="349" t="s">
        <v>652</v>
      </c>
      <c r="B62" s="349"/>
      <c r="C62" s="349"/>
      <c r="D62" s="349"/>
      <c r="E62" s="335"/>
      <c r="F62" s="335"/>
      <c r="G62" s="335"/>
      <c r="H62" s="335"/>
      <c r="I62" s="335"/>
      <c r="J62" s="335"/>
      <c r="K62" s="335"/>
      <c r="L62" s="335"/>
      <c r="M62" s="335"/>
      <c r="N62" s="335"/>
    </row>
    <row r="63" spans="1:14">
      <c r="A63" s="318"/>
      <c r="B63" s="318"/>
      <c r="C63" s="318"/>
      <c r="D63" s="318"/>
      <c r="E63" s="318"/>
      <c r="F63" s="318"/>
      <c r="G63" s="318"/>
      <c r="H63" s="318"/>
      <c r="I63" s="318"/>
      <c r="J63" s="318"/>
      <c r="K63" s="318"/>
      <c r="L63" s="318"/>
      <c r="M63" s="347">
        <f>E63+G63-I63-K63</f>
        <v>0</v>
      </c>
      <c r="N63" s="348"/>
    </row>
    <row r="64" spans="1:14">
      <c r="A64" s="318"/>
      <c r="B64" s="318"/>
      <c r="C64" s="318"/>
      <c r="D64" s="318"/>
      <c r="E64" s="318"/>
      <c r="F64" s="318"/>
      <c r="G64" s="318"/>
      <c r="H64" s="318"/>
      <c r="I64" s="318"/>
      <c r="J64" s="318"/>
      <c r="K64" s="318"/>
      <c r="L64" s="318"/>
      <c r="M64" s="347">
        <f>E64+G64-I64-K64</f>
        <v>0</v>
      </c>
      <c r="N64" s="348"/>
    </row>
    <row r="65" spans="1:14">
      <c r="A65" s="318"/>
      <c r="B65" s="318"/>
      <c r="C65" s="318"/>
      <c r="D65" s="318"/>
      <c r="E65" s="318"/>
      <c r="F65" s="318"/>
      <c r="G65" s="318"/>
      <c r="H65" s="318"/>
      <c r="I65" s="318"/>
      <c r="J65" s="318"/>
      <c r="K65" s="318"/>
      <c r="L65" s="318"/>
      <c r="M65" s="347">
        <f>E65+G65-I65-K65</f>
        <v>0</v>
      </c>
      <c r="N65" s="348"/>
    </row>
    <row r="66" spans="1:14">
      <c r="A66" s="320" t="s">
        <v>359</v>
      </c>
      <c r="B66" s="320"/>
      <c r="C66" s="320"/>
      <c r="D66" s="320"/>
      <c r="E66" s="318">
        <v>1209</v>
      </c>
      <c r="F66" s="318"/>
      <c r="G66" s="318">
        <v>1294</v>
      </c>
      <c r="H66" s="318"/>
      <c r="I66" s="318">
        <v>954</v>
      </c>
      <c r="J66" s="318"/>
      <c r="K66" s="318">
        <v>84</v>
      </c>
      <c r="L66" s="318"/>
      <c r="M66" s="347"/>
      <c r="N66" s="348"/>
    </row>
    <row r="67" spans="1:14">
      <c r="A67" s="318" t="s">
        <v>1256</v>
      </c>
      <c r="B67" s="318"/>
      <c r="C67" s="318"/>
      <c r="D67" s="318"/>
      <c r="E67" s="318"/>
      <c r="F67" s="318"/>
      <c r="G67" s="318"/>
      <c r="H67" s="318"/>
      <c r="I67" s="318"/>
      <c r="J67" s="318"/>
      <c r="K67" s="318"/>
      <c r="L67" s="318"/>
      <c r="M67" s="347">
        <f>E67+G67-I67-K67</f>
        <v>0</v>
      </c>
      <c r="N67" s="348"/>
    </row>
    <row r="68" spans="1:14">
      <c r="A68" s="318" t="s">
        <v>1257</v>
      </c>
      <c r="B68" s="318"/>
      <c r="C68" s="318"/>
      <c r="D68" s="318"/>
      <c r="E68" s="318">
        <v>58</v>
      </c>
      <c r="F68" s="318"/>
      <c r="G68" s="318"/>
      <c r="H68" s="318"/>
      <c r="I68" s="318">
        <v>58</v>
      </c>
      <c r="J68" s="318"/>
      <c r="K68" s="318"/>
      <c r="L68" s="318"/>
      <c r="M68" s="347">
        <f>E68+G68-I68-K68</f>
        <v>0</v>
      </c>
      <c r="N68" s="348"/>
    </row>
    <row r="69" spans="1:14">
      <c r="A69" s="318" t="s">
        <v>1258</v>
      </c>
      <c r="B69" s="318"/>
      <c r="C69" s="318"/>
      <c r="D69" s="318"/>
      <c r="E69" s="318">
        <v>21</v>
      </c>
      <c r="F69" s="318"/>
      <c r="G69" s="318"/>
      <c r="H69" s="318"/>
      <c r="I69" s="318">
        <v>21</v>
      </c>
      <c r="J69" s="318"/>
      <c r="K69" s="318"/>
      <c r="L69" s="318"/>
      <c r="M69" s="347">
        <f>E69+G69-I69-K69</f>
        <v>0</v>
      </c>
      <c r="N69" s="348"/>
    </row>
    <row r="70" spans="1:14">
      <c r="A70" s="318" t="s">
        <v>1259</v>
      </c>
      <c r="B70" s="318"/>
      <c r="C70" s="318"/>
      <c r="D70" s="318"/>
      <c r="E70" s="318">
        <v>1130</v>
      </c>
      <c r="F70" s="318"/>
      <c r="G70" s="318">
        <v>1294</v>
      </c>
      <c r="H70" s="318"/>
      <c r="I70" s="318">
        <v>875</v>
      </c>
      <c r="J70" s="318"/>
      <c r="K70" s="318">
        <v>84</v>
      </c>
      <c r="L70" s="318"/>
      <c r="M70" s="347">
        <f>E70+G70-I70-K70</f>
        <v>1465</v>
      </c>
      <c r="N70" s="348"/>
    </row>
    <row r="71" spans="1:14">
      <c r="A71" s="318"/>
      <c r="B71" s="318"/>
      <c r="C71" s="318"/>
      <c r="D71" s="318"/>
      <c r="E71" s="320">
        <f>SUM(E67:F70)</f>
        <v>1209</v>
      </c>
      <c r="F71" s="320"/>
      <c r="G71" s="320">
        <f>SUM(G67:H70)</f>
        <v>1294</v>
      </c>
      <c r="H71" s="320"/>
      <c r="I71" s="320">
        <f>SUM(I67:J70)</f>
        <v>954</v>
      </c>
      <c r="J71" s="320"/>
      <c r="K71" s="320">
        <f>SUM(K67:L70)</f>
        <v>84</v>
      </c>
      <c r="L71" s="320"/>
      <c r="M71" s="345">
        <f>E71+G71-I71-K71</f>
        <v>1465</v>
      </c>
      <c r="N71" s="346"/>
    </row>
    <row r="73" spans="1:14" ht="15.75">
      <c r="A73" s="350" t="s">
        <v>146</v>
      </c>
      <c r="B73" s="350"/>
      <c r="C73" s="350"/>
      <c r="D73" s="350"/>
      <c r="E73" s="350"/>
      <c r="F73" s="350"/>
      <c r="G73" s="350"/>
      <c r="H73" s="350"/>
      <c r="I73" s="350"/>
      <c r="J73" s="350"/>
      <c r="K73" s="350"/>
      <c r="L73" s="350"/>
      <c r="M73" s="350"/>
      <c r="N73" s="350"/>
    </row>
    <row r="74" spans="1:14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1:14">
      <c r="A75" s="233" t="s">
        <v>288</v>
      </c>
      <c r="B75" s="233"/>
      <c r="C75" s="233"/>
      <c r="D75" s="233"/>
      <c r="E75" s="233" t="s">
        <v>339</v>
      </c>
      <c r="F75" s="233"/>
      <c r="G75" s="233"/>
      <c r="H75" s="233"/>
      <c r="I75" s="233"/>
      <c r="J75" s="233"/>
      <c r="K75" s="233"/>
      <c r="L75" s="233"/>
      <c r="M75" s="233"/>
      <c r="N75" s="233"/>
    </row>
    <row r="76" spans="1:14" ht="48" customHeight="1">
      <c r="A76" s="233"/>
      <c r="B76" s="233"/>
      <c r="C76" s="233"/>
      <c r="D76" s="233"/>
      <c r="E76" s="233" t="s">
        <v>314</v>
      </c>
      <c r="F76" s="233"/>
      <c r="G76" s="233" t="s">
        <v>371</v>
      </c>
      <c r="H76" s="233"/>
      <c r="I76" s="233" t="s">
        <v>791</v>
      </c>
      <c r="J76" s="233"/>
      <c r="K76" s="233" t="s">
        <v>556</v>
      </c>
      <c r="L76" s="233"/>
      <c r="M76" s="233" t="s">
        <v>1095</v>
      </c>
      <c r="N76" s="233"/>
    </row>
    <row r="77" spans="1:14">
      <c r="A77" s="234" t="s">
        <v>832</v>
      </c>
      <c r="B77" s="234"/>
      <c r="C77" s="234"/>
      <c r="D77" s="234"/>
      <c r="E77" s="234" t="s">
        <v>36</v>
      </c>
      <c r="F77" s="234"/>
      <c r="G77" s="234" t="s">
        <v>647</v>
      </c>
      <c r="H77" s="234"/>
      <c r="I77" s="234" t="s">
        <v>236</v>
      </c>
      <c r="J77" s="234"/>
      <c r="K77" s="234" t="s">
        <v>741</v>
      </c>
      <c r="L77" s="234"/>
      <c r="M77" s="234" t="s">
        <v>139</v>
      </c>
      <c r="N77" s="234"/>
    </row>
    <row r="78" spans="1:14">
      <c r="A78" s="349" t="s">
        <v>652</v>
      </c>
      <c r="B78" s="349"/>
      <c r="C78" s="349"/>
      <c r="D78" s="349"/>
      <c r="E78" s="335"/>
      <c r="F78" s="335"/>
      <c r="G78" s="335"/>
      <c r="H78" s="335"/>
      <c r="I78" s="335"/>
      <c r="J78" s="335"/>
      <c r="K78" s="335"/>
      <c r="L78" s="335"/>
      <c r="M78" s="335"/>
      <c r="N78" s="335"/>
    </row>
    <row r="79" spans="1:14">
      <c r="A79" s="318"/>
      <c r="B79" s="318"/>
      <c r="C79" s="318"/>
      <c r="D79" s="318"/>
      <c r="E79" s="318"/>
      <c r="F79" s="318"/>
      <c r="G79" s="318"/>
      <c r="H79" s="318"/>
      <c r="I79" s="318"/>
      <c r="J79" s="318"/>
      <c r="K79" s="318"/>
      <c r="L79" s="318"/>
      <c r="M79" s="347">
        <f>E79+G79-I79-K79</f>
        <v>0</v>
      </c>
      <c r="N79" s="348"/>
    </row>
    <row r="80" spans="1:14">
      <c r="A80" s="318"/>
      <c r="B80" s="318"/>
      <c r="C80" s="318"/>
      <c r="D80" s="318"/>
      <c r="E80" s="318"/>
      <c r="F80" s="318"/>
      <c r="G80" s="318"/>
      <c r="H80" s="318"/>
      <c r="I80" s="318"/>
      <c r="J80" s="318"/>
      <c r="K80" s="318"/>
      <c r="L80" s="318"/>
      <c r="M80" s="347">
        <f>E80+G80-I80-K80</f>
        <v>0</v>
      </c>
      <c r="N80" s="348"/>
    </row>
    <row r="81" spans="1:14">
      <c r="A81" s="320" t="s">
        <v>359</v>
      </c>
      <c r="B81" s="320"/>
      <c r="C81" s="320"/>
      <c r="D81" s="320"/>
      <c r="E81" s="318">
        <v>57513</v>
      </c>
      <c r="F81" s="318"/>
      <c r="G81" s="318">
        <v>1038</v>
      </c>
      <c r="H81" s="318"/>
      <c r="I81" s="318">
        <v>57260</v>
      </c>
      <c r="J81" s="318"/>
      <c r="K81" s="318">
        <v>82</v>
      </c>
      <c r="L81" s="318"/>
      <c r="M81" s="345"/>
      <c r="N81" s="346"/>
    </row>
    <row r="82" spans="1:14">
      <c r="A82" s="318" t="s">
        <v>1256</v>
      </c>
      <c r="B82" s="318"/>
      <c r="C82" s="318"/>
      <c r="D82" s="318"/>
      <c r="E82" s="318">
        <v>57122</v>
      </c>
      <c r="F82" s="318"/>
      <c r="G82" s="318"/>
      <c r="H82" s="318"/>
      <c r="I82" s="318">
        <v>57122</v>
      </c>
      <c r="J82" s="318"/>
      <c r="K82" s="318"/>
      <c r="L82" s="318"/>
      <c r="M82" s="347">
        <f>E82+G82-I82-K82</f>
        <v>0</v>
      </c>
      <c r="N82" s="348"/>
    </row>
    <row r="83" spans="1:14">
      <c r="A83" s="318" t="s">
        <v>1257</v>
      </c>
      <c r="B83" s="318"/>
      <c r="C83" s="318"/>
      <c r="D83" s="318"/>
      <c r="E83" s="318">
        <v>102</v>
      </c>
      <c r="F83" s="318"/>
      <c r="G83" s="318">
        <v>58</v>
      </c>
      <c r="H83" s="318"/>
      <c r="I83" s="318">
        <v>102</v>
      </c>
      <c r="J83" s="318"/>
      <c r="K83" s="318"/>
      <c r="L83" s="318"/>
      <c r="M83" s="347">
        <f>E83+G83-I83-K83</f>
        <v>58</v>
      </c>
      <c r="N83" s="348"/>
    </row>
    <row r="84" spans="1:14" s="92" customFormat="1">
      <c r="A84" s="318" t="s">
        <v>1258</v>
      </c>
      <c r="B84" s="318"/>
      <c r="C84" s="318"/>
      <c r="D84" s="318"/>
      <c r="E84" s="347">
        <v>36</v>
      </c>
      <c r="F84" s="348"/>
      <c r="G84" s="347">
        <v>21</v>
      </c>
      <c r="H84" s="348"/>
      <c r="I84" s="347">
        <v>36</v>
      </c>
      <c r="J84" s="348"/>
      <c r="K84" s="347"/>
      <c r="L84" s="348"/>
      <c r="M84" s="347">
        <f>E84+G84-I84-K84</f>
        <v>21</v>
      </c>
      <c r="N84" s="348"/>
    </row>
    <row r="85" spans="1:14" s="92" customFormat="1">
      <c r="A85" s="318" t="s">
        <v>1259</v>
      </c>
      <c r="B85" s="318"/>
      <c r="C85" s="318"/>
      <c r="D85" s="318"/>
      <c r="E85" s="347">
        <v>253</v>
      </c>
      <c r="F85" s="348"/>
      <c r="G85" s="347">
        <v>959</v>
      </c>
      <c r="H85" s="348"/>
      <c r="I85" s="347"/>
      <c r="J85" s="348"/>
      <c r="K85" s="347">
        <v>82</v>
      </c>
      <c r="L85" s="348"/>
      <c r="M85" s="347">
        <f>E85+G85-I85-K85</f>
        <v>1130</v>
      </c>
      <c r="N85" s="348"/>
    </row>
    <row r="86" spans="1:14">
      <c r="A86" s="318"/>
      <c r="B86" s="318"/>
      <c r="C86" s="318"/>
      <c r="D86" s="318"/>
      <c r="E86" s="320">
        <f>SUM(E82:F85)</f>
        <v>57513</v>
      </c>
      <c r="F86" s="320"/>
      <c r="G86" s="320">
        <f>SUM(G82:H85)</f>
        <v>1038</v>
      </c>
      <c r="H86" s="320"/>
      <c r="I86" s="320">
        <f>SUM(I82:J85)</f>
        <v>57260</v>
      </c>
      <c r="J86" s="320"/>
      <c r="K86" s="320">
        <f>SUM(K82:L85)</f>
        <v>82</v>
      </c>
      <c r="L86" s="320"/>
      <c r="M86" s="345">
        <f>E86+G86-I86-K86</f>
        <v>1209</v>
      </c>
      <c r="N86" s="346"/>
    </row>
    <row r="88" spans="1:14">
      <c r="K88" s="345"/>
      <c r="L88" s="346"/>
      <c r="M88" s="100" t="s">
        <v>1295</v>
      </c>
    </row>
  </sheetData>
  <mergeCells count="243">
    <mergeCell ref="K88:L88"/>
    <mergeCell ref="A9:H9"/>
    <mergeCell ref="L7:N7"/>
    <mergeCell ref="I8:K8"/>
    <mergeCell ref="L8:N8"/>
    <mergeCell ref="I9:K9"/>
    <mergeCell ref="L9:N9"/>
    <mergeCell ref="A2:N2"/>
    <mergeCell ref="A4:N4"/>
    <mergeCell ref="L6:N6"/>
    <mergeCell ref="I6:K6"/>
    <mergeCell ref="A6:H6"/>
    <mergeCell ref="I7:K7"/>
    <mergeCell ref="A7:H7"/>
    <mergeCell ref="A8:H8"/>
    <mergeCell ref="I14:K14"/>
    <mergeCell ref="L14:N14"/>
    <mergeCell ref="L15:N15"/>
    <mergeCell ref="I16:K16"/>
    <mergeCell ref="L16:N16"/>
    <mergeCell ref="A18:N18"/>
    <mergeCell ref="I10:K10"/>
    <mergeCell ref="L10:N10"/>
    <mergeCell ref="L11:N11"/>
    <mergeCell ref="I12:K12"/>
    <mergeCell ref="L12:N12"/>
    <mergeCell ref="I13:K13"/>
    <mergeCell ref="L13:N13"/>
    <mergeCell ref="A13:H13"/>
    <mergeCell ref="I11:K11"/>
    <mergeCell ref="A10:H10"/>
    <mergeCell ref="A11:H11"/>
    <mergeCell ref="A12:H12"/>
    <mergeCell ref="A14:H14"/>
    <mergeCell ref="A15:H15"/>
    <mergeCell ref="A16:H16"/>
    <mergeCell ref="I15:K15"/>
    <mergeCell ref="A79:D79"/>
    <mergeCell ref="E79:F79"/>
    <mergeCell ref="G79:H79"/>
    <mergeCell ref="I79:J79"/>
    <mergeCell ref="K79:L79"/>
    <mergeCell ref="M79:N79"/>
    <mergeCell ref="A43:H43"/>
    <mergeCell ref="I43:N43"/>
    <mergeCell ref="A20:H20"/>
    <mergeCell ref="A21:H21"/>
    <mergeCell ref="A42:H42"/>
    <mergeCell ref="I42:N42"/>
    <mergeCell ref="A40:H40"/>
    <mergeCell ref="I40:N40"/>
    <mergeCell ref="A22:H22"/>
    <mergeCell ref="A23:H23"/>
    <mergeCell ref="A48:N48"/>
    <mergeCell ref="A44:H44"/>
    <mergeCell ref="I44:N44"/>
    <mergeCell ref="A41:H41"/>
    <mergeCell ref="I41:N41"/>
    <mergeCell ref="A38:H38"/>
    <mergeCell ref="I38:N38"/>
    <mergeCell ref="A24:H24"/>
    <mergeCell ref="A39:H39"/>
    <mergeCell ref="I39:N39"/>
    <mergeCell ref="I26:N26"/>
    <mergeCell ref="A28:H28"/>
    <mergeCell ref="I31:N31"/>
    <mergeCell ref="A33:N33"/>
    <mergeCell ref="A35:H35"/>
    <mergeCell ref="I35:N35"/>
    <mergeCell ref="A30:H30"/>
    <mergeCell ref="A37:H37"/>
    <mergeCell ref="I37:N37"/>
    <mergeCell ref="A36:H36"/>
    <mergeCell ref="I36:N36"/>
    <mergeCell ref="I30:N30"/>
    <mergeCell ref="A31:H31"/>
    <mergeCell ref="I20:N20"/>
    <mergeCell ref="I21:N21"/>
    <mergeCell ref="I22:N22"/>
    <mergeCell ref="I23:N23"/>
    <mergeCell ref="I24:N24"/>
    <mergeCell ref="I25:N25"/>
    <mergeCell ref="A29:H29"/>
    <mergeCell ref="I28:N28"/>
    <mergeCell ref="I29:N29"/>
    <mergeCell ref="A26:H26"/>
    <mergeCell ref="A27:H27"/>
    <mergeCell ref="I27:N27"/>
    <mergeCell ref="A25:H25"/>
    <mergeCell ref="A52:H52"/>
    <mergeCell ref="I52:K52"/>
    <mergeCell ref="L52:N52"/>
    <mergeCell ref="A53:H53"/>
    <mergeCell ref="I53:K53"/>
    <mergeCell ref="L53:N53"/>
    <mergeCell ref="A50:H50"/>
    <mergeCell ref="I50:K50"/>
    <mergeCell ref="L50:N50"/>
    <mergeCell ref="A51:H51"/>
    <mergeCell ref="I51:K51"/>
    <mergeCell ref="L51:N51"/>
    <mergeCell ref="A54:H54"/>
    <mergeCell ref="I54:K54"/>
    <mergeCell ref="L54:N54"/>
    <mergeCell ref="A55:H55"/>
    <mergeCell ref="I55:K55"/>
    <mergeCell ref="L55:N55"/>
    <mergeCell ref="M76:N76"/>
    <mergeCell ref="A61:D61"/>
    <mergeCell ref="E61:F61"/>
    <mergeCell ref="A57:N57"/>
    <mergeCell ref="M60:N60"/>
    <mergeCell ref="K60:L60"/>
    <mergeCell ref="I60:J60"/>
    <mergeCell ref="G60:H60"/>
    <mergeCell ref="E60:F60"/>
    <mergeCell ref="A59:D60"/>
    <mergeCell ref="E59:N59"/>
    <mergeCell ref="K61:L61"/>
    <mergeCell ref="M61:N61"/>
    <mergeCell ref="E62:F62"/>
    <mergeCell ref="G62:H62"/>
    <mergeCell ref="I62:J62"/>
    <mergeCell ref="K62:L62"/>
    <mergeCell ref="M62:N62"/>
    <mergeCell ref="G61:H61"/>
    <mergeCell ref="I61:J61"/>
    <mergeCell ref="K76:L76"/>
    <mergeCell ref="I63:J63"/>
    <mergeCell ref="K63:L63"/>
    <mergeCell ref="A73:N73"/>
    <mergeCell ref="A62:D62"/>
    <mergeCell ref="A75:D76"/>
    <mergeCell ref="E75:N75"/>
    <mergeCell ref="E76:F76"/>
    <mergeCell ref="G76:H76"/>
    <mergeCell ref="I76:J76"/>
    <mergeCell ref="A65:D65"/>
    <mergeCell ref="E65:F65"/>
    <mergeCell ref="M63:N63"/>
    <mergeCell ref="A64:D64"/>
    <mergeCell ref="E64:F64"/>
    <mergeCell ref="G64:H64"/>
    <mergeCell ref="I64:J64"/>
    <mergeCell ref="K64:L64"/>
    <mergeCell ref="M64:N64"/>
    <mergeCell ref="A63:D63"/>
    <mergeCell ref="E63:F63"/>
    <mergeCell ref="G63:H63"/>
    <mergeCell ref="G65:H65"/>
    <mergeCell ref="I65:J65"/>
    <mergeCell ref="K65:L65"/>
    <mergeCell ref="M65:N65"/>
    <mergeCell ref="A66:D66"/>
    <mergeCell ref="E66:F66"/>
    <mergeCell ref="G66:H66"/>
    <mergeCell ref="I66:J66"/>
    <mergeCell ref="K66:L66"/>
    <mergeCell ref="M66:N66"/>
    <mergeCell ref="A68:D68"/>
    <mergeCell ref="E68:F68"/>
    <mergeCell ref="G68:H68"/>
    <mergeCell ref="I68:J68"/>
    <mergeCell ref="K68:L68"/>
    <mergeCell ref="M68:N68"/>
    <mergeCell ref="A67:D67"/>
    <mergeCell ref="E67:F67"/>
    <mergeCell ref="G67:H67"/>
    <mergeCell ref="I67:J67"/>
    <mergeCell ref="K67:L67"/>
    <mergeCell ref="M67:N67"/>
    <mergeCell ref="A70:D70"/>
    <mergeCell ref="E70:F70"/>
    <mergeCell ref="G70:H70"/>
    <mergeCell ref="I70:J70"/>
    <mergeCell ref="K70:L70"/>
    <mergeCell ref="M70:N70"/>
    <mergeCell ref="A69:D69"/>
    <mergeCell ref="E69:F69"/>
    <mergeCell ref="G69:H69"/>
    <mergeCell ref="I69:J69"/>
    <mergeCell ref="K69:L69"/>
    <mergeCell ref="M69:N69"/>
    <mergeCell ref="A80:D80"/>
    <mergeCell ref="E80:F80"/>
    <mergeCell ref="G80:H80"/>
    <mergeCell ref="I80:J80"/>
    <mergeCell ref="K80:L80"/>
    <mergeCell ref="M80:N80"/>
    <mergeCell ref="A71:D71"/>
    <mergeCell ref="E71:F71"/>
    <mergeCell ref="G71:H71"/>
    <mergeCell ref="I71:J71"/>
    <mergeCell ref="K71:L71"/>
    <mergeCell ref="M71:N71"/>
    <mergeCell ref="K77:L77"/>
    <mergeCell ref="A77:D77"/>
    <mergeCell ref="E77:F77"/>
    <mergeCell ref="G77:H77"/>
    <mergeCell ref="I77:J77"/>
    <mergeCell ref="M77:N77"/>
    <mergeCell ref="A78:D78"/>
    <mergeCell ref="E78:F78"/>
    <mergeCell ref="G78:H78"/>
    <mergeCell ref="I78:J78"/>
    <mergeCell ref="K78:L78"/>
    <mergeCell ref="M78:N78"/>
    <mergeCell ref="A82:D82"/>
    <mergeCell ref="E82:F82"/>
    <mergeCell ref="G82:H82"/>
    <mergeCell ref="I82:J82"/>
    <mergeCell ref="K82:L82"/>
    <mergeCell ref="M82:N82"/>
    <mergeCell ref="A81:D81"/>
    <mergeCell ref="E81:F81"/>
    <mergeCell ref="G81:H81"/>
    <mergeCell ref="I81:J81"/>
    <mergeCell ref="K81:L81"/>
    <mergeCell ref="M81:N81"/>
    <mergeCell ref="A86:D86"/>
    <mergeCell ref="E86:F86"/>
    <mergeCell ref="G86:H86"/>
    <mergeCell ref="I86:J86"/>
    <mergeCell ref="K86:L86"/>
    <mergeCell ref="M86:N86"/>
    <mergeCell ref="A83:D83"/>
    <mergeCell ref="E83:F83"/>
    <mergeCell ref="G83:H83"/>
    <mergeCell ref="I83:J83"/>
    <mergeCell ref="K83:L83"/>
    <mergeCell ref="M83:N83"/>
    <mergeCell ref="A84:D84"/>
    <mergeCell ref="E84:F84"/>
    <mergeCell ref="G84:H84"/>
    <mergeCell ref="I84:J84"/>
    <mergeCell ref="M84:N84"/>
    <mergeCell ref="K84:L84"/>
    <mergeCell ref="A85:D85"/>
    <mergeCell ref="E85:F85"/>
    <mergeCell ref="G85:H85"/>
    <mergeCell ref="I85:J85"/>
    <mergeCell ref="K85:L85"/>
    <mergeCell ref="M85:N85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N90"/>
  <sheetViews>
    <sheetView topLeftCell="A67" workbookViewId="0">
      <selection activeCell="I67" sqref="I67:K67"/>
    </sheetView>
  </sheetViews>
  <sheetFormatPr defaultRowHeight="15"/>
  <cols>
    <col min="1" max="14" width="6" customWidth="1"/>
  </cols>
  <sheetData>
    <row r="1" spans="1:14" ht="15.75">
      <c r="A1" s="190" t="s">
        <v>962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</row>
    <row r="2" spans="1:14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ht="30" customHeight="1">
      <c r="A3" s="378" t="s">
        <v>288</v>
      </c>
      <c r="B3" s="378"/>
      <c r="C3" s="378"/>
      <c r="D3" s="378"/>
      <c r="E3" s="378"/>
      <c r="F3" s="378"/>
      <c r="G3" s="378" t="s">
        <v>319</v>
      </c>
      <c r="H3" s="378"/>
      <c r="I3" s="378"/>
      <c r="J3" s="378"/>
      <c r="K3" s="378" t="s">
        <v>339</v>
      </c>
      <c r="L3" s="378"/>
      <c r="M3" s="378"/>
      <c r="N3" s="378"/>
    </row>
    <row r="4" spans="1:14">
      <c r="A4" s="379" t="s">
        <v>332</v>
      </c>
      <c r="B4" s="379"/>
      <c r="C4" s="379"/>
      <c r="D4" s="379"/>
      <c r="E4" s="379"/>
      <c r="F4" s="379"/>
      <c r="G4" s="379">
        <v>329246</v>
      </c>
      <c r="H4" s="379"/>
      <c r="I4" s="379"/>
      <c r="J4" s="379"/>
      <c r="K4" s="380">
        <v>339037</v>
      </c>
      <c r="L4" s="380"/>
      <c r="M4" s="380"/>
      <c r="N4" s="380"/>
    </row>
    <row r="5" spans="1:14" ht="24.95" customHeight="1">
      <c r="A5" s="381" t="s">
        <v>312</v>
      </c>
      <c r="B5" s="381"/>
      <c r="C5" s="381"/>
      <c r="D5" s="381"/>
      <c r="E5" s="381"/>
      <c r="F5" s="381"/>
      <c r="G5" s="381">
        <v>375948</v>
      </c>
      <c r="H5" s="381"/>
      <c r="I5" s="381"/>
      <c r="J5" s="381"/>
      <c r="K5" s="236">
        <v>447495</v>
      </c>
      <c r="L5" s="236"/>
      <c r="M5" s="236"/>
      <c r="N5" s="236"/>
    </row>
    <row r="6" spans="1:14">
      <c r="A6" s="382" t="s">
        <v>1004</v>
      </c>
      <c r="B6" s="382"/>
      <c r="C6" s="382"/>
      <c r="D6" s="382"/>
      <c r="E6" s="382"/>
      <c r="F6" s="382"/>
      <c r="G6" s="382">
        <f>SUM(G4:J5)</f>
        <v>705194</v>
      </c>
      <c r="H6" s="382"/>
      <c r="I6" s="382"/>
      <c r="J6" s="382"/>
      <c r="K6" s="382">
        <f>SUM(K4:N5)</f>
        <v>786532</v>
      </c>
      <c r="L6" s="382"/>
      <c r="M6" s="382"/>
      <c r="N6" s="382"/>
    </row>
    <row r="7" spans="1:14" ht="24.95" customHeight="1">
      <c r="A7" s="381" t="s">
        <v>508</v>
      </c>
      <c r="B7" s="381"/>
      <c r="C7" s="381"/>
      <c r="D7" s="381"/>
      <c r="E7" s="381"/>
      <c r="F7" s="381"/>
      <c r="G7" s="381">
        <v>40</v>
      </c>
      <c r="H7" s="381"/>
      <c r="I7" s="381"/>
      <c r="J7" s="381"/>
      <c r="K7" s="236">
        <v>59</v>
      </c>
      <c r="L7" s="236"/>
      <c r="M7" s="236"/>
      <c r="N7" s="236"/>
    </row>
    <row r="8" spans="1:14" ht="24.95" customHeight="1">
      <c r="A8" s="381" t="s">
        <v>407</v>
      </c>
      <c r="B8" s="381"/>
      <c r="C8" s="381"/>
      <c r="D8" s="381"/>
      <c r="E8" s="381"/>
      <c r="F8" s="381"/>
      <c r="G8" s="381"/>
      <c r="H8" s="381"/>
      <c r="I8" s="381"/>
      <c r="J8" s="381"/>
      <c r="K8" s="236"/>
      <c r="L8" s="236"/>
      <c r="M8" s="236"/>
      <c r="N8" s="236"/>
    </row>
    <row r="9" spans="1:14">
      <c r="A9" s="382" t="s">
        <v>679</v>
      </c>
      <c r="B9" s="382"/>
      <c r="C9" s="382"/>
      <c r="D9" s="382"/>
      <c r="E9" s="382"/>
      <c r="F9" s="382"/>
      <c r="G9" s="237">
        <f>SUM(G7:J8)</f>
        <v>40</v>
      </c>
      <c r="H9" s="237"/>
      <c r="I9" s="237"/>
      <c r="J9" s="237"/>
      <c r="K9" s="237">
        <v>59</v>
      </c>
      <c r="L9" s="237"/>
      <c r="M9" s="237"/>
      <c r="N9" s="237"/>
    </row>
    <row r="10" spans="1:14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</row>
    <row r="11" spans="1:14" ht="15.75">
      <c r="A11" s="190" t="s">
        <v>829</v>
      </c>
      <c r="B11" s="190"/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</row>
    <row r="12" spans="1:14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</row>
    <row r="13" spans="1:14">
      <c r="A13" s="260" t="s">
        <v>765</v>
      </c>
      <c r="B13" s="260"/>
      <c r="C13" s="260"/>
      <c r="D13" s="260"/>
      <c r="E13" s="260"/>
      <c r="F13" s="260"/>
      <c r="G13" s="260" t="s">
        <v>845</v>
      </c>
      <c r="H13" s="260"/>
      <c r="I13" s="260"/>
      <c r="J13" s="260"/>
      <c r="K13" s="260"/>
      <c r="L13" s="260"/>
      <c r="M13" s="260"/>
      <c r="N13" s="260"/>
    </row>
    <row r="14" spans="1:14">
      <c r="A14" s="259"/>
      <c r="B14" s="259"/>
      <c r="C14" s="259"/>
      <c r="D14" s="259"/>
      <c r="E14" s="259"/>
      <c r="F14" s="259"/>
      <c r="G14" s="252" t="s">
        <v>377</v>
      </c>
      <c r="H14" s="252"/>
      <c r="I14" s="252"/>
      <c r="J14" s="252"/>
      <c r="K14" s="252" t="s">
        <v>513</v>
      </c>
      <c r="L14" s="252"/>
      <c r="M14" s="252"/>
      <c r="N14" s="252"/>
    </row>
    <row r="15" spans="1:14">
      <c r="A15" s="379" t="s">
        <v>1260</v>
      </c>
      <c r="B15" s="379"/>
      <c r="C15" s="379"/>
      <c r="D15" s="379"/>
      <c r="E15" s="379"/>
      <c r="F15" s="379"/>
      <c r="G15" s="379"/>
      <c r="H15" s="379"/>
      <c r="I15" s="379"/>
      <c r="J15" s="379"/>
      <c r="K15" s="380"/>
      <c r="L15" s="380"/>
      <c r="M15" s="380"/>
      <c r="N15" s="380"/>
    </row>
    <row r="16" spans="1:14">
      <c r="A16" s="381" t="s">
        <v>1261</v>
      </c>
      <c r="B16" s="381"/>
      <c r="C16" s="381"/>
      <c r="D16" s="381"/>
      <c r="E16" s="381"/>
      <c r="F16" s="381"/>
      <c r="G16" s="381"/>
      <c r="H16" s="381"/>
      <c r="I16" s="381"/>
      <c r="J16" s="381"/>
      <c r="K16" s="236"/>
      <c r="L16" s="236"/>
      <c r="M16" s="236"/>
      <c r="N16" s="236"/>
    </row>
    <row r="17" spans="1:14">
      <c r="A17" s="382"/>
      <c r="B17" s="382"/>
      <c r="C17" s="382"/>
      <c r="D17" s="382"/>
      <c r="E17" s="382"/>
      <c r="F17" s="382"/>
      <c r="G17" s="382"/>
      <c r="H17" s="382"/>
      <c r="I17" s="382"/>
      <c r="J17" s="382"/>
      <c r="K17" s="382"/>
      <c r="L17" s="382"/>
      <c r="M17" s="382"/>
      <c r="N17" s="382"/>
    </row>
    <row r="18" spans="1:14">
      <c r="A18" s="381"/>
      <c r="B18" s="381"/>
      <c r="C18" s="381"/>
      <c r="D18" s="381"/>
      <c r="E18" s="381"/>
      <c r="F18" s="381"/>
      <c r="G18" s="381"/>
      <c r="H18" s="381"/>
      <c r="I18" s="381"/>
      <c r="J18" s="381"/>
      <c r="K18" s="236"/>
      <c r="L18" s="236"/>
      <c r="M18" s="236"/>
      <c r="N18" s="236"/>
    </row>
    <row r="19" spans="1:14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</row>
    <row r="20" spans="1:14" ht="15.75">
      <c r="A20" s="190" t="s">
        <v>1262</v>
      </c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</row>
    <row r="21" spans="1:14">
      <c r="A21" s="103" t="s">
        <v>1263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</row>
    <row r="22" spans="1:14" s="58" customFormat="1"/>
    <row r="23" spans="1:14" ht="15.75">
      <c r="A23" s="190" t="s">
        <v>587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</row>
    <row r="24" spans="1:14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 ht="24.95" customHeight="1">
      <c r="A25" s="259" t="s">
        <v>288</v>
      </c>
      <c r="B25" s="259"/>
      <c r="C25" s="259"/>
      <c r="D25" s="259"/>
      <c r="E25" s="259"/>
      <c r="F25" s="259"/>
      <c r="G25" s="252" t="s">
        <v>319</v>
      </c>
      <c r="H25" s="252"/>
      <c r="I25" s="252"/>
      <c r="J25" s="252"/>
      <c r="K25" s="252" t="s">
        <v>339</v>
      </c>
      <c r="L25" s="252"/>
      <c r="M25" s="252"/>
      <c r="N25" s="252"/>
    </row>
    <row r="26" spans="1:14">
      <c r="A26" s="383" t="s">
        <v>798</v>
      </c>
      <c r="B26" s="383"/>
      <c r="C26" s="383"/>
      <c r="D26" s="383"/>
      <c r="E26" s="383"/>
      <c r="F26" s="383"/>
      <c r="G26" s="383">
        <v>59</v>
      </c>
      <c r="H26" s="383"/>
      <c r="I26" s="383"/>
      <c r="J26" s="383"/>
      <c r="K26" s="239">
        <v>63</v>
      </c>
      <c r="L26" s="239"/>
      <c r="M26" s="239"/>
      <c r="N26" s="239"/>
    </row>
    <row r="27" spans="1:14" ht="24.95" customHeight="1">
      <c r="A27" s="381" t="s">
        <v>643</v>
      </c>
      <c r="B27" s="381"/>
      <c r="C27" s="381"/>
      <c r="D27" s="381"/>
      <c r="E27" s="381"/>
      <c r="F27" s="381"/>
      <c r="G27" s="381">
        <v>71</v>
      </c>
      <c r="H27" s="381"/>
      <c r="I27" s="381"/>
      <c r="J27" s="381"/>
      <c r="K27" s="236">
        <v>85</v>
      </c>
      <c r="L27" s="236"/>
      <c r="M27" s="236"/>
      <c r="N27" s="236"/>
    </row>
    <row r="28" spans="1:14">
      <c r="A28" s="381" t="s">
        <v>185</v>
      </c>
      <c r="B28" s="381"/>
      <c r="C28" s="381"/>
      <c r="D28" s="381"/>
      <c r="E28" s="381"/>
      <c r="F28" s="381"/>
      <c r="G28" s="382"/>
      <c r="H28" s="382"/>
      <c r="I28" s="382"/>
      <c r="J28" s="382"/>
      <c r="K28" s="382"/>
      <c r="L28" s="382"/>
      <c r="M28" s="382"/>
      <c r="N28" s="382"/>
    </row>
    <row r="29" spans="1:14">
      <c r="A29" s="381" t="s">
        <v>797</v>
      </c>
      <c r="B29" s="381"/>
      <c r="C29" s="381"/>
      <c r="D29" s="381"/>
      <c r="E29" s="381"/>
      <c r="F29" s="381"/>
      <c r="G29" s="381"/>
      <c r="H29" s="381"/>
      <c r="I29" s="381"/>
      <c r="J29" s="381"/>
      <c r="K29" s="236"/>
      <c r="L29" s="236"/>
      <c r="M29" s="236"/>
      <c r="N29" s="236"/>
    </row>
    <row r="30" spans="1:14">
      <c r="A30" s="382" t="s">
        <v>865</v>
      </c>
      <c r="B30" s="382"/>
      <c r="C30" s="382"/>
      <c r="D30" s="382"/>
      <c r="E30" s="382"/>
      <c r="F30" s="382"/>
      <c r="G30" s="382">
        <f>SUM(G27:J29)</f>
        <v>71</v>
      </c>
      <c r="H30" s="382"/>
      <c r="I30" s="382"/>
      <c r="J30" s="382"/>
      <c r="K30" s="382">
        <v>83</v>
      </c>
      <c r="L30" s="382"/>
      <c r="M30" s="382"/>
      <c r="N30" s="382"/>
    </row>
    <row r="31" spans="1:14">
      <c r="A31" s="382" t="s">
        <v>907</v>
      </c>
      <c r="B31" s="382"/>
      <c r="C31" s="382"/>
      <c r="D31" s="382"/>
      <c r="E31" s="382"/>
      <c r="F31" s="382"/>
      <c r="G31" s="382">
        <v>90</v>
      </c>
      <c r="H31" s="382"/>
      <c r="I31" s="382"/>
      <c r="J31" s="382"/>
      <c r="K31" s="237">
        <v>87</v>
      </c>
      <c r="L31" s="237"/>
      <c r="M31" s="237"/>
      <c r="N31" s="237"/>
    </row>
    <row r="32" spans="1:14">
      <c r="A32" s="382" t="s">
        <v>276</v>
      </c>
      <c r="B32" s="382"/>
      <c r="C32" s="382"/>
      <c r="D32" s="382"/>
      <c r="E32" s="382"/>
      <c r="F32" s="382"/>
      <c r="G32" s="382">
        <f>G26+G30-G31</f>
        <v>40</v>
      </c>
      <c r="H32" s="382"/>
      <c r="I32" s="382"/>
      <c r="J32" s="382"/>
      <c r="K32" s="381">
        <f>K26+K30-K31</f>
        <v>59</v>
      </c>
      <c r="L32" s="381"/>
      <c r="M32" s="381"/>
      <c r="N32" s="381"/>
    </row>
    <row r="33" spans="1:14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</row>
    <row r="34" spans="1:14" ht="15.75">
      <c r="A34" s="190" t="s">
        <v>55</v>
      </c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</row>
    <row r="35" spans="1:14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</row>
    <row r="36" spans="1:14" ht="15.75" thickBot="1">
      <c r="A36" s="362" t="s">
        <v>160</v>
      </c>
      <c r="B36" s="363"/>
      <c r="C36" s="363"/>
      <c r="D36" s="362" t="s">
        <v>608</v>
      </c>
      <c r="E36" s="363"/>
      <c r="F36" s="364"/>
      <c r="G36" s="259" t="s">
        <v>547</v>
      </c>
      <c r="H36" s="259"/>
      <c r="I36" s="259" t="s">
        <v>454</v>
      </c>
      <c r="J36" s="259"/>
      <c r="K36" s="259" t="s">
        <v>682</v>
      </c>
      <c r="L36" s="259"/>
      <c r="M36" s="259" t="s">
        <v>221</v>
      </c>
      <c r="N36" s="259"/>
    </row>
    <row r="37" spans="1:14">
      <c r="A37" s="389" t="s">
        <v>1155</v>
      </c>
      <c r="B37" s="390"/>
      <c r="C37" s="391"/>
      <c r="D37" s="392"/>
      <c r="E37" s="393"/>
      <c r="F37" s="394"/>
      <c r="G37" s="280"/>
      <c r="H37" s="280"/>
      <c r="I37" s="280"/>
      <c r="J37" s="280"/>
      <c r="K37" s="280"/>
      <c r="L37" s="280"/>
      <c r="M37" s="280"/>
      <c r="N37" s="280"/>
    </row>
    <row r="38" spans="1:14">
      <c r="A38" s="384"/>
      <c r="B38" s="385"/>
      <c r="C38" s="385"/>
      <c r="D38" s="386"/>
      <c r="E38" s="387"/>
      <c r="F38" s="388"/>
      <c r="G38" s="269"/>
      <c r="H38" s="269"/>
      <c r="I38" s="269"/>
      <c r="J38" s="269"/>
      <c r="K38" s="269"/>
      <c r="L38" s="269"/>
      <c r="M38" s="269"/>
      <c r="N38" s="269"/>
    </row>
    <row r="39" spans="1:14" s="100" customFormat="1">
      <c r="A39" s="114"/>
      <c r="B39" s="114"/>
      <c r="C39" s="114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</row>
    <row r="40" spans="1:14" s="100" customFormat="1">
      <c r="A40" s="114"/>
      <c r="B40" s="114"/>
      <c r="C40" s="114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</row>
    <row r="41" spans="1:14" s="100" customFormat="1">
      <c r="A41" s="114"/>
      <c r="B41" s="114"/>
      <c r="C41" s="114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</row>
    <row r="42" spans="1:14" s="100" customFormat="1">
      <c r="A42" s="114"/>
      <c r="B42" s="114"/>
      <c r="C42" s="114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 s="100" customFormat="1">
      <c r="A43" s="114"/>
      <c r="B43" s="114"/>
      <c r="C43" s="114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</row>
    <row r="44" spans="1:14" s="100" customFormat="1">
      <c r="A44" s="114"/>
      <c r="B44" s="114"/>
      <c r="C44" s="114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</row>
    <row r="45" spans="1:14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100" t="s">
        <v>1293</v>
      </c>
      <c r="N45" s="58"/>
    </row>
    <row r="46" spans="1:14" ht="15.75">
      <c r="A46" s="190" t="s">
        <v>255</v>
      </c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</row>
    <row r="47" spans="1:14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</row>
    <row r="48" spans="1:14" ht="50.1" customHeight="1">
      <c r="A48" s="297" t="s">
        <v>288</v>
      </c>
      <c r="B48" s="297"/>
      <c r="C48" s="297"/>
      <c r="D48" s="62" t="s">
        <v>217</v>
      </c>
      <c r="E48" s="297" t="s">
        <v>566</v>
      </c>
      <c r="F48" s="297"/>
      <c r="G48" s="297" t="s">
        <v>970</v>
      </c>
      <c r="H48" s="297"/>
      <c r="I48" s="297" t="s">
        <v>124</v>
      </c>
      <c r="J48" s="297"/>
      <c r="K48" s="297"/>
      <c r="L48" s="297" t="s">
        <v>203</v>
      </c>
      <c r="M48" s="297"/>
      <c r="N48" s="297"/>
    </row>
    <row r="49" spans="1:14">
      <c r="A49" s="234" t="s">
        <v>832</v>
      </c>
      <c r="B49" s="234"/>
      <c r="C49" s="234"/>
      <c r="D49" s="63" t="s">
        <v>36</v>
      </c>
      <c r="E49" s="234" t="s">
        <v>647</v>
      </c>
      <c r="F49" s="234"/>
      <c r="G49" s="234" t="s">
        <v>236</v>
      </c>
      <c r="H49" s="234"/>
      <c r="I49" s="234" t="s">
        <v>741</v>
      </c>
      <c r="J49" s="234"/>
      <c r="K49" s="234"/>
      <c r="L49" s="234" t="s">
        <v>139</v>
      </c>
      <c r="M49" s="234"/>
      <c r="N49" s="234"/>
    </row>
    <row r="50" spans="1:14">
      <c r="A50" s="395" t="s">
        <v>184</v>
      </c>
      <c r="B50" s="396"/>
      <c r="C50" s="396"/>
      <c r="D50" s="396"/>
      <c r="E50" s="396"/>
      <c r="F50" s="396"/>
      <c r="G50" s="396"/>
      <c r="H50" s="396"/>
      <c r="I50" s="396"/>
      <c r="J50" s="396"/>
      <c r="K50" s="396"/>
      <c r="L50" s="396"/>
      <c r="M50" s="396"/>
      <c r="N50" s="397"/>
    </row>
    <row r="51" spans="1:14">
      <c r="A51" s="238" t="s">
        <v>1155</v>
      </c>
      <c r="B51" s="238"/>
      <c r="C51" s="238"/>
      <c r="D51" s="61"/>
      <c r="E51" s="238"/>
      <c r="F51" s="238"/>
      <c r="G51" s="238"/>
      <c r="H51" s="238"/>
      <c r="I51" s="238"/>
      <c r="J51" s="238"/>
      <c r="K51" s="238"/>
      <c r="L51" s="238"/>
      <c r="M51" s="238"/>
      <c r="N51" s="238"/>
    </row>
    <row r="52" spans="1:14">
      <c r="A52" s="238"/>
      <c r="B52" s="238"/>
      <c r="C52" s="238"/>
      <c r="D52" s="61"/>
      <c r="E52" s="238"/>
      <c r="F52" s="238"/>
      <c r="G52" s="238"/>
      <c r="H52" s="238"/>
      <c r="I52" s="238"/>
      <c r="J52" s="238"/>
      <c r="K52" s="238"/>
      <c r="L52" s="238"/>
      <c r="M52" s="238"/>
      <c r="N52" s="238"/>
    </row>
    <row r="53" spans="1:14">
      <c r="A53" s="307" t="s">
        <v>385</v>
      </c>
      <c r="B53" s="398"/>
      <c r="C53" s="398"/>
      <c r="D53" s="398"/>
      <c r="E53" s="398"/>
      <c r="F53" s="398"/>
      <c r="G53" s="398"/>
      <c r="H53" s="398"/>
      <c r="I53" s="398"/>
      <c r="J53" s="398"/>
      <c r="K53" s="398"/>
      <c r="L53" s="398"/>
      <c r="M53" s="398"/>
      <c r="N53" s="399"/>
    </row>
    <row r="54" spans="1:14">
      <c r="A54" s="238" t="s">
        <v>1155</v>
      </c>
      <c r="B54" s="238"/>
      <c r="C54" s="238"/>
      <c r="D54" s="61"/>
      <c r="E54" s="238"/>
      <c r="F54" s="238"/>
      <c r="G54" s="238"/>
      <c r="H54" s="238"/>
      <c r="I54" s="238"/>
      <c r="J54" s="238"/>
      <c r="K54" s="238"/>
      <c r="L54" s="238"/>
      <c r="M54" s="238"/>
      <c r="N54" s="238"/>
    </row>
    <row r="55" spans="1:14">
      <c r="A55" s="238"/>
      <c r="B55" s="238"/>
      <c r="C55" s="238"/>
      <c r="D55" s="61"/>
      <c r="E55" s="238"/>
      <c r="F55" s="238"/>
      <c r="G55" s="238"/>
      <c r="H55" s="238"/>
      <c r="I55" s="238"/>
      <c r="J55" s="238"/>
      <c r="K55" s="238"/>
      <c r="L55" s="238"/>
      <c r="M55" s="238"/>
      <c r="N55" s="238"/>
    </row>
    <row r="56" spans="1:14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</row>
    <row r="57" spans="1:14" ht="15.75">
      <c r="A57" s="190" t="s">
        <v>628</v>
      </c>
      <c r="B57" s="190"/>
      <c r="C57" s="190"/>
      <c r="D57" s="190"/>
      <c r="E57" s="190"/>
      <c r="F57" s="190"/>
      <c r="G57" s="190"/>
      <c r="H57" s="190"/>
      <c r="I57" s="190"/>
      <c r="J57" s="190"/>
      <c r="K57" s="190"/>
      <c r="L57" s="190"/>
      <c r="M57" s="190"/>
      <c r="N57" s="190"/>
    </row>
    <row r="58" spans="1:14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</row>
    <row r="59" spans="1:14" ht="50.1" customHeight="1">
      <c r="A59" s="297" t="s">
        <v>288</v>
      </c>
      <c r="B59" s="297"/>
      <c r="C59" s="297"/>
      <c r="D59" s="62" t="s">
        <v>217</v>
      </c>
      <c r="E59" s="297" t="s">
        <v>566</v>
      </c>
      <c r="F59" s="297"/>
      <c r="G59" s="297" t="s">
        <v>970</v>
      </c>
      <c r="H59" s="297"/>
      <c r="I59" s="297" t="s">
        <v>124</v>
      </c>
      <c r="J59" s="297"/>
      <c r="K59" s="297"/>
      <c r="L59" s="297" t="s">
        <v>203</v>
      </c>
      <c r="M59" s="297"/>
      <c r="N59" s="297"/>
    </row>
    <row r="60" spans="1:14">
      <c r="A60" s="234" t="s">
        <v>832</v>
      </c>
      <c r="B60" s="234"/>
      <c r="C60" s="234"/>
      <c r="D60" s="63" t="s">
        <v>36</v>
      </c>
      <c r="E60" s="234" t="s">
        <v>647</v>
      </c>
      <c r="F60" s="234"/>
      <c r="G60" s="234" t="s">
        <v>236</v>
      </c>
      <c r="H60" s="234"/>
      <c r="I60" s="234" t="s">
        <v>741</v>
      </c>
      <c r="J60" s="234"/>
      <c r="K60" s="234"/>
      <c r="L60" s="234" t="s">
        <v>139</v>
      </c>
      <c r="M60" s="234"/>
      <c r="N60" s="234"/>
    </row>
    <row r="61" spans="1:14">
      <c r="A61" s="395" t="s">
        <v>793</v>
      </c>
      <c r="B61" s="396"/>
      <c r="C61" s="396"/>
      <c r="D61" s="396"/>
      <c r="E61" s="396"/>
      <c r="F61" s="396"/>
      <c r="G61" s="396"/>
      <c r="H61" s="396"/>
      <c r="I61" s="396"/>
      <c r="J61" s="396"/>
      <c r="K61" s="396"/>
      <c r="L61" s="396"/>
      <c r="M61" s="396"/>
      <c r="N61" s="397"/>
    </row>
    <row r="62" spans="1:14">
      <c r="A62" s="238"/>
      <c r="B62" s="238"/>
      <c r="C62" s="238"/>
      <c r="D62" s="93"/>
      <c r="E62" s="238"/>
      <c r="F62" s="238"/>
      <c r="G62" s="400"/>
      <c r="H62" s="238"/>
      <c r="I62" s="238"/>
      <c r="J62" s="238"/>
      <c r="K62" s="238"/>
      <c r="L62" s="238"/>
      <c r="M62" s="238"/>
      <c r="N62" s="238"/>
    </row>
    <row r="63" spans="1:14">
      <c r="A63" s="238"/>
      <c r="B63" s="238"/>
      <c r="C63" s="238"/>
      <c r="D63" s="61"/>
      <c r="E63" s="238"/>
      <c r="F63" s="238"/>
      <c r="G63" s="238"/>
      <c r="H63" s="238"/>
      <c r="I63" s="238"/>
      <c r="J63" s="238"/>
      <c r="K63" s="238"/>
      <c r="L63" s="238"/>
      <c r="M63" s="238"/>
      <c r="N63" s="238"/>
    </row>
    <row r="64" spans="1:14">
      <c r="A64" s="307" t="s">
        <v>913</v>
      </c>
      <c r="B64" s="398"/>
      <c r="C64" s="398"/>
      <c r="D64" s="398"/>
      <c r="E64" s="398"/>
      <c r="F64" s="398"/>
      <c r="G64" s="398"/>
      <c r="H64" s="398"/>
      <c r="I64" s="398"/>
      <c r="J64" s="398"/>
      <c r="K64" s="398"/>
      <c r="L64" s="398"/>
      <c r="M64" s="398"/>
      <c r="N64" s="399"/>
    </row>
    <row r="65" spans="1:14">
      <c r="A65" s="238"/>
      <c r="B65" s="238"/>
      <c r="C65" s="238"/>
      <c r="D65" s="93" t="s">
        <v>1264</v>
      </c>
      <c r="E65" s="238">
        <v>0</v>
      </c>
      <c r="F65" s="238"/>
      <c r="G65" s="400">
        <v>39813</v>
      </c>
      <c r="H65" s="238"/>
      <c r="I65" s="238">
        <v>56986</v>
      </c>
      <c r="J65" s="238"/>
      <c r="K65" s="238"/>
      <c r="L65" s="238">
        <v>62984</v>
      </c>
      <c r="M65" s="238"/>
      <c r="N65" s="238"/>
    </row>
    <row r="66" spans="1:14">
      <c r="A66" s="238"/>
      <c r="B66" s="238"/>
      <c r="C66" s="238"/>
      <c r="D66" s="93" t="s">
        <v>1264</v>
      </c>
      <c r="E66" s="238">
        <v>0</v>
      </c>
      <c r="F66" s="238"/>
      <c r="G66" s="400">
        <v>39813</v>
      </c>
      <c r="H66" s="238"/>
      <c r="I66" s="238">
        <v>56986</v>
      </c>
      <c r="J66" s="238"/>
      <c r="K66" s="238"/>
      <c r="L66" s="238">
        <v>62984</v>
      </c>
      <c r="M66" s="238"/>
      <c r="N66" s="238"/>
    </row>
    <row r="67" spans="1:14">
      <c r="A67" s="238"/>
      <c r="B67" s="238"/>
      <c r="C67" s="238"/>
      <c r="D67" s="93" t="s">
        <v>1264</v>
      </c>
      <c r="E67" s="238">
        <v>0</v>
      </c>
      <c r="F67" s="238"/>
      <c r="G67" s="400">
        <v>40543</v>
      </c>
      <c r="H67" s="238"/>
      <c r="I67" s="238">
        <v>82985</v>
      </c>
      <c r="J67" s="238"/>
      <c r="K67" s="238"/>
      <c r="L67" s="238">
        <v>82985</v>
      </c>
      <c r="M67" s="238"/>
      <c r="N67" s="238"/>
    </row>
    <row r="68" spans="1:14">
      <c r="A68" s="238"/>
      <c r="B68" s="238"/>
      <c r="C68" s="238"/>
      <c r="D68" s="93" t="s">
        <v>1264</v>
      </c>
      <c r="E68" s="238">
        <v>0</v>
      </c>
      <c r="F68" s="238"/>
      <c r="G68" s="400">
        <v>40543</v>
      </c>
      <c r="H68" s="238"/>
      <c r="I68" s="238">
        <v>82985</v>
      </c>
      <c r="J68" s="238"/>
      <c r="K68" s="238"/>
      <c r="L68" s="238">
        <v>82985</v>
      </c>
      <c r="M68" s="238"/>
      <c r="N68" s="238"/>
    </row>
    <row r="69" spans="1:14">
      <c r="A69" s="307" t="s">
        <v>106</v>
      </c>
      <c r="B69" s="398"/>
      <c r="C69" s="398"/>
      <c r="D69" s="398"/>
      <c r="E69" s="398"/>
      <c r="F69" s="398"/>
      <c r="G69" s="398"/>
      <c r="H69" s="398"/>
      <c r="I69" s="398"/>
      <c r="J69" s="398"/>
      <c r="K69" s="398"/>
      <c r="L69" s="398"/>
      <c r="M69" s="398"/>
      <c r="N69" s="399"/>
    </row>
    <row r="70" spans="1:14">
      <c r="A70" s="238"/>
      <c r="B70" s="238"/>
      <c r="C70" s="238"/>
      <c r="D70" s="93"/>
      <c r="E70" s="238"/>
      <c r="F70" s="238"/>
      <c r="G70" s="238"/>
      <c r="H70" s="238"/>
      <c r="I70" s="238"/>
      <c r="J70" s="238"/>
      <c r="K70" s="238"/>
      <c r="L70" s="238"/>
      <c r="M70" s="238"/>
      <c r="N70" s="238"/>
    </row>
    <row r="72" spans="1:14">
      <c r="M72" s="100"/>
    </row>
    <row r="90" spans="13:13">
      <c r="M90" s="100" t="s">
        <v>1294</v>
      </c>
    </row>
  </sheetData>
  <mergeCells count="166">
    <mergeCell ref="A69:N69"/>
    <mergeCell ref="A70:C70"/>
    <mergeCell ref="E70:F70"/>
    <mergeCell ref="G70:H70"/>
    <mergeCell ref="I70:K70"/>
    <mergeCell ref="L70:N70"/>
    <mergeCell ref="A68:C68"/>
    <mergeCell ref="E68:F68"/>
    <mergeCell ref="G68:H68"/>
    <mergeCell ref="I68:K68"/>
    <mergeCell ref="L68:N68"/>
    <mergeCell ref="A67:C67"/>
    <mergeCell ref="E67:F67"/>
    <mergeCell ref="G67:H67"/>
    <mergeCell ref="I67:K67"/>
    <mergeCell ref="L67:N67"/>
    <mergeCell ref="A64:N64"/>
    <mergeCell ref="A65:C65"/>
    <mergeCell ref="E65:F65"/>
    <mergeCell ref="G65:H65"/>
    <mergeCell ref="I65:K65"/>
    <mergeCell ref="L65:N65"/>
    <mergeCell ref="A66:C66"/>
    <mergeCell ref="E66:F66"/>
    <mergeCell ref="G66:H66"/>
    <mergeCell ref="I66:K66"/>
    <mergeCell ref="L66:N66"/>
    <mergeCell ref="A61:N61"/>
    <mergeCell ref="A62:C62"/>
    <mergeCell ref="E62:F62"/>
    <mergeCell ref="G62:H62"/>
    <mergeCell ref="I62:K62"/>
    <mergeCell ref="L62:N62"/>
    <mergeCell ref="A63:C63"/>
    <mergeCell ref="E63:F63"/>
    <mergeCell ref="G63:H63"/>
    <mergeCell ref="I63:K63"/>
    <mergeCell ref="L63:N63"/>
    <mergeCell ref="A57:N57"/>
    <mergeCell ref="A59:C59"/>
    <mergeCell ref="E59:F59"/>
    <mergeCell ref="G59:H59"/>
    <mergeCell ref="I59:K59"/>
    <mergeCell ref="L59:N59"/>
    <mergeCell ref="A60:C60"/>
    <mergeCell ref="E60:F60"/>
    <mergeCell ref="G60:H60"/>
    <mergeCell ref="I60:K60"/>
    <mergeCell ref="L60:N60"/>
    <mergeCell ref="A53:N53"/>
    <mergeCell ref="A54:C54"/>
    <mergeCell ref="E54:F54"/>
    <mergeCell ref="G54:H54"/>
    <mergeCell ref="I54:K54"/>
    <mergeCell ref="L54:N54"/>
    <mergeCell ref="A55:C55"/>
    <mergeCell ref="E55:F55"/>
    <mergeCell ref="G55:H55"/>
    <mergeCell ref="I55:K55"/>
    <mergeCell ref="L55:N55"/>
    <mergeCell ref="A50:N50"/>
    <mergeCell ref="A51:C51"/>
    <mergeCell ref="E51:F51"/>
    <mergeCell ref="G51:H51"/>
    <mergeCell ref="I51:K51"/>
    <mergeCell ref="L51:N51"/>
    <mergeCell ref="A52:C52"/>
    <mergeCell ref="E52:F52"/>
    <mergeCell ref="G52:H52"/>
    <mergeCell ref="I52:K52"/>
    <mergeCell ref="L52:N52"/>
    <mergeCell ref="M37:N37"/>
    <mergeCell ref="A46:N46"/>
    <mergeCell ref="A48:C48"/>
    <mergeCell ref="E48:F48"/>
    <mergeCell ref="G48:H48"/>
    <mergeCell ref="I48:K48"/>
    <mergeCell ref="L48:N48"/>
    <mergeCell ref="A49:C49"/>
    <mergeCell ref="E49:F49"/>
    <mergeCell ref="G49:H49"/>
    <mergeCell ref="I49:K49"/>
    <mergeCell ref="L49:N49"/>
    <mergeCell ref="A31:F31"/>
    <mergeCell ref="G31:J31"/>
    <mergeCell ref="K31:N31"/>
    <mergeCell ref="A32:F32"/>
    <mergeCell ref="G32:J32"/>
    <mergeCell ref="K32:N32"/>
    <mergeCell ref="A38:C38"/>
    <mergeCell ref="D38:F38"/>
    <mergeCell ref="G38:H38"/>
    <mergeCell ref="I38:J38"/>
    <mergeCell ref="K38:L38"/>
    <mergeCell ref="M38:N38"/>
    <mergeCell ref="A34:N34"/>
    <mergeCell ref="A36:C36"/>
    <mergeCell ref="D36:F36"/>
    <mergeCell ref="G36:H36"/>
    <mergeCell ref="I36:J36"/>
    <mergeCell ref="K36:L36"/>
    <mergeCell ref="M36:N36"/>
    <mergeCell ref="A37:C37"/>
    <mergeCell ref="D37:F37"/>
    <mergeCell ref="G37:H37"/>
    <mergeCell ref="I37:J37"/>
    <mergeCell ref="K37:L37"/>
    <mergeCell ref="A28:F28"/>
    <mergeCell ref="G28:J28"/>
    <mergeCell ref="K28:N28"/>
    <mergeCell ref="A29:F29"/>
    <mergeCell ref="G29:J29"/>
    <mergeCell ref="K29:N29"/>
    <mergeCell ref="A30:F30"/>
    <mergeCell ref="G30:J30"/>
    <mergeCell ref="K30:N30"/>
    <mergeCell ref="A20:N20"/>
    <mergeCell ref="A23:N23"/>
    <mergeCell ref="A25:F25"/>
    <mergeCell ref="G25:J25"/>
    <mergeCell ref="K25:N25"/>
    <mergeCell ref="A26:F26"/>
    <mergeCell ref="G26:J26"/>
    <mergeCell ref="K26:N26"/>
    <mergeCell ref="A27:F27"/>
    <mergeCell ref="G27:J27"/>
    <mergeCell ref="K27:N27"/>
    <mergeCell ref="A16:F16"/>
    <mergeCell ref="G16:J16"/>
    <mergeCell ref="K16:N16"/>
    <mergeCell ref="A17:F17"/>
    <mergeCell ref="G17:J17"/>
    <mergeCell ref="K17:N17"/>
    <mergeCell ref="A18:F18"/>
    <mergeCell ref="G18:J18"/>
    <mergeCell ref="K18:N18"/>
    <mergeCell ref="A9:F9"/>
    <mergeCell ref="G9:J9"/>
    <mergeCell ref="K9:N9"/>
    <mergeCell ref="A11:N11"/>
    <mergeCell ref="A13:F14"/>
    <mergeCell ref="G13:N13"/>
    <mergeCell ref="G14:J14"/>
    <mergeCell ref="K14:N14"/>
    <mergeCell ref="A15:F15"/>
    <mergeCell ref="G15:J15"/>
    <mergeCell ref="K15:N15"/>
    <mergeCell ref="A6:F6"/>
    <mergeCell ref="G6:J6"/>
    <mergeCell ref="K6:N6"/>
    <mergeCell ref="A7:F7"/>
    <mergeCell ref="G7:J7"/>
    <mergeCell ref="K7:N7"/>
    <mergeCell ref="A8:F8"/>
    <mergeCell ref="G8:J8"/>
    <mergeCell ref="K8:N8"/>
    <mergeCell ref="A1:N1"/>
    <mergeCell ref="A3:F3"/>
    <mergeCell ref="G3:J3"/>
    <mergeCell ref="K3:N3"/>
    <mergeCell ref="A4:F4"/>
    <mergeCell ref="G4:J4"/>
    <mergeCell ref="K4:N4"/>
    <mergeCell ref="A5:F5"/>
    <mergeCell ref="G5:J5"/>
    <mergeCell ref="K5:N5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5"/>
  <cols>
    <col min="1" max="14" width="6" customWidth="1"/>
  </cols>
  <sheetData>
    <row r="1" spans="1:14" s="60" customFormat="1">
      <c r="A1" s="92" t="s">
        <v>1155</v>
      </c>
    </row>
    <row r="2" spans="1:14" ht="15.75">
      <c r="A2" s="350" t="s">
        <v>828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</row>
    <row r="3" spans="1:14" ht="39.950000000000003" customHeight="1">
      <c r="A3" s="252" t="s">
        <v>288</v>
      </c>
      <c r="B3" s="252"/>
      <c r="C3" s="252"/>
      <c r="D3" s="252"/>
      <c r="E3" s="252"/>
      <c r="F3" s="252"/>
      <c r="G3" s="252"/>
      <c r="H3" s="252"/>
      <c r="I3" s="252" t="s">
        <v>319</v>
      </c>
      <c r="J3" s="252"/>
      <c r="K3" s="252"/>
      <c r="L3" s="252" t="s">
        <v>339</v>
      </c>
      <c r="M3" s="252"/>
      <c r="N3" s="252"/>
    </row>
    <row r="4" spans="1:14" ht="15" customHeight="1">
      <c r="A4" s="402" t="s">
        <v>480</v>
      </c>
      <c r="B4" s="402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2"/>
      <c r="N4" s="402"/>
    </row>
    <row r="5" spans="1:14" s="60" customFormat="1">
      <c r="A5" s="381"/>
      <c r="B5" s="381"/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</row>
    <row r="6" spans="1:14" s="60" customFormat="1">
      <c r="A6" s="381"/>
      <c r="B6" s="381"/>
      <c r="C6" s="381"/>
      <c r="D6" s="381"/>
      <c r="E6" s="381"/>
      <c r="F6" s="381"/>
      <c r="G6" s="381"/>
      <c r="H6" s="381"/>
      <c r="I6" s="381"/>
      <c r="J6" s="381"/>
      <c r="K6" s="381"/>
      <c r="L6" s="381"/>
      <c r="M6" s="381"/>
      <c r="N6" s="381"/>
    </row>
    <row r="7" spans="1:14">
      <c r="A7" s="351" t="s">
        <v>63</v>
      </c>
      <c r="B7" s="351"/>
      <c r="C7" s="351"/>
      <c r="D7" s="351"/>
      <c r="E7" s="351"/>
      <c r="F7" s="351"/>
      <c r="G7" s="351"/>
      <c r="H7" s="351"/>
      <c r="I7" s="238"/>
      <c r="J7" s="238"/>
      <c r="K7" s="238"/>
      <c r="L7" s="238"/>
      <c r="M7" s="238"/>
      <c r="N7" s="238"/>
    </row>
    <row r="8" spans="1:14">
      <c r="A8" s="351"/>
      <c r="B8" s="351"/>
      <c r="C8" s="351"/>
      <c r="D8" s="351"/>
      <c r="E8" s="351"/>
      <c r="F8" s="351"/>
      <c r="G8" s="351"/>
      <c r="H8" s="351"/>
      <c r="I8" s="238"/>
      <c r="J8" s="238"/>
      <c r="K8" s="238"/>
      <c r="L8" s="238"/>
      <c r="M8" s="238"/>
      <c r="N8" s="238"/>
    </row>
    <row r="9" spans="1:14">
      <c r="A9" s="351"/>
      <c r="B9" s="351"/>
      <c r="C9" s="351"/>
      <c r="D9" s="351"/>
      <c r="E9" s="351"/>
      <c r="F9" s="351"/>
      <c r="G9" s="351"/>
      <c r="H9" s="351"/>
      <c r="I9" s="238"/>
      <c r="J9" s="238"/>
      <c r="K9" s="238"/>
      <c r="L9" s="238"/>
      <c r="M9" s="238"/>
      <c r="N9" s="238"/>
    </row>
    <row r="10" spans="1:14">
      <c r="A10" s="351" t="s">
        <v>542</v>
      </c>
      <c r="B10" s="351"/>
      <c r="C10" s="351"/>
      <c r="D10" s="351"/>
      <c r="E10" s="351"/>
      <c r="F10" s="351"/>
      <c r="G10" s="351"/>
      <c r="H10" s="351"/>
      <c r="I10" s="238"/>
      <c r="J10" s="238"/>
      <c r="K10" s="238"/>
      <c r="L10" s="238"/>
      <c r="M10" s="238"/>
      <c r="N10" s="238"/>
    </row>
    <row r="11" spans="1:14">
      <c r="A11" s="351"/>
      <c r="B11" s="351"/>
      <c r="C11" s="351"/>
      <c r="D11" s="351"/>
      <c r="E11" s="351"/>
      <c r="F11" s="351"/>
      <c r="G11" s="351"/>
      <c r="H11" s="351"/>
      <c r="I11" s="238"/>
      <c r="J11" s="238"/>
      <c r="K11" s="238"/>
      <c r="L11" s="238"/>
      <c r="M11" s="238"/>
      <c r="N11" s="238"/>
    </row>
    <row r="12" spans="1:14">
      <c r="A12" s="351"/>
      <c r="B12" s="351"/>
      <c r="C12" s="351"/>
      <c r="D12" s="351"/>
      <c r="E12" s="351"/>
      <c r="F12" s="351"/>
      <c r="G12" s="351"/>
      <c r="H12" s="351"/>
      <c r="I12" s="238"/>
      <c r="J12" s="238"/>
      <c r="K12" s="238"/>
      <c r="L12" s="238"/>
      <c r="M12" s="238"/>
      <c r="N12" s="238"/>
    </row>
    <row r="13" spans="1:14">
      <c r="A13" s="351" t="s">
        <v>66</v>
      </c>
      <c r="B13" s="351"/>
      <c r="C13" s="351"/>
      <c r="D13" s="351"/>
      <c r="E13" s="351"/>
      <c r="F13" s="351"/>
      <c r="G13" s="351"/>
      <c r="H13" s="351"/>
      <c r="I13" s="238"/>
      <c r="J13" s="238"/>
      <c r="K13" s="238"/>
      <c r="L13" s="238"/>
      <c r="M13" s="238"/>
      <c r="N13" s="238"/>
    </row>
    <row r="14" spans="1:14">
      <c r="A14" s="351"/>
      <c r="B14" s="351"/>
      <c r="C14" s="351"/>
      <c r="D14" s="351"/>
      <c r="E14" s="351"/>
      <c r="F14" s="351"/>
      <c r="G14" s="351"/>
      <c r="H14" s="351"/>
      <c r="I14" s="238"/>
      <c r="J14" s="238"/>
      <c r="K14" s="238"/>
      <c r="L14" s="238"/>
      <c r="M14" s="238"/>
      <c r="N14" s="238"/>
    </row>
    <row r="15" spans="1:14">
      <c r="A15" s="351"/>
      <c r="B15" s="351"/>
      <c r="C15" s="351"/>
      <c r="D15" s="351"/>
      <c r="E15" s="351"/>
      <c r="F15" s="351"/>
      <c r="G15" s="351"/>
      <c r="H15" s="351"/>
      <c r="I15" s="238"/>
      <c r="J15" s="238"/>
      <c r="K15" s="238"/>
      <c r="L15" s="238"/>
      <c r="M15" s="238"/>
      <c r="N15" s="238"/>
    </row>
    <row r="17" spans="1:14" ht="15.75">
      <c r="A17" s="350" t="s">
        <v>874</v>
      </c>
      <c r="B17" s="350"/>
      <c r="C17" s="350"/>
      <c r="D17" s="350"/>
      <c r="E17" s="350"/>
      <c r="F17" s="350"/>
      <c r="G17" s="350"/>
      <c r="H17" s="350"/>
      <c r="I17" s="350"/>
      <c r="J17" s="350"/>
      <c r="K17" s="350"/>
      <c r="L17" s="350"/>
      <c r="M17" s="350"/>
      <c r="N17" s="350"/>
    </row>
    <row r="18" spans="1:14" s="60" customFormat="1">
      <c r="A18" s="233" t="s">
        <v>288</v>
      </c>
      <c r="B18" s="233"/>
      <c r="C18" s="233"/>
      <c r="D18" s="233"/>
      <c r="E18" s="233"/>
      <c r="F18" s="233"/>
      <c r="G18" s="233"/>
      <c r="H18" s="233" t="s">
        <v>871</v>
      </c>
      <c r="I18" s="233"/>
      <c r="J18" s="233"/>
      <c r="K18" s="233"/>
      <c r="L18" s="233" t="s">
        <v>831</v>
      </c>
      <c r="M18" s="233"/>
      <c r="N18" s="233"/>
    </row>
    <row r="19" spans="1:14" ht="15.75" customHeight="1">
      <c r="A19" s="297"/>
      <c r="B19" s="297"/>
      <c r="C19" s="297"/>
      <c r="D19" s="297"/>
      <c r="E19" s="297"/>
      <c r="F19" s="297"/>
      <c r="G19" s="297"/>
      <c r="H19" s="297" t="s">
        <v>1100</v>
      </c>
      <c r="I19" s="297"/>
      <c r="J19" s="297" t="s">
        <v>692</v>
      </c>
      <c r="K19" s="297"/>
      <c r="L19" s="297"/>
      <c r="M19" s="297"/>
      <c r="N19" s="297"/>
    </row>
    <row r="20" spans="1:14" ht="15.75" customHeight="1">
      <c r="A20" s="336" t="s">
        <v>832</v>
      </c>
      <c r="B20" s="336"/>
      <c r="C20" s="336"/>
      <c r="D20" s="336"/>
      <c r="E20" s="336"/>
      <c r="F20" s="336"/>
      <c r="G20" s="336"/>
      <c r="H20" s="336" t="s">
        <v>36</v>
      </c>
      <c r="I20" s="336"/>
      <c r="J20" s="336" t="s">
        <v>647</v>
      </c>
      <c r="K20" s="336"/>
      <c r="L20" s="336" t="s">
        <v>236</v>
      </c>
      <c r="M20" s="336"/>
      <c r="N20" s="336"/>
    </row>
    <row r="21" spans="1:14" ht="15" customHeight="1">
      <c r="A21" s="354" t="s">
        <v>1034</v>
      </c>
      <c r="B21" s="354"/>
      <c r="C21" s="354"/>
      <c r="D21" s="354"/>
      <c r="E21" s="354"/>
      <c r="F21" s="354"/>
      <c r="G21" s="354"/>
      <c r="H21" s="414"/>
      <c r="I21" s="414"/>
      <c r="J21" s="414"/>
      <c r="K21" s="414"/>
      <c r="L21" s="411"/>
      <c r="M21" s="412"/>
      <c r="N21" s="413"/>
    </row>
    <row r="22" spans="1:14">
      <c r="A22" s="351"/>
      <c r="B22" s="351"/>
      <c r="C22" s="351"/>
      <c r="D22" s="351"/>
      <c r="E22" s="351"/>
      <c r="F22" s="351"/>
      <c r="G22" s="351"/>
      <c r="H22" s="407"/>
      <c r="I22" s="407"/>
      <c r="J22" s="407"/>
      <c r="K22" s="407"/>
      <c r="L22" s="408"/>
      <c r="M22" s="409"/>
      <c r="N22" s="410"/>
    </row>
    <row r="23" spans="1:14">
      <c r="A23" s="351"/>
      <c r="B23" s="351"/>
      <c r="C23" s="351"/>
      <c r="D23" s="351"/>
      <c r="E23" s="351"/>
      <c r="F23" s="351"/>
      <c r="G23" s="351"/>
      <c r="H23" s="407"/>
      <c r="I23" s="407"/>
      <c r="J23" s="407"/>
      <c r="K23" s="407"/>
      <c r="L23" s="408"/>
      <c r="M23" s="409"/>
      <c r="N23" s="410"/>
    </row>
    <row r="24" spans="1:14" ht="15" customHeight="1">
      <c r="A24" s="351"/>
      <c r="B24" s="351"/>
      <c r="C24" s="351"/>
      <c r="D24" s="351"/>
      <c r="E24" s="351"/>
      <c r="F24" s="351"/>
      <c r="G24" s="351"/>
      <c r="H24" s="407"/>
      <c r="I24" s="407"/>
      <c r="J24" s="273"/>
      <c r="K24" s="273"/>
      <c r="L24" s="404"/>
      <c r="M24" s="405"/>
      <c r="N24" s="406"/>
    </row>
    <row r="25" spans="1:14">
      <c r="A25" s="351"/>
      <c r="B25" s="351"/>
      <c r="C25" s="351"/>
      <c r="D25" s="351"/>
      <c r="E25" s="351"/>
      <c r="F25" s="351"/>
      <c r="G25" s="351"/>
      <c r="H25" s="407"/>
      <c r="I25" s="407"/>
      <c r="J25" s="273"/>
      <c r="K25" s="273"/>
      <c r="L25" s="404"/>
      <c r="M25" s="405"/>
      <c r="N25" s="406"/>
    </row>
    <row r="26" spans="1:14">
      <c r="A26" s="351" t="s">
        <v>1012</v>
      </c>
      <c r="B26" s="351"/>
      <c r="C26" s="351"/>
      <c r="D26" s="351"/>
      <c r="E26" s="351"/>
      <c r="F26" s="351"/>
      <c r="G26" s="351"/>
      <c r="H26" s="407"/>
      <c r="I26" s="407"/>
      <c r="J26" s="273"/>
      <c r="K26" s="273"/>
      <c r="L26" s="404"/>
      <c r="M26" s="405"/>
      <c r="N26" s="406"/>
    </row>
    <row r="27" spans="1:14" ht="15" customHeight="1">
      <c r="A27" s="351"/>
      <c r="B27" s="351"/>
      <c r="C27" s="351"/>
      <c r="D27" s="351"/>
      <c r="E27" s="351"/>
      <c r="F27" s="351"/>
      <c r="G27" s="351"/>
      <c r="H27" s="407"/>
      <c r="I27" s="407"/>
      <c r="J27" s="273"/>
      <c r="K27" s="273"/>
      <c r="L27" s="404"/>
      <c r="M27" s="405"/>
      <c r="N27" s="406"/>
    </row>
    <row r="28" spans="1:14">
      <c r="A28" s="351"/>
      <c r="B28" s="351"/>
      <c r="C28" s="351"/>
      <c r="D28" s="351"/>
      <c r="E28" s="351"/>
      <c r="F28" s="351"/>
      <c r="G28" s="351"/>
      <c r="H28" s="407"/>
      <c r="I28" s="407"/>
      <c r="J28" s="273"/>
      <c r="K28" s="273"/>
      <c r="L28" s="404"/>
      <c r="M28" s="405"/>
      <c r="N28" s="406"/>
    </row>
    <row r="29" spans="1:14">
      <c r="A29" s="351"/>
      <c r="B29" s="351"/>
      <c r="C29" s="351"/>
      <c r="D29" s="351"/>
      <c r="E29" s="351"/>
      <c r="F29" s="351"/>
      <c r="G29" s="351"/>
      <c r="H29" s="407"/>
      <c r="I29" s="407"/>
      <c r="J29" s="273"/>
      <c r="K29" s="273"/>
      <c r="L29" s="404"/>
      <c r="M29" s="405"/>
      <c r="N29" s="406"/>
    </row>
    <row r="30" spans="1:14" ht="15" customHeight="1">
      <c r="A30" s="351"/>
      <c r="B30" s="351"/>
      <c r="C30" s="351"/>
      <c r="D30" s="351"/>
      <c r="E30" s="351"/>
      <c r="F30" s="351"/>
      <c r="G30" s="351"/>
      <c r="H30" s="407"/>
      <c r="I30" s="407"/>
      <c r="J30" s="273"/>
      <c r="K30" s="273"/>
      <c r="L30" s="404"/>
      <c r="M30" s="405"/>
      <c r="N30" s="406"/>
    </row>
    <row r="32" spans="1:14" ht="15.75" customHeight="1">
      <c r="A32" s="350" t="s">
        <v>509</v>
      </c>
      <c r="B32" s="350"/>
      <c r="C32" s="350"/>
      <c r="D32" s="350"/>
      <c r="E32" s="350"/>
      <c r="F32" s="350"/>
      <c r="G32" s="350"/>
      <c r="H32" s="350"/>
      <c r="I32" s="350"/>
      <c r="J32" s="350"/>
      <c r="K32" s="350"/>
      <c r="L32" s="350"/>
      <c r="M32" s="350"/>
      <c r="N32" s="350"/>
    </row>
    <row r="33" spans="1:14" ht="24.95" customHeight="1">
      <c r="A33" s="233" t="s">
        <v>288</v>
      </c>
      <c r="B33" s="233"/>
      <c r="C33" s="233"/>
      <c r="D33" s="233"/>
      <c r="E33" s="233"/>
      <c r="F33" s="233"/>
      <c r="G33" s="233" t="s">
        <v>319</v>
      </c>
      <c r="H33" s="233"/>
      <c r="I33" s="233"/>
      <c r="J33" s="233"/>
      <c r="K33" s="233" t="s">
        <v>339</v>
      </c>
      <c r="L33" s="233"/>
      <c r="M33" s="233"/>
      <c r="N33" s="233"/>
    </row>
    <row r="34" spans="1:14" s="60" customFormat="1" ht="24.95" customHeight="1">
      <c r="A34" s="233"/>
      <c r="B34" s="233"/>
      <c r="C34" s="233"/>
      <c r="D34" s="233"/>
      <c r="E34" s="233"/>
      <c r="F34" s="233"/>
      <c r="G34" s="233" t="s">
        <v>1040</v>
      </c>
      <c r="H34" s="233"/>
      <c r="I34" s="233"/>
      <c r="J34" s="233"/>
      <c r="K34" s="233" t="s">
        <v>1040</v>
      </c>
      <c r="L34" s="233"/>
      <c r="M34" s="233"/>
      <c r="N34" s="233"/>
    </row>
    <row r="35" spans="1:14" ht="24.95" customHeight="1">
      <c r="A35" s="233"/>
      <c r="B35" s="233"/>
      <c r="C35" s="233"/>
      <c r="D35" s="233"/>
      <c r="E35" s="233"/>
      <c r="F35" s="233"/>
      <c r="G35" s="233" t="s">
        <v>914</v>
      </c>
      <c r="H35" s="233"/>
      <c r="I35" s="233" t="s">
        <v>993</v>
      </c>
      <c r="J35" s="233"/>
      <c r="K35" s="233" t="s">
        <v>914</v>
      </c>
      <c r="L35" s="233"/>
      <c r="M35" s="233" t="s">
        <v>993</v>
      </c>
      <c r="N35" s="233"/>
    </row>
    <row r="36" spans="1:14">
      <c r="A36" s="336" t="s">
        <v>832</v>
      </c>
      <c r="B36" s="336"/>
      <c r="C36" s="336"/>
      <c r="D36" s="336"/>
      <c r="E36" s="336"/>
      <c r="F36" s="336"/>
      <c r="G36" s="336" t="s">
        <v>36</v>
      </c>
      <c r="H36" s="336"/>
      <c r="I36" s="336" t="s">
        <v>647</v>
      </c>
      <c r="J36" s="336"/>
      <c r="K36" s="336" t="s">
        <v>236</v>
      </c>
      <c r="L36" s="336"/>
      <c r="M36" s="336" t="s">
        <v>741</v>
      </c>
      <c r="N36" s="336"/>
    </row>
    <row r="37" spans="1:14" ht="15" customHeight="1">
      <c r="A37" s="402" t="s">
        <v>1034</v>
      </c>
      <c r="B37" s="402"/>
      <c r="C37" s="402"/>
      <c r="D37" s="402"/>
      <c r="E37" s="402"/>
      <c r="F37" s="402"/>
      <c r="G37" s="402"/>
      <c r="H37" s="402"/>
      <c r="I37" s="402"/>
      <c r="J37" s="402"/>
      <c r="K37" s="402"/>
      <c r="L37" s="402"/>
      <c r="M37" s="402"/>
      <c r="N37" s="402"/>
    </row>
    <row r="38" spans="1:14">
      <c r="A38" s="381"/>
      <c r="B38" s="381"/>
      <c r="C38" s="381"/>
      <c r="D38" s="381"/>
      <c r="E38" s="381"/>
      <c r="F38" s="381"/>
      <c r="G38" s="381"/>
      <c r="H38" s="381"/>
      <c r="I38" s="381"/>
      <c r="J38" s="381"/>
      <c r="K38" s="381"/>
      <c r="L38" s="381"/>
      <c r="M38" s="381"/>
      <c r="N38" s="381"/>
    </row>
    <row r="39" spans="1:14">
      <c r="A39" s="381"/>
      <c r="B39" s="381"/>
      <c r="C39" s="381"/>
      <c r="D39" s="381"/>
      <c r="E39" s="381"/>
      <c r="F39" s="381"/>
      <c r="G39" s="381"/>
      <c r="H39" s="381"/>
      <c r="I39" s="381"/>
      <c r="J39" s="381"/>
      <c r="K39" s="381"/>
      <c r="L39" s="381"/>
      <c r="M39" s="381"/>
      <c r="N39" s="381"/>
    </row>
    <row r="40" spans="1:14">
      <c r="A40" s="381"/>
      <c r="B40" s="381"/>
      <c r="C40" s="381"/>
      <c r="D40" s="381"/>
      <c r="E40" s="381"/>
      <c r="F40" s="381"/>
      <c r="G40" s="381"/>
      <c r="H40" s="381"/>
      <c r="I40" s="381"/>
      <c r="J40" s="381"/>
      <c r="K40" s="236"/>
      <c r="L40" s="236"/>
      <c r="M40" s="236"/>
      <c r="N40" s="236"/>
    </row>
    <row r="41" spans="1:14">
      <c r="A41" s="381"/>
      <c r="B41" s="381"/>
      <c r="C41" s="381"/>
      <c r="D41" s="381"/>
      <c r="E41" s="381"/>
      <c r="F41" s="381"/>
      <c r="G41" s="381"/>
      <c r="H41" s="381"/>
      <c r="I41" s="381"/>
      <c r="J41" s="381"/>
      <c r="K41" s="236"/>
      <c r="L41" s="236"/>
      <c r="M41" s="236"/>
      <c r="N41" s="236"/>
    </row>
    <row r="42" spans="1:14" ht="15" customHeight="1">
      <c r="A42" s="381" t="s">
        <v>1012</v>
      </c>
      <c r="B42" s="381"/>
      <c r="C42" s="381"/>
      <c r="D42" s="381"/>
      <c r="E42" s="381"/>
      <c r="F42" s="381"/>
      <c r="G42" s="381"/>
      <c r="H42" s="381"/>
      <c r="I42" s="381"/>
      <c r="J42" s="381"/>
      <c r="K42" s="236"/>
      <c r="L42" s="236"/>
      <c r="M42" s="236"/>
      <c r="N42" s="236"/>
    </row>
    <row r="43" spans="1:14">
      <c r="A43" s="381"/>
      <c r="B43" s="381"/>
      <c r="C43" s="381"/>
      <c r="D43" s="381"/>
      <c r="E43" s="381"/>
      <c r="F43" s="381"/>
      <c r="G43" s="381"/>
      <c r="H43" s="381"/>
      <c r="I43" s="381"/>
      <c r="J43" s="381"/>
      <c r="K43" s="236"/>
      <c r="L43" s="236"/>
      <c r="M43" s="236"/>
      <c r="N43" s="236"/>
    </row>
    <row r="44" spans="1:14">
      <c r="A44" s="381"/>
      <c r="B44" s="381"/>
      <c r="C44" s="381"/>
      <c r="D44" s="381"/>
      <c r="E44" s="381"/>
      <c r="F44" s="381"/>
      <c r="G44" s="381"/>
      <c r="H44" s="381"/>
      <c r="I44" s="381"/>
      <c r="J44" s="381"/>
      <c r="K44" s="236"/>
      <c r="L44" s="236"/>
      <c r="M44" s="236"/>
      <c r="N44" s="236"/>
    </row>
    <row r="45" spans="1:14">
      <c r="A45" s="381"/>
      <c r="B45" s="381"/>
      <c r="C45" s="381"/>
      <c r="D45" s="381"/>
      <c r="E45" s="381"/>
      <c r="F45" s="381"/>
      <c r="G45" s="381"/>
      <c r="H45" s="381"/>
      <c r="I45" s="381"/>
      <c r="J45" s="381"/>
      <c r="K45" s="236"/>
      <c r="L45" s="236"/>
      <c r="M45" s="236"/>
      <c r="N45" s="236"/>
    </row>
    <row r="46" spans="1:14">
      <c r="A46" s="381"/>
      <c r="B46" s="381"/>
      <c r="C46" s="381"/>
      <c r="D46" s="381"/>
      <c r="E46" s="381"/>
      <c r="F46" s="381"/>
      <c r="G46" s="381"/>
      <c r="H46" s="381"/>
      <c r="I46" s="381"/>
      <c r="J46" s="381"/>
      <c r="K46" s="236"/>
      <c r="L46" s="236"/>
      <c r="M46" s="236"/>
      <c r="N46" s="236"/>
    </row>
    <row r="48" spans="1:14" ht="15.75">
      <c r="A48" s="190" t="s">
        <v>526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</row>
    <row r="49" spans="1:14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</row>
    <row r="50" spans="1:14" s="60" customFormat="1">
      <c r="A50" s="260" t="s">
        <v>449</v>
      </c>
      <c r="B50" s="260"/>
      <c r="C50" s="260"/>
      <c r="D50" s="260"/>
      <c r="E50" s="260"/>
      <c r="F50" s="260"/>
      <c r="G50" s="235" t="s">
        <v>973</v>
      </c>
      <c r="H50" s="235"/>
      <c r="I50" s="235"/>
      <c r="J50" s="235"/>
      <c r="K50" s="235"/>
      <c r="L50" s="235"/>
      <c r="M50" s="235"/>
      <c r="N50" s="235"/>
    </row>
    <row r="51" spans="1:14" ht="24.95" customHeight="1">
      <c r="A51" s="260"/>
      <c r="B51" s="260"/>
      <c r="C51" s="260"/>
      <c r="D51" s="260"/>
      <c r="E51" s="260"/>
      <c r="F51" s="260"/>
      <c r="G51" s="233" t="s">
        <v>319</v>
      </c>
      <c r="H51" s="233"/>
      <c r="I51" s="233"/>
      <c r="J51" s="233"/>
      <c r="K51" s="233" t="s">
        <v>339</v>
      </c>
      <c r="L51" s="233"/>
      <c r="M51" s="233"/>
      <c r="N51" s="233"/>
    </row>
    <row r="52" spans="1:14">
      <c r="A52" s="403" t="s">
        <v>832</v>
      </c>
      <c r="B52" s="403"/>
      <c r="C52" s="403"/>
      <c r="D52" s="403"/>
      <c r="E52" s="403"/>
      <c r="F52" s="403"/>
      <c r="G52" s="336" t="s">
        <v>36</v>
      </c>
      <c r="H52" s="336"/>
      <c r="I52" s="336"/>
      <c r="J52" s="336"/>
      <c r="K52" s="336" t="s">
        <v>647</v>
      </c>
      <c r="L52" s="336"/>
      <c r="M52" s="336"/>
      <c r="N52" s="336"/>
    </row>
    <row r="53" spans="1:14">
      <c r="A53" s="379" t="s">
        <v>818</v>
      </c>
      <c r="B53" s="379"/>
      <c r="C53" s="379"/>
      <c r="D53" s="379"/>
      <c r="E53" s="379"/>
      <c r="F53" s="379"/>
      <c r="G53" s="383"/>
      <c r="H53" s="383"/>
      <c r="I53" s="383"/>
      <c r="J53" s="383"/>
      <c r="K53" s="239"/>
      <c r="L53" s="239"/>
      <c r="M53" s="239"/>
      <c r="N53" s="239"/>
    </row>
    <row r="54" spans="1:14">
      <c r="A54" s="381" t="s">
        <v>370</v>
      </c>
      <c r="B54" s="381"/>
      <c r="C54" s="381"/>
      <c r="D54" s="381"/>
      <c r="E54" s="381"/>
      <c r="F54" s="381"/>
      <c r="G54" s="381"/>
      <c r="H54" s="381"/>
      <c r="I54" s="381"/>
      <c r="J54" s="381"/>
      <c r="K54" s="236"/>
      <c r="L54" s="236"/>
      <c r="M54" s="236"/>
      <c r="N54" s="236"/>
    </row>
    <row r="55" spans="1:14" ht="24.95" customHeight="1">
      <c r="A55" s="381" t="s">
        <v>854</v>
      </c>
      <c r="B55" s="381"/>
      <c r="C55" s="381"/>
      <c r="D55" s="381"/>
      <c r="E55" s="381"/>
      <c r="F55" s="381"/>
      <c r="G55" s="382"/>
      <c r="H55" s="382"/>
      <c r="I55" s="382"/>
      <c r="J55" s="382"/>
      <c r="K55" s="382"/>
      <c r="L55" s="382"/>
      <c r="M55" s="382"/>
      <c r="N55" s="382"/>
    </row>
    <row r="56" spans="1:14" ht="24.95" customHeight="1">
      <c r="A56" s="381" t="s">
        <v>33</v>
      </c>
      <c r="B56" s="381"/>
      <c r="C56" s="381"/>
      <c r="D56" s="381"/>
      <c r="E56" s="381"/>
      <c r="F56" s="381"/>
      <c r="G56" s="381"/>
      <c r="H56" s="381"/>
      <c r="I56" s="381"/>
      <c r="J56" s="381"/>
      <c r="K56" s="236"/>
      <c r="L56" s="236"/>
      <c r="M56" s="236"/>
      <c r="N56" s="236"/>
    </row>
    <row r="57" spans="1:14">
      <c r="A57" s="382" t="s">
        <v>427</v>
      </c>
      <c r="B57" s="382"/>
      <c r="C57" s="382"/>
      <c r="D57" s="382"/>
      <c r="E57" s="382"/>
      <c r="F57" s="382"/>
      <c r="G57" s="382">
        <f>SUM(G53:J56)</f>
        <v>0</v>
      </c>
      <c r="H57" s="382"/>
      <c r="I57" s="382"/>
      <c r="J57" s="382"/>
      <c r="K57" s="382">
        <f>SUM(K53:N56)</f>
        <v>0</v>
      </c>
      <c r="L57" s="382"/>
      <c r="M57" s="382"/>
      <c r="N57" s="382"/>
    </row>
    <row r="59" spans="1:14" ht="15.75">
      <c r="A59" s="190" t="s">
        <v>181</v>
      </c>
      <c r="B59" s="190"/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190"/>
    </row>
    <row r="61" spans="1:14">
      <c r="A61" s="233" t="s">
        <v>288</v>
      </c>
      <c r="B61" s="233"/>
      <c r="C61" s="233" t="s">
        <v>319</v>
      </c>
      <c r="D61" s="233"/>
      <c r="E61" s="233"/>
      <c r="F61" s="233"/>
      <c r="G61" s="233"/>
      <c r="H61" s="233"/>
      <c r="I61" s="233" t="s">
        <v>339</v>
      </c>
      <c r="J61" s="233"/>
      <c r="K61" s="233"/>
      <c r="L61" s="233"/>
      <c r="M61" s="233"/>
      <c r="N61" s="233"/>
    </row>
    <row r="62" spans="1:14">
      <c r="A62" s="233"/>
      <c r="B62" s="233"/>
      <c r="C62" s="233" t="s">
        <v>221</v>
      </c>
      <c r="D62" s="233"/>
      <c r="E62" s="233"/>
      <c r="F62" s="233"/>
      <c r="G62" s="233"/>
      <c r="H62" s="233"/>
      <c r="I62" s="233" t="s">
        <v>221</v>
      </c>
      <c r="J62" s="233"/>
      <c r="K62" s="233"/>
      <c r="L62" s="233"/>
      <c r="M62" s="233"/>
      <c r="N62" s="233"/>
    </row>
    <row r="63" spans="1:14" ht="39.950000000000003" customHeight="1">
      <c r="A63" s="233"/>
      <c r="B63" s="233"/>
      <c r="C63" s="233" t="s">
        <v>721</v>
      </c>
      <c r="D63" s="233"/>
      <c r="E63" s="233" t="s">
        <v>1068</v>
      </c>
      <c r="F63" s="233"/>
      <c r="G63" s="233" t="s">
        <v>273</v>
      </c>
      <c r="H63" s="233"/>
      <c r="I63" s="233" t="s">
        <v>721</v>
      </c>
      <c r="J63" s="233"/>
      <c r="K63" s="233" t="s">
        <v>421</v>
      </c>
      <c r="L63" s="233"/>
      <c r="M63" s="233" t="s">
        <v>273</v>
      </c>
      <c r="N63" s="233"/>
    </row>
    <row r="64" spans="1:14">
      <c r="A64" s="234" t="s">
        <v>832</v>
      </c>
      <c r="B64" s="234"/>
      <c r="C64" s="234" t="s">
        <v>36</v>
      </c>
      <c r="D64" s="234"/>
      <c r="E64" s="234" t="s">
        <v>647</v>
      </c>
      <c r="F64" s="234"/>
      <c r="G64" s="234" t="s">
        <v>236</v>
      </c>
      <c r="H64" s="234"/>
      <c r="I64" s="234" t="s">
        <v>741</v>
      </c>
      <c r="J64" s="234"/>
      <c r="K64" s="234" t="s">
        <v>139</v>
      </c>
      <c r="L64" s="234"/>
      <c r="M64" s="234" t="s">
        <v>618</v>
      </c>
      <c r="N64" s="234"/>
    </row>
    <row r="65" spans="1:14">
      <c r="A65" s="270" t="s">
        <v>447</v>
      </c>
      <c r="B65" s="270"/>
      <c r="C65" s="401"/>
      <c r="D65" s="401"/>
      <c r="E65" s="401"/>
      <c r="F65" s="401"/>
      <c r="G65" s="401"/>
      <c r="H65" s="401"/>
      <c r="I65" s="401"/>
      <c r="J65" s="401"/>
      <c r="K65" s="401"/>
      <c r="L65" s="401"/>
      <c r="M65" s="401"/>
      <c r="N65" s="401"/>
    </row>
    <row r="66" spans="1:14">
      <c r="A66" s="272" t="s">
        <v>461</v>
      </c>
      <c r="B66" s="272"/>
      <c r="C66" s="238"/>
      <c r="D66" s="238"/>
      <c r="E66" s="238"/>
      <c r="F66" s="238"/>
      <c r="G66" s="238"/>
      <c r="H66" s="238"/>
      <c r="I66" s="238"/>
      <c r="J66" s="238"/>
      <c r="K66" s="238"/>
      <c r="L66" s="238"/>
      <c r="M66" s="238"/>
      <c r="N66" s="238"/>
    </row>
    <row r="67" spans="1:14">
      <c r="A67" s="337" t="s">
        <v>427</v>
      </c>
      <c r="B67" s="337"/>
      <c r="C67" s="235">
        <f>SUM(C65:D66)</f>
        <v>0</v>
      </c>
      <c r="D67" s="235"/>
      <c r="E67" s="235">
        <f>SUM(E65:F66)</f>
        <v>0</v>
      </c>
      <c r="F67" s="235"/>
      <c r="G67" s="235">
        <f>SUM(G65:H66)</f>
        <v>0</v>
      </c>
      <c r="H67" s="235"/>
      <c r="I67" s="235">
        <f>SUM(I65:J66)</f>
        <v>0</v>
      </c>
      <c r="J67" s="235"/>
      <c r="K67" s="235">
        <f>SUM(K65:L66)</f>
        <v>0</v>
      </c>
      <c r="L67" s="235"/>
      <c r="M67" s="235">
        <f>SUM(M65:N66)</f>
        <v>0</v>
      </c>
      <c r="N67" s="235"/>
    </row>
  </sheetData>
  <mergeCells count="218">
    <mergeCell ref="A2:N2"/>
    <mergeCell ref="A3:H3"/>
    <mergeCell ref="I3:K3"/>
    <mergeCell ref="L3:N3"/>
    <mergeCell ref="A4:H4"/>
    <mergeCell ref="I4:K4"/>
    <mergeCell ref="L4:N4"/>
    <mergeCell ref="L11:N11"/>
    <mergeCell ref="A12:H12"/>
    <mergeCell ref="I12:K12"/>
    <mergeCell ref="L12:N12"/>
    <mergeCell ref="L9:N9"/>
    <mergeCell ref="A10:H10"/>
    <mergeCell ref="I10:K10"/>
    <mergeCell ref="L10:N10"/>
    <mergeCell ref="A7:H7"/>
    <mergeCell ref="I7:K7"/>
    <mergeCell ref="L7:N7"/>
    <mergeCell ref="A8:H8"/>
    <mergeCell ref="I8:K8"/>
    <mergeCell ref="L8:N8"/>
    <mergeCell ref="L5:N5"/>
    <mergeCell ref="L6:N6"/>
    <mergeCell ref="A17:N17"/>
    <mergeCell ref="L18:N19"/>
    <mergeCell ref="H19:I19"/>
    <mergeCell ref="J19:K19"/>
    <mergeCell ref="H18:K18"/>
    <mergeCell ref="A15:H15"/>
    <mergeCell ref="I15:K15"/>
    <mergeCell ref="L15:N15"/>
    <mergeCell ref="A5:H5"/>
    <mergeCell ref="A6:H6"/>
    <mergeCell ref="I5:K5"/>
    <mergeCell ref="I6:K6"/>
    <mergeCell ref="A13:H13"/>
    <mergeCell ref="I13:K13"/>
    <mergeCell ref="A9:H9"/>
    <mergeCell ref="I9:K9"/>
    <mergeCell ref="L13:N13"/>
    <mergeCell ref="A14:H14"/>
    <mergeCell ref="I14:K14"/>
    <mergeCell ref="L14:N14"/>
    <mergeCell ref="A11:H11"/>
    <mergeCell ref="I11:K11"/>
    <mergeCell ref="A18:G19"/>
    <mergeCell ref="J25:K25"/>
    <mergeCell ref="J26:K26"/>
    <mergeCell ref="L23:N23"/>
    <mergeCell ref="L24:N24"/>
    <mergeCell ref="H23:I23"/>
    <mergeCell ref="H24:I24"/>
    <mergeCell ref="J23:K23"/>
    <mergeCell ref="J24:K24"/>
    <mergeCell ref="L21:N21"/>
    <mergeCell ref="L22:N22"/>
    <mergeCell ref="H21:I21"/>
    <mergeCell ref="H22:I22"/>
    <mergeCell ref="J21:K21"/>
    <mergeCell ref="J22:K22"/>
    <mergeCell ref="A21:G21"/>
    <mergeCell ref="A22:G22"/>
    <mergeCell ref="A23:G23"/>
    <mergeCell ref="A24:G24"/>
    <mergeCell ref="A25:G25"/>
    <mergeCell ref="I42:J42"/>
    <mergeCell ref="L29:N29"/>
    <mergeCell ref="L30:N30"/>
    <mergeCell ref="A29:G29"/>
    <mergeCell ref="A30:G30"/>
    <mergeCell ref="H29:I29"/>
    <mergeCell ref="H30:I30"/>
    <mergeCell ref="J29:K29"/>
    <mergeCell ref="J30:K30"/>
    <mergeCell ref="A40:F40"/>
    <mergeCell ref="L27:N27"/>
    <mergeCell ref="L28:N28"/>
    <mergeCell ref="A27:G27"/>
    <mergeCell ref="A28:G28"/>
    <mergeCell ref="H27:I27"/>
    <mergeCell ref="H28:I28"/>
    <mergeCell ref="J27:K27"/>
    <mergeCell ref="J28:K28"/>
    <mergeCell ref="A36:F36"/>
    <mergeCell ref="J20:K20"/>
    <mergeCell ref="L20:N20"/>
    <mergeCell ref="A32:N32"/>
    <mergeCell ref="A45:F45"/>
    <mergeCell ref="G36:H36"/>
    <mergeCell ref="G37:H37"/>
    <mergeCell ref="G38:H38"/>
    <mergeCell ref="G39:H39"/>
    <mergeCell ref="A33:F35"/>
    <mergeCell ref="I36:J36"/>
    <mergeCell ref="G40:H40"/>
    <mergeCell ref="G41:H41"/>
    <mergeCell ref="G42:H42"/>
    <mergeCell ref="G43:H43"/>
    <mergeCell ref="A20:G20"/>
    <mergeCell ref="H20:I20"/>
    <mergeCell ref="A37:F37"/>
    <mergeCell ref="A38:F38"/>
    <mergeCell ref="A39:F39"/>
    <mergeCell ref="L25:N25"/>
    <mergeCell ref="L26:N26"/>
    <mergeCell ref="A26:G26"/>
    <mergeCell ref="H25:I25"/>
    <mergeCell ref="H26:I26"/>
    <mergeCell ref="C62:H62"/>
    <mergeCell ref="I62:N62"/>
    <mergeCell ref="C63:D63"/>
    <mergeCell ref="E63:F63"/>
    <mergeCell ref="A41:F41"/>
    <mergeCell ref="A42:F42"/>
    <mergeCell ref="A56:F56"/>
    <mergeCell ref="G56:J56"/>
    <mergeCell ref="K56:N56"/>
    <mergeCell ref="A57:F57"/>
    <mergeCell ref="K63:L63"/>
    <mergeCell ref="M63:N63"/>
    <mergeCell ref="A59:N59"/>
    <mergeCell ref="A61:B63"/>
    <mergeCell ref="C61:H61"/>
    <mergeCell ref="I61:N61"/>
    <mergeCell ref="G44:H44"/>
    <mergeCell ref="G45:H45"/>
    <mergeCell ref="G46:H46"/>
    <mergeCell ref="G63:H63"/>
    <mergeCell ref="I63:J63"/>
    <mergeCell ref="A46:F46"/>
    <mergeCell ref="G57:J57"/>
    <mergeCell ref="K57:N57"/>
    <mergeCell ref="K52:N52"/>
    <mergeCell ref="I41:J41"/>
    <mergeCell ref="A43:F43"/>
    <mergeCell ref="A44:F44"/>
    <mergeCell ref="A54:F54"/>
    <mergeCell ref="G54:J54"/>
    <mergeCell ref="K54:N54"/>
    <mergeCell ref="A55:F55"/>
    <mergeCell ref="G55:J55"/>
    <mergeCell ref="K55:N55"/>
    <mergeCell ref="A52:F52"/>
    <mergeCell ref="G52:J52"/>
    <mergeCell ref="K41:L41"/>
    <mergeCell ref="A48:N48"/>
    <mergeCell ref="G51:J51"/>
    <mergeCell ref="K51:N51"/>
    <mergeCell ref="A53:F53"/>
    <mergeCell ref="G53:J53"/>
    <mergeCell ref="K53:N53"/>
    <mergeCell ref="A50:F51"/>
    <mergeCell ref="G50:N50"/>
    <mergeCell ref="M46:N46"/>
    <mergeCell ref="K42:L42"/>
    <mergeCell ref="K43:L43"/>
    <mergeCell ref="K44:L44"/>
    <mergeCell ref="K45:L45"/>
    <mergeCell ref="I43:J43"/>
    <mergeCell ref="I44:J44"/>
    <mergeCell ref="I45:J45"/>
    <mergeCell ref="I46:J46"/>
    <mergeCell ref="K46:L46"/>
    <mergeCell ref="M42:N42"/>
    <mergeCell ref="M43:N43"/>
    <mergeCell ref="M44:N44"/>
    <mergeCell ref="M45:N45"/>
    <mergeCell ref="G33:J33"/>
    <mergeCell ref="K33:N33"/>
    <mergeCell ref="G34:J34"/>
    <mergeCell ref="K34:N34"/>
    <mergeCell ref="G35:H35"/>
    <mergeCell ref="I35:J35"/>
    <mergeCell ref="K35:L35"/>
    <mergeCell ref="M35:N35"/>
    <mergeCell ref="M41:N41"/>
    <mergeCell ref="M36:N36"/>
    <mergeCell ref="M37:N37"/>
    <mergeCell ref="M38:N38"/>
    <mergeCell ref="M39:N39"/>
    <mergeCell ref="K36:L36"/>
    <mergeCell ref="K37:L37"/>
    <mergeCell ref="K38:L38"/>
    <mergeCell ref="K39:L39"/>
    <mergeCell ref="K40:L40"/>
    <mergeCell ref="M40:N40"/>
    <mergeCell ref="I37:J37"/>
    <mergeCell ref="I38:J38"/>
    <mergeCell ref="I39:J39"/>
    <mergeCell ref="I40:J40"/>
    <mergeCell ref="M64:N64"/>
    <mergeCell ref="A64:B64"/>
    <mergeCell ref="A65:B65"/>
    <mergeCell ref="C65:D65"/>
    <mergeCell ref="E65:F65"/>
    <mergeCell ref="G65:H65"/>
    <mergeCell ref="I65:J65"/>
    <mergeCell ref="K65:L65"/>
    <mergeCell ref="M65:N65"/>
    <mergeCell ref="C64:D64"/>
    <mergeCell ref="E64:F64"/>
    <mergeCell ref="G64:H64"/>
    <mergeCell ref="I64:J64"/>
    <mergeCell ref="K64:L64"/>
    <mergeCell ref="M66:N66"/>
    <mergeCell ref="A67:B67"/>
    <mergeCell ref="C67:D67"/>
    <mergeCell ref="E67:F67"/>
    <mergeCell ref="G67:H67"/>
    <mergeCell ref="I67:J67"/>
    <mergeCell ref="K67:L67"/>
    <mergeCell ref="M67:N67"/>
    <mergeCell ref="A66:B66"/>
    <mergeCell ref="C66:D66"/>
    <mergeCell ref="E66:F66"/>
    <mergeCell ref="G66:H66"/>
    <mergeCell ref="I66:J66"/>
    <mergeCell ref="K66:L6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N91"/>
  <sheetViews>
    <sheetView workbookViewId="0">
      <selection activeCell="G66" sqref="G66:J66"/>
    </sheetView>
  </sheetViews>
  <sheetFormatPr defaultRowHeight="15"/>
  <cols>
    <col min="1" max="14" width="6" customWidth="1"/>
  </cols>
  <sheetData>
    <row r="1" spans="1:14" s="64" customFormat="1"/>
    <row r="2" spans="1:14" s="64" customFormat="1" ht="18.75">
      <c r="A2" s="377" t="s">
        <v>1035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</row>
    <row r="3" spans="1:14" s="64" customFormat="1"/>
    <row r="4" spans="1:14" ht="15.75">
      <c r="A4" s="190" t="s">
        <v>795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</row>
    <row r="6" spans="1:14" ht="24.95" customHeight="1">
      <c r="A6" s="233" t="s">
        <v>733</v>
      </c>
      <c r="B6" s="233"/>
      <c r="C6" s="233" t="s">
        <v>227</v>
      </c>
      <c r="D6" s="233"/>
      <c r="E6" s="233"/>
      <c r="F6" s="233"/>
      <c r="G6" s="233" t="s">
        <v>978</v>
      </c>
      <c r="H6" s="233"/>
      <c r="I6" s="233"/>
      <c r="J6" s="233"/>
      <c r="K6" s="233" t="s">
        <v>824</v>
      </c>
      <c r="L6" s="233"/>
      <c r="M6" s="233"/>
      <c r="N6" s="233"/>
    </row>
    <row r="7" spans="1:14" ht="50.1" customHeight="1">
      <c r="A7" s="233"/>
      <c r="B7" s="233"/>
      <c r="C7" s="233" t="s">
        <v>319</v>
      </c>
      <c r="D7" s="233"/>
      <c r="E7" s="233" t="s">
        <v>339</v>
      </c>
      <c r="F7" s="233"/>
      <c r="G7" s="233" t="s">
        <v>319</v>
      </c>
      <c r="H7" s="233"/>
      <c r="I7" s="233" t="s">
        <v>339</v>
      </c>
      <c r="J7" s="233"/>
      <c r="K7" s="233" t="s">
        <v>319</v>
      </c>
      <c r="L7" s="233"/>
      <c r="M7" s="233" t="s">
        <v>339</v>
      </c>
      <c r="N7" s="233"/>
    </row>
    <row r="8" spans="1:14">
      <c r="A8" s="234" t="s">
        <v>832</v>
      </c>
      <c r="B8" s="234"/>
      <c r="C8" s="234" t="s">
        <v>36</v>
      </c>
      <c r="D8" s="234"/>
      <c r="E8" s="234" t="s">
        <v>647</v>
      </c>
      <c r="F8" s="234"/>
      <c r="G8" s="234" t="s">
        <v>236</v>
      </c>
      <c r="H8" s="234"/>
      <c r="I8" s="234" t="s">
        <v>741</v>
      </c>
      <c r="J8" s="234"/>
      <c r="K8" s="234" t="s">
        <v>139</v>
      </c>
      <c r="L8" s="234"/>
      <c r="M8" s="234" t="s">
        <v>618</v>
      </c>
      <c r="N8" s="234"/>
    </row>
    <row r="9" spans="1:14">
      <c r="A9" s="270" t="s">
        <v>1265</v>
      </c>
      <c r="B9" s="270"/>
      <c r="C9" s="271">
        <v>497517</v>
      </c>
      <c r="D9" s="271"/>
      <c r="E9" s="271">
        <v>388027</v>
      </c>
      <c r="F9" s="271"/>
      <c r="G9" s="271"/>
      <c r="H9" s="271"/>
      <c r="I9" s="271"/>
      <c r="J9" s="271"/>
      <c r="K9" s="271"/>
      <c r="L9" s="271"/>
      <c r="M9" s="271"/>
      <c r="N9" s="271"/>
    </row>
    <row r="10" spans="1:14" s="64" customFormat="1">
      <c r="A10" s="272" t="s">
        <v>1266</v>
      </c>
      <c r="B10" s="272"/>
      <c r="C10" s="273">
        <v>7571</v>
      </c>
      <c r="D10" s="273"/>
      <c r="E10" s="273">
        <v>67751</v>
      </c>
      <c r="F10" s="273"/>
      <c r="G10" s="273"/>
      <c r="H10" s="273"/>
      <c r="I10" s="273"/>
      <c r="J10" s="273"/>
      <c r="K10" s="273"/>
      <c r="L10" s="273"/>
      <c r="M10" s="273"/>
      <c r="N10" s="273"/>
    </row>
    <row r="11" spans="1:14" s="64" customFormat="1">
      <c r="A11" s="272" t="s">
        <v>1267</v>
      </c>
      <c r="B11" s="272"/>
      <c r="C11" s="273">
        <v>251761</v>
      </c>
      <c r="D11" s="273"/>
      <c r="E11" s="273">
        <v>370136</v>
      </c>
      <c r="F11" s="273"/>
      <c r="G11" s="273"/>
      <c r="H11" s="273"/>
      <c r="I11" s="273"/>
      <c r="J11" s="273"/>
      <c r="K11" s="273"/>
      <c r="L11" s="273"/>
      <c r="M11" s="273"/>
      <c r="N11" s="273"/>
    </row>
    <row r="12" spans="1:14" s="92" customFormat="1">
      <c r="A12" s="415" t="s">
        <v>1268</v>
      </c>
      <c r="B12" s="416"/>
      <c r="C12" s="404">
        <v>7195</v>
      </c>
      <c r="D12" s="406"/>
      <c r="E12" s="404">
        <v>36939</v>
      </c>
      <c r="F12" s="406"/>
      <c r="G12" s="404"/>
      <c r="H12" s="406"/>
      <c r="I12" s="404"/>
      <c r="J12" s="406"/>
      <c r="K12" s="404"/>
      <c r="L12" s="406"/>
      <c r="M12" s="404"/>
      <c r="N12" s="406"/>
    </row>
    <row r="13" spans="1:14" s="92" customFormat="1">
      <c r="A13" s="415"/>
      <c r="B13" s="416"/>
      <c r="C13" s="404"/>
      <c r="D13" s="406"/>
      <c r="E13" s="404"/>
      <c r="F13" s="406"/>
      <c r="G13" s="404"/>
      <c r="H13" s="406"/>
      <c r="I13" s="404"/>
      <c r="J13" s="406"/>
      <c r="K13" s="404"/>
      <c r="L13" s="406"/>
      <c r="M13" s="404"/>
      <c r="N13" s="406"/>
    </row>
    <row r="14" spans="1:14">
      <c r="A14" s="337" t="s">
        <v>427</v>
      </c>
      <c r="B14" s="337"/>
      <c r="C14" s="353">
        <f>SUM(C9:D13)</f>
        <v>764044</v>
      </c>
      <c r="D14" s="353"/>
      <c r="E14" s="353">
        <f>SUM(E9:F13)</f>
        <v>862853</v>
      </c>
      <c r="F14" s="353"/>
      <c r="G14" s="353">
        <f>SUM(G9:H13)</f>
        <v>0</v>
      </c>
      <c r="H14" s="353"/>
      <c r="I14" s="353">
        <f>SUM(I9:J13)</f>
        <v>0</v>
      </c>
      <c r="J14" s="353"/>
      <c r="K14" s="353">
        <f>SUM(K9:L13)</f>
        <v>0</v>
      </c>
      <c r="L14" s="353"/>
      <c r="M14" s="353">
        <f>SUM(M9:N13)</f>
        <v>0</v>
      </c>
      <c r="N14" s="353"/>
    </row>
    <row r="16" spans="1:14" s="64" customFormat="1"/>
    <row r="17" spans="1:14" ht="15.75" customHeight="1">
      <c r="A17" s="350" t="s">
        <v>475</v>
      </c>
      <c r="B17" s="350"/>
      <c r="C17" s="350"/>
      <c r="D17" s="350"/>
      <c r="E17" s="350"/>
      <c r="F17" s="350"/>
      <c r="G17" s="350"/>
      <c r="H17" s="350"/>
      <c r="I17" s="350"/>
      <c r="J17" s="350"/>
      <c r="K17" s="350"/>
      <c r="L17" s="350"/>
      <c r="M17" s="350"/>
      <c r="N17" s="350"/>
    </row>
    <row r="18" spans="1:14">
      <c r="A18" s="350"/>
      <c r="B18" s="350"/>
      <c r="C18" s="350"/>
      <c r="D18" s="350"/>
      <c r="E18" s="350"/>
      <c r="F18" s="350"/>
      <c r="G18" s="350"/>
      <c r="H18" s="350"/>
      <c r="I18" s="350"/>
      <c r="J18" s="350"/>
      <c r="K18" s="350"/>
      <c r="L18" s="350"/>
      <c r="M18" s="350"/>
      <c r="N18" s="350"/>
    </row>
    <row r="20" spans="1:14" ht="24.95" customHeight="1">
      <c r="A20" s="362" t="s">
        <v>288</v>
      </c>
      <c r="B20" s="363"/>
      <c r="C20" s="363"/>
      <c r="D20" s="363"/>
      <c r="E20" s="363"/>
      <c r="F20" s="364"/>
      <c r="G20" s="252" t="s">
        <v>319</v>
      </c>
      <c r="H20" s="252"/>
      <c r="I20" s="252"/>
      <c r="J20" s="252"/>
      <c r="K20" s="252" t="s">
        <v>339</v>
      </c>
      <c r="L20" s="252"/>
      <c r="M20" s="252"/>
      <c r="N20" s="252"/>
    </row>
    <row r="21" spans="1:14" ht="15" customHeight="1">
      <c r="A21" s="383" t="s">
        <v>738</v>
      </c>
      <c r="B21" s="383"/>
      <c r="C21" s="383"/>
      <c r="D21" s="383"/>
      <c r="E21" s="383"/>
      <c r="F21" s="383"/>
      <c r="G21" s="383"/>
      <c r="H21" s="383"/>
      <c r="I21" s="383"/>
      <c r="J21" s="383"/>
      <c r="K21" s="239"/>
      <c r="L21" s="239"/>
      <c r="M21" s="239"/>
      <c r="N21" s="239"/>
    </row>
    <row r="22" spans="1:14" s="64" customFormat="1">
      <c r="A22" s="381"/>
      <c r="B22" s="381"/>
      <c r="C22" s="381"/>
      <c r="D22" s="381"/>
      <c r="E22" s="381"/>
      <c r="F22" s="381"/>
      <c r="G22" s="382"/>
      <c r="H22" s="382"/>
      <c r="I22" s="382"/>
      <c r="J22" s="382"/>
      <c r="K22" s="382"/>
      <c r="L22" s="382"/>
      <c r="M22" s="382"/>
      <c r="N22" s="382"/>
    </row>
    <row r="23" spans="1:14" s="64" customFormat="1">
      <c r="A23" s="381"/>
      <c r="B23" s="381"/>
      <c r="C23" s="381"/>
      <c r="D23" s="381"/>
      <c r="E23" s="381"/>
      <c r="F23" s="381"/>
      <c r="G23" s="382"/>
      <c r="H23" s="382"/>
      <c r="I23" s="382"/>
      <c r="J23" s="382"/>
      <c r="K23" s="382"/>
      <c r="L23" s="382"/>
      <c r="M23" s="382"/>
      <c r="N23" s="382"/>
    </row>
    <row r="24" spans="1:14" ht="24.95" customHeight="1">
      <c r="A24" s="382" t="s">
        <v>45</v>
      </c>
      <c r="B24" s="382"/>
      <c r="C24" s="382"/>
      <c r="D24" s="382"/>
      <c r="E24" s="382"/>
      <c r="F24" s="382"/>
      <c r="G24" s="382">
        <v>3179</v>
      </c>
      <c r="H24" s="382"/>
      <c r="I24" s="382"/>
      <c r="J24" s="382"/>
      <c r="K24" s="237">
        <v>6325</v>
      </c>
      <c r="L24" s="237"/>
      <c r="M24" s="237"/>
      <c r="N24" s="237"/>
    </row>
    <row r="25" spans="1:14" s="64" customFormat="1">
      <c r="A25" s="381" t="s">
        <v>1319</v>
      </c>
      <c r="B25" s="381"/>
      <c r="C25" s="381"/>
      <c r="D25" s="381"/>
      <c r="E25" s="381"/>
      <c r="F25" s="381"/>
      <c r="G25" s="381">
        <v>3179</v>
      </c>
      <c r="H25" s="381"/>
      <c r="I25" s="381"/>
      <c r="J25" s="381"/>
      <c r="K25" s="381">
        <v>4885</v>
      </c>
      <c r="L25" s="381"/>
      <c r="M25" s="381"/>
      <c r="N25" s="381"/>
    </row>
    <row r="26" spans="1:14" s="64" customFormat="1">
      <c r="A26" s="381"/>
      <c r="B26" s="381"/>
      <c r="C26" s="381"/>
      <c r="D26" s="381"/>
      <c r="E26" s="381"/>
      <c r="F26" s="381"/>
      <c r="G26" s="381"/>
      <c r="H26" s="381"/>
      <c r="I26" s="381"/>
      <c r="J26" s="381"/>
      <c r="K26" s="382"/>
      <c r="L26" s="382"/>
      <c r="M26" s="382"/>
      <c r="N26" s="382"/>
    </row>
    <row r="27" spans="1:14">
      <c r="A27" s="381"/>
      <c r="B27" s="381"/>
      <c r="C27" s="381"/>
      <c r="D27" s="381"/>
      <c r="E27" s="381"/>
      <c r="F27" s="381"/>
      <c r="G27" s="382"/>
      <c r="H27" s="382"/>
      <c r="I27" s="382"/>
      <c r="J27" s="382"/>
      <c r="K27" s="382"/>
      <c r="L27" s="382"/>
      <c r="M27" s="382"/>
      <c r="N27" s="382"/>
    </row>
    <row r="28" spans="1:14">
      <c r="A28" s="382" t="s">
        <v>577</v>
      </c>
      <c r="B28" s="382"/>
      <c r="C28" s="382"/>
      <c r="D28" s="382"/>
      <c r="E28" s="382"/>
      <c r="F28" s="382"/>
      <c r="G28" s="381"/>
      <c r="H28" s="381"/>
      <c r="I28" s="381"/>
      <c r="J28" s="381"/>
      <c r="K28" s="236"/>
      <c r="L28" s="236"/>
      <c r="M28" s="236"/>
      <c r="N28" s="236"/>
    </row>
    <row r="29" spans="1:14" s="64" customFormat="1">
      <c r="A29" s="381" t="s">
        <v>90</v>
      </c>
      <c r="B29" s="381"/>
      <c r="C29" s="381"/>
      <c r="D29" s="381"/>
      <c r="E29" s="381"/>
      <c r="F29" s="381"/>
      <c r="G29" s="382">
        <v>6</v>
      </c>
      <c r="H29" s="382"/>
      <c r="I29" s="382"/>
      <c r="J29" s="382"/>
      <c r="K29" s="382">
        <v>1</v>
      </c>
      <c r="L29" s="382"/>
      <c r="M29" s="382"/>
      <c r="N29" s="382"/>
    </row>
    <row r="30" spans="1:14" s="64" customFormat="1" ht="24.95" customHeight="1">
      <c r="A30" s="381" t="s">
        <v>161</v>
      </c>
      <c r="B30" s="381"/>
      <c r="C30" s="381"/>
      <c r="D30" s="381"/>
      <c r="E30" s="381"/>
      <c r="F30" s="381"/>
      <c r="G30" s="382"/>
      <c r="H30" s="382"/>
      <c r="I30" s="382"/>
      <c r="J30" s="382"/>
      <c r="K30" s="381"/>
      <c r="L30" s="381"/>
      <c r="M30" s="381"/>
      <c r="N30" s="381"/>
    </row>
    <row r="31" spans="1:14" s="64" customFormat="1" ht="24.95" customHeight="1">
      <c r="A31" s="381" t="s">
        <v>817</v>
      </c>
      <c r="B31" s="381"/>
      <c r="C31" s="381"/>
      <c r="D31" s="381"/>
      <c r="E31" s="381"/>
      <c r="F31" s="381"/>
      <c r="G31" s="382">
        <v>1</v>
      </c>
      <c r="H31" s="382"/>
      <c r="I31" s="382"/>
      <c r="J31" s="382"/>
      <c r="K31" s="382">
        <v>5</v>
      </c>
      <c r="L31" s="382"/>
      <c r="M31" s="382"/>
      <c r="N31" s="382"/>
    </row>
    <row r="32" spans="1:14" s="64" customFormat="1">
      <c r="A32" s="381" t="s">
        <v>1269</v>
      </c>
      <c r="B32" s="381"/>
      <c r="C32" s="381"/>
      <c r="D32" s="381"/>
      <c r="E32" s="381"/>
      <c r="F32" s="381"/>
      <c r="G32" s="381">
        <v>1</v>
      </c>
      <c r="H32" s="381"/>
      <c r="I32" s="381"/>
      <c r="J32" s="381"/>
      <c r="K32" s="381">
        <v>5</v>
      </c>
      <c r="L32" s="381"/>
      <c r="M32" s="381"/>
      <c r="N32" s="381"/>
    </row>
    <row r="33" spans="1:14" s="64" customFormat="1">
      <c r="A33" s="381"/>
      <c r="B33" s="381"/>
      <c r="C33" s="381"/>
      <c r="D33" s="381"/>
      <c r="E33" s="381"/>
      <c r="F33" s="381"/>
      <c r="G33" s="382"/>
      <c r="H33" s="382"/>
      <c r="I33" s="382"/>
      <c r="J33" s="382"/>
      <c r="K33" s="382"/>
      <c r="L33" s="382"/>
      <c r="M33" s="382"/>
      <c r="N33" s="382"/>
    </row>
    <row r="34" spans="1:14" s="64" customFormat="1">
      <c r="A34" s="381"/>
      <c r="B34" s="381"/>
      <c r="C34" s="381"/>
      <c r="D34" s="381"/>
      <c r="E34" s="381"/>
      <c r="F34" s="381"/>
      <c r="G34" s="382"/>
      <c r="H34" s="382"/>
      <c r="I34" s="382"/>
      <c r="J34" s="382"/>
      <c r="K34" s="382"/>
      <c r="L34" s="382"/>
      <c r="M34" s="382"/>
      <c r="N34" s="382"/>
    </row>
    <row r="35" spans="1:14">
      <c r="A35" s="382" t="s">
        <v>251</v>
      </c>
      <c r="B35" s="382"/>
      <c r="C35" s="382"/>
      <c r="D35" s="382"/>
      <c r="E35" s="382"/>
      <c r="F35" s="382"/>
      <c r="G35" s="382"/>
      <c r="H35" s="382"/>
      <c r="I35" s="382"/>
      <c r="J35" s="382"/>
      <c r="K35" s="382"/>
      <c r="L35" s="382"/>
      <c r="M35" s="382"/>
      <c r="N35" s="382"/>
    </row>
    <row r="36" spans="1:14" s="64" customFormat="1">
      <c r="A36" s="381"/>
      <c r="B36" s="381"/>
      <c r="C36" s="381"/>
      <c r="D36" s="381"/>
      <c r="E36" s="381"/>
      <c r="F36" s="381"/>
      <c r="G36" s="382"/>
      <c r="H36" s="382"/>
      <c r="I36" s="382"/>
      <c r="J36" s="382"/>
      <c r="K36" s="382"/>
      <c r="L36" s="382"/>
      <c r="M36" s="382"/>
      <c r="N36" s="382"/>
    </row>
    <row r="37" spans="1:14" s="64" customFormat="1">
      <c r="A37" s="381"/>
      <c r="B37" s="381"/>
      <c r="C37" s="381"/>
      <c r="D37" s="381"/>
      <c r="E37" s="381"/>
      <c r="F37" s="381"/>
      <c r="G37" s="382"/>
      <c r="H37" s="382"/>
      <c r="I37" s="382"/>
      <c r="J37" s="382"/>
      <c r="K37" s="382"/>
      <c r="L37" s="382"/>
      <c r="M37" s="382"/>
      <c r="N37" s="382"/>
    </row>
    <row r="38" spans="1:14" s="100" customFormat="1">
      <c r="A38" s="72"/>
      <c r="B38" s="72"/>
      <c r="C38" s="72"/>
      <c r="D38" s="72"/>
      <c r="E38" s="72"/>
      <c r="F38" s="72"/>
      <c r="G38" s="73"/>
      <c r="H38" s="73"/>
      <c r="I38" s="73"/>
      <c r="J38" s="73"/>
      <c r="K38" s="73"/>
      <c r="L38" s="73"/>
      <c r="M38" s="73"/>
      <c r="N38" s="73"/>
    </row>
    <row r="39" spans="1:14" s="100" customFormat="1">
      <c r="A39" s="72"/>
      <c r="B39" s="72"/>
      <c r="C39" s="72"/>
      <c r="D39" s="72"/>
      <c r="E39" s="72"/>
      <c r="F39" s="72"/>
      <c r="G39" s="73"/>
      <c r="H39" s="73"/>
      <c r="I39" s="73"/>
      <c r="J39" s="73"/>
      <c r="K39" s="73"/>
      <c r="L39" s="73"/>
      <c r="M39" s="73"/>
      <c r="N39" s="73"/>
    </row>
    <row r="40" spans="1:14" s="100" customFormat="1">
      <c r="A40" s="72"/>
      <c r="B40" s="72"/>
      <c r="C40" s="72"/>
      <c r="D40" s="72"/>
      <c r="E40" s="72"/>
      <c r="F40" s="72"/>
      <c r="G40" s="73"/>
      <c r="H40" s="73"/>
      <c r="I40" s="73"/>
      <c r="J40" s="73"/>
      <c r="K40" s="73"/>
      <c r="L40" s="73"/>
      <c r="M40" s="73"/>
      <c r="N40" s="73"/>
    </row>
    <row r="41" spans="1:14" s="100" customFormat="1">
      <c r="A41" s="72"/>
      <c r="B41" s="72"/>
      <c r="C41" s="72"/>
      <c r="D41" s="72"/>
      <c r="E41" s="72"/>
      <c r="F41" s="72"/>
      <c r="G41" s="73"/>
      <c r="H41" s="73"/>
      <c r="I41" s="73"/>
      <c r="J41" s="73"/>
      <c r="K41" s="73"/>
      <c r="L41" s="73"/>
      <c r="M41" s="73"/>
      <c r="N41" s="73"/>
    </row>
    <row r="42" spans="1:14" s="100" customFormat="1">
      <c r="A42" s="72"/>
      <c r="B42" s="72"/>
      <c r="C42" s="72"/>
      <c r="D42" s="72"/>
      <c r="E42" s="72"/>
      <c r="F42" s="72"/>
      <c r="G42" s="73"/>
      <c r="H42" s="73"/>
      <c r="I42" s="73"/>
      <c r="J42" s="73"/>
      <c r="K42" s="73"/>
      <c r="L42" s="73"/>
      <c r="M42" s="73"/>
      <c r="N42" s="73"/>
    </row>
    <row r="43" spans="1:14" s="100" customFormat="1">
      <c r="A43" s="72"/>
      <c r="B43" s="72"/>
      <c r="C43" s="72"/>
      <c r="D43" s="72"/>
      <c r="E43" s="72"/>
      <c r="F43" s="72"/>
      <c r="G43" s="73"/>
      <c r="H43" s="73"/>
      <c r="I43" s="73"/>
      <c r="J43" s="73"/>
      <c r="K43" s="73"/>
      <c r="L43" s="73"/>
      <c r="M43" s="73"/>
      <c r="N43" s="73"/>
    </row>
    <row r="44" spans="1:14">
      <c r="M44" s="100" t="s">
        <v>1296</v>
      </c>
    </row>
    <row r="45" spans="1:14" s="64" customFormat="1" ht="15.75" customHeight="1">
      <c r="A45" s="190" t="s">
        <v>19</v>
      </c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</row>
    <row r="46" spans="1:14" s="64" customFormat="1" ht="15.75" customHeight="1">
      <c r="A46" s="190"/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</row>
    <row r="47" spans="1:14" s="64" customFormat="1" ht="15.75" customHeight="1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4" ht="35.1" customHeight="1">
      <c r="A48" s="209" t="s">
        <v>966</v>
      </c>
      <c r="B48" s="209"/>
      <c r="C48" s="209"/>
      <c r="D48" s="209"/>
      <c r="E48" s="209"/>
      <c r="F48" s="209" t="s">
        <v>904</v>
      </c>
      <c r="G48" s="209"/>
      <c r="H48" s="209"/>
      <c r="I48" s="209" t="s">
        <v>319</v>
      </c>
      <c r="J48" s="209"/>
      <c r="K48" s="209"/>
      <c r="L48" s="209" t="s">
        <v>339</v>
      </c>
      <c r="M48" s="209"/>
      <c r="N48" s="209"/>
    </row>
    <row r="49" spans="1:14" s="64" customFormat="1" ht="15.75" customHeight="1">
      <c r="A49" s="421"/>
      <c r="B49" s="421"/>
      <c r="C49" s="421"/>
      <c r="D49" s="421"/>
      <c r="E49" s="421"/>
      <c r="F49" s="420"/>
      <c r="G49" s="420"/>
      <c r="H49" s="420"/>
      <c r="I49" s="417"/>
      <c r="J49" s="417"/>
      <c r="K49" s="417"/>
      <c r="L49" s="417"/>
      <c r="M49" s="417"/>
      <c r="N49" s="417"/>
    </row>
    <row r="50" spans="1:14" s="64" customFormat="1" ht="15.75" customHeight="1">
      <c r="A50" s="418"/>
      <c r="B50" s="418"/>
      <c r="C50" s="418"/>
      <c r="D50" s="418"/>
      <c r="E50" s="418"/>
      <c r="F50" s="185"/>
      <c r="G50" s="185"/>
      <c r="H50" s="185"/>
      <c r="I50" s="419"/>
      <c r="J50" s="419"/>
      <c r="K50" s="419"/>
      <c r="L50" s="419"/>
      <c r="M50" s="419"/>
      <c r="N50" s="419"/>
    </row>
    <row r="51" spans="1:14" s="64" customFormat="1" ht="15.75" customHeight="1">
      <c r="A51" s="418"/>
      <c r="B51" s="418"/>
      <c r="C51" s="418"/>
      <c r="D51" s="418"/>
      <c r="E51" s="418"/>
      <c r="F51" s="185"/>
      <c r="G51" s="185"/>
      <c r="H51" s="185"/>
      <c r="I51" s="419"/>
      <c r="J51" s="419"/>
      <c r="K51" s="419"/>
      <c r="L51" s="419"/>
      <c r="M51" s="419"/>
      <c r="N51" s="419"/>
    </row>
    <row r="52" spans="1:14" s="64" customFormat="1" ht="15.75" customHeight="1">
      <c r="A52" s="418"/>
      <c r="B52" s="418"/>
      <c r="C52" s="418"/>
      <c r="D52" s="418"/>
      <c r="E52" s="418"/>
      <c r="F52" s="185"/>
      <c r="G52" s="185"/>
      <c r="H52" s="185"/>
      <c r="I52" s="419"/>
      <c r="J52" s="419"/>
      <c r="K52" s="419"/>
      <c r="L52" s="419"/>
      <c r="M52" s="419"/>
      <c r="N52" s="419"/>
    </row>
    <row r="53" spans="1:14" s="64" customFormat="1" ht="15.75" customHeight="1">
      <c r="A53" s="418"/>
      <c r="B53" s="418"/>
      <c r="C53" s="418"/>
      <c r="D53" s="418"/>
      <c r="E53" s="418"/>
      <c r="F53" s="185"/>
      <c r="G53" s="185"/>
      <c r="H53" s="185"/>
      <c r="I53" s="419"/>
      <c r="J53" s="419"/>
      <c r="K53" s="419"/>
      <c r="L53" s="419"/>
      <c r="M53" s="419"/>
      <c r="N53" s="419"/>
    </row>
    <row r="54" spans="1:14" s="64" customFormat="1" ht="15.75" customHeight="1">
      <c r="A54" s="418"/>
      <c r="B54" s="418"/>
      <c r="C54" s="418"/>
      <c r="D54" s="418"/>
      <c r="E54" s="418"/>
      <c r="F54" s="185"/>
      <c r="G54" s="185"/>
      <c r="H54" s="185"/>
      <c r="I54" s="419"/>
      <c r="J54" s="419"/>
      <c r="K54" s="419"/>
      <c r="L54" s="419"/>
      <c r="M54" s="419"/>
      <c r="N54" s="419"/>
    </row>
    <row r="55" spans="1:14" s="64" customFormat="1" ht="15.75" customHeight="1">
      <c r="A55" s="418" t="s">
        <v>427</v>
      </c>
      <c r="B55" s="418"/>
      <c r="C55" s="418"/>
      <c r="D55" s="418"/>
      <c r="E55" s="418"/>
      <c r="F55" s="185"/>
      <c r="G55" s="185"/>
      <c r="H55" s="185"/>
      <c r="I55" s="419">
        <f>SUM(I49:K54)</f>
        <v>0</v>
      </c>
      <c r="J55" s="419"/>
      <c r="K55" s="419"/>
      <c r="L55" s="419">
        <f>SUM(L49:N54)</f>
        <v>0</v>
      </c>
      <c r="M55" s="419"/>
      <c r="N55" s="419"/>
    </row>
    <row r="57" spans="1:14" ht="15" customHeight="1">
      <c r="A57" s="190" t="s">
        <v>1001</v>
      </c>
      <c r="B57" s="190"/>
      <c r="C57" s="190"/>
      <c r="D57" s="190"/>
      <c r="E57" s="190"/>
      <c r="F57" s="190"/>
      <c r="G57" s="190"/>
      <c r="H57" s="190"/>
      <c r="I57" s="190"/>
      <c r="J57" s="190"/>
      <c r="K57" s="190"/>
      <c r="L57" s="190"/>
      <c r="M57" s="190"/>
      <c r="N57" s="190"/>
    </row>
    <row r="58" spans="1:14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</row>
    <row r="59" spans="1:14" ht="24.95" customHeight="1">
      <c r="A59" s="362" t="s">
        <v>288</v>
      </c>
      <c r="B59" s="363"/>
      <c r="C59" s="363"/>
      <c r="D59" s="363"/>
      <c r="E59" s="363"/>
      <c r="F59" s="364"/>
      <c r="G59" s="252" t="s">
        <v>319</v>
      </c>
      <c r="H59" s="252"/>
      <c r="I59" s="252"/>
      <c r="J59" s="252"/>
      <c r="K59" s="252" t="s">
        <v>339</v>
      </c>
      <c r="L59" s="252"/>
      <c r="M59" s="252"/>
      <c r="N59" s="252"/>
    </row>
    <row r="60" spans="1:14">
      <c r="A60" s="379" t="s">
        <v>707</v>
      </c>
      <c r="B60" s="379"/>
      <c r="C60" s="379"/>
      <c r="D60" s="379"/>
      <c r="E60" s="379"/>
      <c r="F60" s="379"/>
      <c r="G60" s="383"/>
      <c r="H60" s="383"/>
      <c r="I60" s="383"/>
      <c r="J60" s="383"/>
      <c r="K60" s="239"/>
      <c r="L60" s="239"/>
      <c r="M60" s="239"/>
      <c r="N60" s="239"/>
    </row>
    <row r="61" spans="1:14">
      <c r="A61" s="381" t="s">
        <v>252</v>
      </c>
      <c r="B61" s="381"/>
      <c r="C61" s="381"/>
      <c r="D61" s="381"/>
      <c r="E61" s="381"/>
      <c r="F61" s="381"/>
      <c r="G61" s="382">
        <v>764044</v>
      </c>
      <c r="H61" s="382"/>
      <c r="I61" s="382"/>
      <c r="J61" s="382"/>
      <c r="K61" s="382">
        <v>862853</v>
      </c>
      <c r="L61" s="382"/>
      <c r="M61" s="382"/>
      <c r="N61" s="382"/>
    </row>
    <row r="62" spans="1:14">
      <c r="A62" s="381" t="s">
        <v>489</v>
      </c>
      <c r="B62" s="381"/>
      <c r="C62" s="381"/>
      <c r="D62" s="381"/>
      <c r="E62" s="381"/>
      <c r="F62" s="381"/>
      <c r="G62" s="382"/>
      <c r="H62" s="382"/>
      <c r="I62" s="382"/>
      <c r="J62" s="382"/>
      <c r="K62" s="382"/>
      <c r="L62" s="382"/>
      <c r="M62" s="382"/>
      <c r="N62" s="382"/>
    </row>
    <row r="63" spans="1:14">
      <c r="A63" s="381" t="s">
        <v>841</v>
      </c>
      <c r="B63" s="381"/>
      <c r="C63" s="381"/>
      <c r="D63" s="381"/>
      <c r="E63" s="381"/>
      <c r="F63" s="381"/>
      <c r="G63" s="381"/>
      <c r="H63" s="381"/>
      <c r="I63" s="381"/>
      <c r="J63" s="381"/>
      <c r="K63" s="236"/>
      <c r="L63" s="236"/>
      <c r="M63" s="236"/>
      <c r="N63" s="236"/>
    </row>
    <row r="64" spans="1:14">
      <c r="A64" s="381" t="s">
        <v>1002</v>
      </c>
      <c r="B64" s="381"/>
      <c r="C64" s="381"/>
      <c r="D64" s="381"/>
      <c r="E64" s="381"/>
      <c r="F64" s="381"/>
      <c r="G64" s="382"/>
      <c r="H64" s="382"/>
      <c r="I64" s="382"/>
      <c r="J64" s="382"/>
      <c r="K64" s="382"/>
      <c r="L64" s="382"/>
      <c r="M64" s="382"/>
      <c r="N64" s="382"/>
    </row>
    <row r="65" spans="1:14">
      <c r="A65" s="381" t="s">
        <v>1046</v>
      </c>
      <c r="B65" s="381"/>
      <c r="C65" s="381"/>
      <c r="D65" s="381"/>
      <c r="E65" s="381"/>
      <c r="F65" s="381"/>
      <c r="G65" s="382">
        <v>3179</v>
      </c>
      <c r="H65" s="382"/>
      <c r="I65" s="382"/>
      <c r="J65" s="382"/>
      <c r="K65" s="382">
        <v>6325</v>
      </c>
      <c r="L65" s="382"/>
      <c r="M65" s="382"/>
      <c r="N65" s="382"/>
    </row>
    <row r="66" spans="1:14">
      <c r="A66" s="382" t="s">
        <v>306</v>
      </c>
      <c r="B66" s="382"/>
      <c r="C66" s="382"/>
      <c r="D66" s="382"/>
      <c r="E66" s="382"/>
      <c r="F66" s="382"/>
      <c r="G66" s="382">
        <f>SUM(G60:J65)</f>
        <v>767223</v>
      </c>
      <c r="H66" s="382"/>
      <c r="I66" s="382"/>
      <c r="J66" s="382"/>
      <c r="K66" s="382">
        <f>SUM(K60:N65)</f>
        <v>869178</v>
      </c>
      <c r="L66" s="382"/>
      <c r="M66" s="382"/>
      <c r="N66" s="382"/>
    </row>
    <row r="91" spans="13:13">
      <c r="M91" s="100" t="s">
        <v>1297</v>
      </c>
    </row>
  </sheetData>
  <mergeCells count="174">
    <mergeCell ref="C12:D12"/>
    <mergeCell ref="E12:F12"/>
    <mergeCell ref="G12:H12"/>
    <mergeCell ref="I12:J12"/>
    <mergeCell ref="K12:L12"/>
    <mergeCell ref="M12:N12"/>
    <mergeCell ref="A13:B13"/>
    <mergeCell ref="C13:D13"/>
    <mergeCell ref="E13:F13"/>
    <mergeCell ref="G13:H13"/>
    <mergeCell ref="I13:J13"/>
    <mergeCell ref="K13:L13"/>
    <mergeCell ref="M13:N13"/>
    <mergeCell ref="A66:F66"/>
    <mergeCell ref="G66:J66"/>
    <mergeCell ref="K66:N66"/>
    <mergeCell ref="A57:N57"/>
    <mergeCell ref="A45:N46"/>
    <mergeCell ref="L48:N48"/>
    <mergeCell ref="I48:K48"/>
    <mergeCell ref="F48:H48"/>
    <mergeCell ref="A48:E48"/>
    <mergeCell ref="A65:F65"/>
    <mergeCell ref="I50:K50"/>
    <mergeCell ref="L50:N50"/>
    <mergeCell ref="A51:E51"/>
    <mergeCell ref="F51:H51"/>
    <mergeCell ref="I51:K51"/>
    <mergeCell ref="L51:N51"/>
    <mergeCell ref="A49:E49"/>
    <mergeCell ref="A52:E52"/>
    <mergeCell ref="F52:H52"/>
    <mergeCell ref="I52:K52"/>
    <mergeCell ref="L52:N52"/>
    <mergeCell ref="A53:E53"/>
    <mergeCell ref="F53:H53"/>
    <mergeCell ref="I53:K53"/>
    <mergeCell ref="A62:F62"/>
    <mergeCell ref="G62:J62"/>
    <mergeCell ref="K62:N62"/>
    <mergeCell ref="G65:J65"/>
    <mergeCell ref="K65:N65"/>
    <mergeCell ref="A63:F63"/>
    <mergeCell ref="G63:J63"/>
    <mergeCell ref="K63:N63"/>
    <mergeCell ref="A64:F64"/>
    <mergeCell ref="G64:J64"/>
    <mergeCell ref="K64:N64"/>
    <mergeCell ref="A59:F59"/>
    <mergeCell ref="G59:J59"/>
    <mergeCell ref="K59:N59"/>
    <mergeCell ref="A60:F60"/>
    <mergeCell ref="G60:J60"/>
    <mergeCell ref="K60:N60"/>
    <mergeCell ref="L49:N49"/>
    <mergeCell ref="A50:E50"/>
    <mergeCell ref="A61:F61"/>
    <mergeCell ref="G61:J61"/>
    <mergeCell ref="K61:N61"/>
    <mergeCell ref="L53:N53"/>
    <mergeCell ref="F50:H50"/>
    <mergeCell ref="A54:E54"/>
    <mergeCell ref="F54:H54"/>
    <mergeCell ref="I54:K54"/>
    <mergeCell ref="L54:N54"/>
    <mergeCell ref="A55:E55"/>
    <mergeCell ref="F55:H55"/>
    <mergeCell ref="I55:K55"/>
    <mergeCell ref="L55:N55"/>
    <mergeCell ref="F49:H49"/>
    <mergeCell ref="I49:K49"/>
    <mergeCell ref="G33:J33"/>
    <mergeCell ref="K33:N33"/>
    <mergeCell ref="A36:F36"/>
    <mergeCell ref="G36:J36"/>
    <mergeCell ref="K36:N36"/>
    <mergeCell ref="A37:F37"/>
    <mergeCell ref="G37:J37"/>
    <mergeCell ref="K37:N37"/>
    <mergeCell ref="A35:F35"/>
    <mergeCell ref="G35:J35"/>
    <mergeCell ref="K35:N35"/>
    <mergeCell ref="A34:F34"/>
    <mergeCell ref="G34:J34"/>
    <mergeCell ref="K34:N34"/>
    <mergeCell ref="A31:F31"/>
    <mergeCell ref="G31:J31"/>
    <mergeCell ref="K31:N31"/>
    <mergeCell ref="A32:F32"/>
    <mergeCell ref="G32:J32"/>
    <mergeCell ref="K32:N32"/>
    <mergeCell ref="A33:F33"/>
    <mergeCell ref="A22:F22"/>
    <mergeCell ref="A17:N18"/>
    <mergeCell ref="G20:J20"/>
    <mergeCell ref="K20:N20"/>
    <mergeCell ref="A20:F20"/>
    <mergeCell ref="G22:J22"/>
    <mergeCell ref="K22:N22"/>
    <mergeCell ref="A21:F21"/>
    <mergeCell ref="G21:J21"/>
    <mergeCell ref="K21:N21"/>
    <mergeCell ref="A29:F29"/>
    <mergeCell ref="G29:J29"/>
    <mergeCell ref="K29:N29"/>
    <mergeCell ref="A30:F30"/>
    <mergeCell ref="A25:F25"/>
    <mergeCell ref="G25:J25"/>
    <mergeCell ref="K25:N25"/>
    <mergeCell ref="G30:J30"/>
    <mergeCell ref="K30:N30"/>
    <mergeCell ref="K24:N24"/>
    <mergeCell ref="A27:F27"/>
    <mergeCell ref="G27:J27"/>
    <mergeCell ref="K27:N27"/>
    <mergeCell ref="A23:F23"/>
    <mergeCell ref="G23:J23"/>
    <mergeCell ref="K23:N23"/>
    <mergeCell ref="A28:F28"/>
    <mergeCell ref="G28:J28"/>
    <mergeCell ref="K28:N28"/>
    <mergeCell ref="A24:F24"/>
    <mergeCell ref="G24:J24"/>
    <mergeCell ref="A26:F26"/>
    <mergeCell ref="G26:J26"/>
    <mergeCell ref="K26:N26"/>
    <mergeCell ref="K11:L11"/>
    <mergeCell ref="M11:N11"/>
    <mergeCell ref="A11:B11"/>
    <mergeCell ref="C11:D11"/>
    <mergeCell ref="E11:F11"/>
    <mergeCell ref="M14:N14"/>
    <mergeCell ref="A4:N4"/>
    <mergeCell ref="A2:N2"/>
    <mergeCell ref="C6:F6"/>
    <mergeCell ref="G6:J6"/>
    <mergeCell ref="K6:N6"/>
    <mergeCell ref="A6:B7"/>
    <mergeCell ref="I7:J7"/>
    <mergeCell ref="K7:L7"/>
    <mergeCell ref="I10:J10"/>
    <mergeCell ref="K10:L10"/>
    <mergeCell ref="A8:B8"/>
    <mergeCell ref="C8:D8"/>
    <mergeCell ref="E8:F8"/>
    <mergeCell ref="G9:H9"/>
    <mergeCell ref="I9:J9"/>
    <mergeCell ref="M8:N8"/>
    <mergeCell ref="A9:B9"/>
    <mergeCell ref="A12:B12"/>
    <mergeCell ref="I14:J14"/>
    <mergeCell ref="K14:L14"/>
    <mergeCell ref="A10:B10"/>
    <mergeCell ref="K9:L9"/>
    <mergeCell ref="C7:D7"/>
    <mergeCell ref="E7:F7"/>
    <mergeCell ref="G7:H7"/>
    <mergeCell ref="M9:N9"/>
    <mergeCell ref="G8:H8"/>
    <mergeCell ref="I8:J8"/>
    <mergeCell ref="K8:L8"/>
    <mergeCell ref="C9:D9"/>
    <mergeCell ref="E9:F9"/>
    <mergeCell ref="M7:N7"/>
    <mergeCell ref="A14:B14"/>
    <mergeCell ref="C14:D14"/>
    <mergeCell ref="E14:F14"/>
    <mergeCell ref="G14:H14"/>
    <mergeCell ref="C10:D10"/>
    <mergeCell ref="E10:F10"/>
    <mergeCell ref="G10:H10"/>
    <mergeCell ref="M10:N10"/>
    <mergeCell ref="G11:H11"/>
    <mergeCell ref="I11:J11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N45"/>
  <sheetViews>
    <sheetView workbookViewId="0">
      <selection activeCell="G27" sqref="G27:J27"/>
    </sheetView>
  </sheetViews>
  <sheetFormatPr defaultRowHeight="15"/>
  <cols>
    <col min="1" max="14" width="6" customWidth="1"/>
  </cols>
  <sheetData>
    <row r="1" spans="1:14" s="64" customFormat="1"/>
    <row r="2" spans="1:14" s="64" customFormat="1" ht="18.75">
      <c r="A2" s="377" t="s">
        <v>664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</row>
    <row r="3" spans="1:14" s="64" customFormat="1"/>
    <row r="4" spans="1:14" s="64" customFormat="1" ht="15.75">
      <c r="A4" s="190" t="s">
        <v>1075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</row>
    <row r="6" spans="1:14" ht="24.95" customHeight="1">
      <c r="A6" s="362" t="s">
        <v>288</v>
      </c>
      <c r="B6" s="363"/>
      <c r="C6" s="363"/>
      <c r="D6" s="363"/>
      <c r="E6" s="363"/>
      <c r="F6" s="364"/>
      <c r="G6" s="252" t="s">
        <v>319</v>
      </c>
      <c r="H6" s="252"/>
      <c r="I6" s="252"/>
      <c r="J6" s="252"/>
      <c r="K6" s="252" t="s">
        <v>339</v>
      </c>
      <c r="L6" s="252"/>
      <c r="M6" s="252"/>
      <c r="N6" s="252"/>
    </row>
    <row r="7" spans="1:14">
      <c r="A7" s="383" t="s">
        <v>945</v>
      </c>
      <c r="B7" s="383"/>
      <c r="C7" s="383"/>
      <c r="D7" s="383"/>
      <c r="E7" s="383"/>
      <c r="F7" s="383"/>
      <c r="G7" s="383">
        <v>676785</v>
      </c>
      <c r="H7" s="383"/>
      <c r="I7" s="383"/>
      <c r="J7" s="383"/>
      <c r="K7" s="239">
        <v>628403</v>
      </c>
      <c r="L7" s="239"/>
      <c r="M7" s="239"/>
      <c r="N7" s="239"/>
    </row>
    <row r="8" spans="1:14" ht="24.95" customHeight="1">
      <c r="A8" s="381" t="s">
        <v>458</v>
      </c>
      <c r="B8" s="381"/>
      <c r="C8" s="381"/>
      <c r="D8" s="381"/>
      <c r="E8" s="381"/>
      <c r="F8" s="381"/>
      <c r="G8" s="382"/>
      <c r="H8" s="382"/>
      <c r="I8" s="382"/>
      <c r="J8" s="382"/>
      <c r="K8" s="382"/>
      <c r="L8" s="382"/>
      <c r="M8" s="382"/>
      <c r="N8" s="382"/>
    </row>
    <row r="9" spans="1:14" ht="24.95" customHeight="1">
      <c r="A9" s="381" t="s">
        <v>1123</v>
      </c>
      <c r="B9" s="381"/>
      <c r="C9" s="381"/>
      <c r="D9" s="381"/>
      <c r="E9" s="381"/>
      <c r="F9" s="381"/>
      <c r="G9" s="382"/>
      <c r="H9" s="382"/>
      <c r="I9" s="382"/>
      <c r="J9" s="382"/>
      <c r="K9" s="382"/>
      <c r="L9" s="382"/>
      <c r="M9" s="382"/>
      <c r="N9" s="382"/>
    </row>
    <row r="10" spans="1:14">
      <c r="A10" s="381" t="s">
        <v>473</v>
      </c>
      <c r="B10" s="381"/>
      <c r="C10" s="381"/>
      <c r="D10" s="381"/>
      <c r="E10" s="381"/>
      <c r="F10" s="381"/>
      <c r="G10" s="381"/>
      <c r="H10" s="381"/>
      <c r="I10" s="381"/>
      <c r="J10" s="381"/>
      <c r="K10" s="236"/>
      <c r="L10" s="236"/>
      <c r="M10" s="236"/>
      <c r="N10" s="236"/>
    </row>
    <row r="11" spans="1:14">
      <c r="A11" s="381" t="s">
        <v>198</v>
      </c>
      <c r="B11" s="381"/>
      <c r="C11" s="381"/>
      <c r="D11" s="381"/>
      <c r="E11" s="381"/>
      <c r="F11" s="381"/>
      <c r="G11" s="382"/>
      <c r="H11" s="382"/>
      <c r="I11" s="382"/>
      <c r="J11" s="382"/>
      <c r="K11" s="382"/>
      <c r="L11" s="382"/>
      <c r="M11" s="382"/>
      <c r="N11" s="382"/>
    </row>
    <row r="12" spans="1:14">
      <c r="A12" s="381" t="s">
        <v>700</v>
      </c>
      <c r="B12" s="381"/>
      <c r="C12" s="381"/>
      <c r="D12" s="381"/>
      <c r="E12" s="381"/>
      <c r="F12" s="381"/>
      <c r="G12" s="382"/>
      <c r="H12" s="382"/>
      <c r="I12" s="382"/>
      <c r="J12" s="382"/>
      <c r="K12" s="382"/>
      <c r="L12" s="382"/>
      <c r="M12" s="382"/>
      <c r="N12" s="382"/>
    </row>
    <row r="13" spans="1:14" s="64" customFormat="1">
      <c r="A13" s="381" t="s">
        <v>621</v>
      </c>
      <c r="B13" s="381"/>
      <c r="C13" s="381"/>
      <c r="D13" s="381"/>
      <c r="E13" s="381"/>
      <c r="F13" s="381"/>
      <c r="G13" s="381"/>
      <c r="H13" s="381"/>
      <c r="I13" s="381"/>
      <c r="J13" s="381"/>
      <c r="K13" s="236"/>
      <c r="L13" s="236"/>
      <c r="M13" s="236"/>
      <c r="N13" s="236"/>
    </row>
    <row r="14" spans="1:14" s="64" customFormat="1" ht="24.95" customHeight="1">
      <c r="A14" s="381" t="s">
        <v>305</v>
      </c>
      <c r="B14" s="381"/>
      <c r="C14" s="381"/>
      <c r="D14" s="381"/>
      <c r="E14" s="381"/>
      <c r="F14" s="381"/>
      <c r="G14" s="382"/>
      <c r="H14" s="382"/>
      <c r="I14" s="382"/>
      <c r="J14" s="382"/>
      <c r="K14" s="382"/>
      <c r="L14" s="382"/>
      <c r="M14" s="382"/>
      <c r="N14" s="382"/>
    </row>
    <row r="15" spans="1:14" s="64" customFormat="1">
      <c r="A15" s="381" t="s">
        <v>1271</v>
      </c>
      <c r="B15" s="381"/>
      <c r="C15" s="381"/>
      <c r="D15" s="381"/>
      <c r="E15" s="381"/>
      <c r="F15" s="381"/>
      <c r="G15" s="382">
        <v>426720</v>
      </c>
      <c r="H15" s="382"/>
      <c r="I15" s="382"/>
      <c r="J15" s="382"/>
      <c r="K15" s="382">
        <v>264712</v>
      </c>
      <c r="L15" s="382"/>
      <c r="M15" s="382"/>
      <c r="N15" s="382"/>
    </row>
    <row r="16" spans="1:14" s="64" customFormat="1">
      <c r="A16" s="381" t="s">
        <v>1272</v>
      </c>
      <c r="B16" s="381"/>
      <c r="C16" s="381"/>
      <c r="D16" s="381"/>
      <c r="E16" s="381"/>
      <c r="F16" s="381"/>
      <c r="G16" s="382">
        <v>72880</v>
      </c>
      <c r="H16" s="382"/>
      <c r="I16" s="382"/>
      <c r="J16" s="382"/>
      <c r="K16" s="382">
        <v>154170</v>
      </c>
      <c r="L16" s="382"/>
      <c r="M16" s="382"/>
      <c r="N16" s="382"/>
    </row>
    <row r="17" spans="1:14" s="64" customFormat="1">
      <c r="A17" s="381"/>
      <c r="B17" s="381"/>
      <c r="C17" s="381"/>
      <c r="D17" s="381"/>
      <c r="E17" s="381"/>
      <c r="F17" s="381"/>
      <c r="G17" s="382"/>
      <c r="H17" s="382"/>
      <c r="I17" s="382"/>
      <c r="J17" s="382"/>
      <c r="K17" s="382"/>
      <c r="L17" s="382"/>
      <c r="M17" s="382"/>
      <c r="N17" s="382"/>
    </row>
    <row r="18" spans="1:14" ht="24.95" customHeight="1">
      <c r="A18" s="382" t="s">
        <v>642</v>
      </c>
      <c r="B18" s="382"/>
      <c r="C18" s="382"/>
      <c r="D18" s="382"/>
      <c r="E18" s="382"/>
      <c r="F18" s="382"/>
      <c r="G18" s="382">
        <v>17240</v>
      </c>
      <c r="H18" s="382"/>
      <c r="I18" s="382"/>
      <c r="J18" s="382"/>
      <c r="K18" s="382">
        <v>28632</v>
      </c>
      <c r="L18" s="382"/>
      <c r="M18" s="382"/>
      <c r="N18" s="382"/>
    </row>
    <row r="19" spans="1:14" s="64" customFormat="1">
      <c r="A19" s="381" t="s">
        <v>1273</v>
      </c>
      <c r="B19" s="381"/>
      <c r="C19" s="381"/>
      <c r="D19" s="381"/>
      <c r="E19" s="381"/>
      <c r="F19" s="381"/>
      <c r="G19" s="382">
        <v>11464</v>
      </c>
      <c r="H19" s="382"/>
      <c r="I19" s="382"/>
      <c r="J19" s="382"/>
      <c r="K19" s="382">
        <v>25192</v>
      </c>
      <c r="L19" s="382"/>
      <c r="M19" s="382"/>
      <c r="N19" s="382"/>
    </row>
    <row r="20" spans="1:14" s="64" customFormat="1">
      <c r="A20" s="381"/>
      <c r="B20" s="381"/>
      <c r="C20" s="381"/>
      <c r="D20" s="381"/>
      <c r="E20" s="381"/>
      <c r="F20" s="381"/>
      <c r="G20" s="382"/>
      <c r="H20" s="382"/>
      <c r="I20" s="382"/>
      <c r="J20" s="382"/>
      <c r="K20" s="382"/>
      <c r="L20" s="382"/>
      <c r="M20" s="382"/>
      <c r="N20" s="382"/>
    </row>
    <row r="21" spans="1:14" s="64" customFormat="1">
      <c r="A21" s="381"/>
      <c r="B21" s="381"/>
      <c r="C21" s="381"/>
      <c r="D21" s="381"/>
      <c r="E21" s="381"/>
      <c r="F21" s="381"/>
      <c r="G21" s="382"/>
      <c r="H21" s="382"/>
      <c r="I21" s="382"/>
      <c r="J21" s="382"/>
      <c r="K21" s="382"/>
      <c r="L21" s="382"/>
      <c r="M21" s="382"/>
      <c r="N21" s="382"/>
    </row>
    <row r="22" spans="1:14" s="64" customFormat="1">
      <c r="A22" s="381"/>
      <c r="B22" s="381"/>
      <c r="C22" s="381"/>
      <c r="D22" s="381"/>
      <c r="E22" s="381"/>
      <c r="F22" s="381"/>
      <c r="G22" s="382"/>
      <c r="H22" s="382"/>
      <c r="I22" s="382"/>
      <c r="J22" s="382"/>
      <c r="K22" s="382"/>
      <c r="L22" s="382"/>
      <c r="M22" s="382"/>
      <c r="N22" s="382"/>
    </row>
    <row r="23" spans="1:14" s="64" customFormat="1" ht="15" customHeight="1">
      <c r="A23" s="382" t="s">
        <v>601</v>
      </c>
      <c r="B23" s="382"/>
      <c r="C23" s="382"/>
      <c r="D23" s="382"/>
      <c r="E23" s="382"/>
      <c r="F23" s="382"/>
      <c r="G23" s="382"/>
      <c r="H23" s="382"/>
      <c r="I23" s="382"/>
      <c r="J23" s="382"/>
      <c r="K23" s="382"/>
      <c r="L23" s="382"/>
      <c r="M23" s="382"/>
      <c r="N23" s="382"/>
    </row>
    <row r="24" spans="1:14" s="64" customFormat="1">
      <c r="A24" s="381" t="s">
        <v>530</v>
      </c>
      <c r="B24" s="381"/>
      <c r="C24" s="381"/>
      <c r="D24" s="381"/>
      <c r="E24" s="381"/>
      <c r="F24" s="381"/>
      <c r="G24" s="382">
        <v>24</v>
      </c>
      <c r="H24" s="382"/>
      <c r="I24" s="382"/>
      <c r="J24" s="382"/>
      <c r="K24" s="382">
        <v>173</v>
      </c>
      <c r="L24" s="382"/>
      <c r="M24" s="382"/>
      <c r="N24" s="382"/>
    </row>
    <row r="25" spans="1:14" s="64" customFormat="1" ht="24.95" customHeight="1">
      <c r="A25" s="381" t="s">
        <v>323</v>
      </c>
      <c r="B25" s="381"/>
      <c r="C25" s="381"/>
      <c r="D25" s="381"/>
      <c r="E25" s="381"/>
      <c r="F25" s="381"/>
      <c r="G25" s="382"/>
      <c r="H25" s="382"/>
      <c r="I25" s="382"/>
      <c r="J25" s="382"/>
      <c r="K25" s="382"/>
      <c r="L25" s="382"/>
      <c r="M25" s="382"/>
      <c r="N25" s="382"/>
    </row>
    <row r="26" spans="1:14" s="64" customFormat="1" ht="24.95" customHeight="1">
      <c r="A26" s="381" t="s">
        <v>364</v>
      </c>
      <c r="B26" s="381"/>
      <c r="C26" s="381"/>
      <c r="D26" s="381"/>
      <c r="E26" s="381"/>
      <c r="F26" s="381"/>
      <c r="G26" s="382">
        <v>525</v>
      </c>
      <c r="H26" s="382"/>
      <c r="I26" s="382"/>
      <c r="J26" s="382"/>
      <c r="K26" s="382">
        <v>653</v>
      </c>
      <c r="L26" s="382"/>
      <c r="M26" s="382"/>
      <c r="N26" s="382"/>
    </row>
    <row r="27" spans="1:14" s="64" customFormat="1">
      <c r="A27" s="381"/>
      <c r="B27" s="381"/>
      <c r="C27" s="381"/>
      <c r="D27" s="381"/>
      <c r="E27" s="381"/>
      <c r="F27" s="381"/>
      <c r="G27" s="382"/>
      <c r="H27" s="382"/>
      <c r="I27" s="382"/>
      <c r="J27" s="382"/>
      <c r="K27" s="382"/>
      <c r="L27" s="382"/>
      <c r="M27" s="382"/>
      <c r="N27" s="382"/>
    </row>
    <row r="28" spans="1:14" s="64" customFormat="1">
      <c r="A28" s="381"/>
      <c r="B28" s="381"/>
      <c r="C28" s="381"/>
      <c r="D28" s="381"/>
      <c r="E28" s="381"/>
      <c r="F28" s="381"/>
      <c r="G28" s="382"/>
      <c r="H28" s="382"/>
      <c r="I28" s="382"/>
      <c r="J28" s="382"/>
      <c r="K28" s="382"/>
      <c r="L28" s="382"/>
      <c r="M28" s="382"/>
      <c r="N28" s="382"/>
    </row>
    <row r="29" spans="1:14" s="64" customFormat="1" ht="15" customHeight="1">
      <c r="A29" s="382" t="s">
        <v>1270</v>
      </c>
      <c r="B29" s="382"/>
      <c r="C29" s="382"/>
      <c r="D29" s="382"/>
      <c r="E29" s="382"/>
      <c r="F29" s="382"/>
      <c r="G29" s="382"/>
      <c r="H29" s="382"/>
      <c r="I29" s="382"/>
      <c r="J29" s="382"/>
      <c r="K29" s="382"/>
      <c r="L29" s="382"/>
      <c r="M29" s="382"/>
      <c r="N29" s="382"/>
    </row>
    <row r="30" spans="1:14" s="64" customFormat="1">
      <c r="A30" s="381"/>
      <c r="B30" s="381"/>
      <c r="C30" s="381"/>
      <c r="D30" s="381"/>
      <c r="E30" s="381"/>
      <c r="F30" s="381"/>
      <c r="G30" s="382"/>
      <c r="H30" s="382"/>
      <c r="I30" s="382"/>
      <c r="J30" s="382"/>
      <c r="K30" s="382"/>
      <c r="L30" s="382"/>
      <c r="M30" s="382"/>
      <c r="N30" s="382"/>
    </row>
    <row r="31" spans="1:14" s="64" customFormat="1">
      <c r="A31" s="381"/>
      <c r="B31" s="381"/>
      <c r="C31" s="381"/>
      <c r="D31" s="381"/>
      <c r="E31" s="381"/>
      <c r="F31" s="381"/>
      <c r="G31" s="382"/>
      <c r="H31" s="382"/>
      <c r="I31" s="382"/>
      <c r="J31" s="382"/>
      <c r="K31" s="382"/>
      <c r="L31" s="382"/>
      <c r="M31" s="382"/>
      <c r="N31" s="382"/>
    </row>
    <row r="45" spans="13:13">
      <c r="M45" s="100" t="s">
        <v>1298</v>
      </c>
    </row>
  </sheetData>
  <mergeCells count="80">
    <mergeCell ref="A28:F28"/>
    <mergeCell ref="G28:J28"/>
    <mergeCell ref="K28:N28"/>
    <mergeCell ref="A31:F31"/>
    <mergeCell ref="G31:J31"/>
    <mergeCell ref="K31:N31"/>
    <mergeCell ref="A29:F29"/>
    <mergeCell ref="G29:J29"/>
    <mergeCell ref="K29:N29"/>
    <mergeCell ref="A30:F30"/>
    <mergeCell ref="G30:J30"/>
    <mergeCell ref="K30:N30"/>
    <mergeCell ref="A26:F26"/>
    <mergeCell ref="G26:J26"/>
    <mergeCell ref="K26:N26"/>
    <mergeCell ref="A27:F27"/>
    <mergeCell ref="G27:J27"/>
    <mergeCell ref="K27:N27"/>
    <mergeCell ref="A24:F24"/>
    <mergeCell ref="G24:J24"/>
    <mergeCell ref="K24:N24"/>
    <mergeCell ref="A25:F25"/>
    <mergeCell ref="G25:J25"/>
    <mergeCell ref="K25:N25"/>
    <mergeCell ref="A20:F20"/>
    <mergeCell ref="G20:J20"/>
    <mergeCell ref="K20:N20"/>
    <mergeCell ref="A23:F23"/>
    <mergeCell ref="G23:J23"/>
    <mergeCell ref="K23:N23"/>
    <mergeCell ref="A21:F21"/>
    <mergeCell ref="G21:J21"/>
    <mergeCell ref="K21:N21"/>
    <mergeCell ref="A22:F22"/>
    <mergeCell ref="G22:J22"/>
    <mergeCell ref="K22:N22"/>
    <mergeCell ref="G16:J16"/>
    <mergeCell ref="K16:N16"/>
    <mergeCell ref="A19:F19"/>
    <mergeCell ref="G19:J19"/>
    <mergeCell ref="K19:N19"/>
    <mergeCell ref="A18:F18"/>
    <mergeCell ref="G18:J18"/>
    <mergeCell ref="K18:N18"/>
    <mergeCell ref="A17:F17"/>
    <mergeCell ref="G17:J17"/>
    <mergeCell ref="K17:N17"/>
    <mergeCell ref="A15:F15"/>
    <mergeCell ref="G15:J15"/>
    <mergeCell ref="K15:N15"/>
    <mergeCell ref="A16:F16"/>
    <mergeCell ref="A11:F11"/>
    <mergeCell ref="G11:J11"/>
    <mergeCell ref="K11:N11"/>
    <mergeCell ref="A12:F12"/>
    <mergeCell ref="G12:J12"/>
    <mergeCell ref="K12:N12"/>
    <mergeCell ref="A13:F13"/>
    <mergeCell ref="G13:J13"/>
    <mergeCell ref="K13:N13"/>
    <mergeCell ref="A14:F14"/>
    <mergeCell ref="G14:J14"/>
    <mergeCell ref="K14:N14"/>
    <mergeCell ref="A9:F9"/>
    <mergeCell ref="G9:J9"/>
    <mergeCell ref="K9:N9"/>
    <mergeCell ref="A10:F10"/>
    <mergeCell ref="G10:J10"/>
    <mergeCell ref="K10:N10"/>
    <mergeCell ref="A7:F7"/>
    <mergeCell ref="G7:J7"/>
    <mergeCell ref="K7:N7"/>
    <mergeCell ref="A8:F8"/>
    <mergeCell ref="G8:J8"/>
    <mergeCell ref="K8:N8"/>
    <mergeCell ref="A2:N2"/>
    <mergeCell ref="A4:N4"/>
    <mergeCell ref="A6:F6"/>
    <mergeCell ref="G6:J6"/>
    <mergeCell ref="K6:N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N48"/>
  <sheetViews>
    <sheetView workbookViewId="0">
      <selection activeCell="I27" sqref="I27"/>
    </sheetView>
  </sheetViews>
  <sheetFormatPr defaultRowHeight="15"/>
  <cols>
    <col min="1" max="14" width="6" customWidth="1"/>
  </cols>
  <sheetData>
    <row r="1" spans="1:14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18.75">
      <c r="A2" s="377" t="s">
        <v>165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</row>
    <row r="3" spans="1:14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ht="15.75">
      <c r="A4" s="190" t="s">
        <v>646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</row>
    <row r="5" spans="1:14" s="100" customFormat="1" ht="15.75">
      <c r="A5" s="17" t="s">
        <v>1300</v>
      </c>
      <c r="B5" s="15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</row>
    <row r="6" spans="1:14" s="100" customFormat="1" ht="15.75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</row>
    <row r="9" spans="1:14" ht="15.75" customHeight="1">
      <c r="A9" s="190" t="s">
        <v>384</v>
      </c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</row>
    <row r="10" spans="1:14">
      <c r="A10" s="190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</row>
    <row r="12" spans="1:14" ht="24.95" customHeight="1">
      <c r="A12" s="233" t="s">
        <v>288</v>
      </c>
      <c r="B12" s="233"/>
      <c r="C12" s="233"/>
      <c r="D12" s="233"/>
      <c r="E12" s="233" t="s">
        <v>319</v>
      </c>
      <c r="F12" s="233"/>
      <c r="G12" s="233"/>
      <c r="H12" s="233"/>
      <c r="I12" s="233"/>
      <c r="J12" s="233" t="s">
        <v>339</v>
      </c>
      <c r="K12" s="233"/>
      <c r="L12" s="233"/>
      <c r="M12" s="233"/>
      <c r="N12" s="233"/>
    </row>
    <row r="13" spans="1:14" ht="24">
      <c r="A13" s="233"/>
      <c r="B13" s="233"/>
      <c r="C13" s="233"/>
      <c r="D13" s="233"/>
      <c r="E13" s="233" t="s">
        <v>933</v>
      </c>
      <c r="F13" s="233"/>
      <c r="G13" s="233" t="s">
        <v>959</v>
      </c>
      <c r="H13" s="233"/>
      <c r="I13" s="68" t="s">
        <v>1062</v>
      </c>
      <c r="J13" s="233" t="s">
        <v>933</v>
      </c>
      <c r="K13" s="233"/>
      <c r="L13" s="233" t="s">
        <v>959</v>
      </c>
      <c r="M13" s="233"/>
      <c r="N13" s="68" t="s">
        <v>1062</v>
      </c>
    </row>
    <row r="14" spans="1:14">
      <c r="A14" s="403" t="s">
        <v>832</v>
      </c>
      <c r="B14" s="403"/>
      <c r="C14" s="403"/>
      <c r="D14" s="403"/>
      <c r="E14" s="403" t="s">
        <v>36</v>
      </c>
      <c r="F14" s="403"/>
      <c r="G14" s="403" t="s">
        <v>647</v>
      </c>
      <c r="H14" s="403"/>
      <c r="I14" s="69" t="s">
        <v>236</v>
      </c>
      <c r="J14" s="403" t="s">
        <v>741</v>
      </c>
      <c r="K14" s="403"/>
      <c r="L14" s="403" t="s">
        <v>139</v>
      </c>
      <c r="M14" s="403"/>
      <c r="N14" s="69" t="s">
        <v>618</v>
      </c>
    </row>
    <row r="15" spans="1:14" ht="24.95" customHeight="1">
      <c r="A15" s="426" t="s">
        <v>153</v>
      </c>
      <c r="B15" s="427"/>
      <c r="C15" s="427"/>
      <c r="D15" s="428"/>
      <c r="E15" s="298">
        <v>21967</v>
      </c>
      <c r="F15" s="298"/>
      <c r="G15" s="424" t="s">
        <v>553</v>
      </c>
      <c r="H15" s="424"/>
      <c r="I15" s="71" t="s">
        <v>553</v>
      </c>
      <c r="J15" s="298">
        <v>125272</v>
      </c>
      <c r="K15" s="298"/>
      <c r="L15" s="424" t="s">
        <v>553</v>
      </c>
      <c r="M15" s="424"/>
      <c r="N15" s="71" t="s">
        <v>553</v>
      </c>
    </row>
    <row r="16" spans="1:14">
      <c r="A16" s="318" t="s">
        <v>728</v>
      </c>
      <c r="B16" s="318"/>
      <c r="C16" s="318"/>
      <c r="D16" s="318"/>
      <c r="E16" s="422" t="s">
        <v>553</v>
      </c>
      <c r="F16" s="423"/>
      <c r="G16" s="273">
        <v>5052</v>
      </c>
      <c r="H16" s="273"/>
      <c r="I16" s="70">
        <v>23</v>
      </c>
      <c r="J16" s="422" t="s">
        <v>553</v>
      </c>
      <c r="K16" s="423"/>
      <c r="L16" s="273">
        <v>23802</v>
      </c>
      <c r="M16" s="273"/>
      <c r="N16" s="70">
        <v>19</v>
      </c>
    </row>
    <row r="17" spans="1:14">
      <c r="A17" s="318" t="s">
        <v>1032</v>
      </c>
      <c r="B17" s="318"/>
      <c r="C17" s="318"/>
      <c r="D17" s="318"/>
      <c r="E17" s="273">
        <v>11974</v>
      </c>
      <c r="F17" s="273"/>
      <c r="G17" s="273">
        <v>2754</v>
      </c>
      <c r="H17" s="273"/>
      <c r="I17" s="70">
        <v>23</v>
      </c>
      <c r="J17" s="273">
        <v>19616</v>
      </c>
      <c r="K17" s="273"/>
      <c r="L17" s="273">
        <v>3727</v>
      </c>
      <c r="M17" s="273"/>
      <c r="N17" s="70">
        <v>19</v>
      </c>
    </row>
    <row r="18" spans="1:14">
      <c r="A18" s="318" t="s">
        <v>908</v>
      </c>
      <c r="B18" s="318"/>
      <c r="C18" s="318"/>
      <c r="D18" s="318"/>
      <c r="E18" s="273">
        <v>-1501</v>
      </c>
      <c r="F18" s="273"/>
      <c r="G18" s="273">
        <v>-345</v>
      </c>
      <c r="H18" s="273"/>
      <c r="I18" s="70">
        <v>23</v>
      </c>
      <c r="J18" s="273">
        <v>-3310</v>
      </c>
      <c r="K18" s="273"/>
      <c r="L18" s="273">
        <v>-629</v>
      </c>
      <c r="M18" s="273"/>
      <c r="N18" s="70">
        <v>19</v>
      </c>
    </row>
    <row r="19" spans="1:14">
      <c r="A19" s="318" t="s">
        <v>505</v>
      </c>
      <c r="B19" s="318"/>
      <c r="C19" s="318"/>
      <c r="D19" s="318"/>
      <c r="E19" s="273">
        <v>0</v>
      </c>
      <c r="F19" s="273"/>
      <c r="G19" s="273">
        <v>0</v>
      </c>
      <c r="H19" s="273"/>
      <c r="I19" s="70">
        <v>23</v>
      </c>
      <c r="J19" s="273">
        <v>-141578</v>
      </c>
      <c r="K19" s="273"/>
      <c r="L19" s="273">
        <v>-26900</v>
      </c>
      <c r="M19" s="273"/>
      <c r="N19" s="70">
        <v>19</v>
      </c>
    </row>
    <row r="20" spans="1:14">
      <c r="A20" s="318" t="s">
        <v>427</v>
      </c>
      <c r="B20" s="318"/>
      <c r="C20" s="318"/>
      <c r="D20" s="318"/>
      <c r="E20" s="273"/>
      <c r="F20" s="273"/>
      <c r="G20" s="273">
        <f>SUM(G16:H19)</f>
        <v>7461</v>
      </c>
      <c r="H20" s="273"/>
      <c r="I20" s="70"/>
      <c r="J20" s="273"/>
      <c r="K20" s="273"/>
      <c r="L20" s="273">
        <f>SUM(L16:M19)</f>
        <v>0</v>
      </c>
      <c r="M20" s="273"/>
      <c r="N20" s="70"/>
    </row>
    <row r="21" spans="1:14">
      <c r="A21" s="318" t="s">
        <v>699</v>
      </c>
      <c r="B21" s="318"/>
      <c r="C21" s="318"/>
      <c r="D21" s="318"/>
      <c r="E21" s="238" t="s">
        <v>553</v>
      </c>
      <c r="F21" s="238"/>
      <c r="G21" s="273">
        <v>7461</v>
      </c>
      <c r="H21" s="273"/>
      <c r="I21" s="70"/>
      <c r="J21" s="238" t="s">
        <v>553</v>
      </c>
      <c r="K21" s="238"/>
      <c r="L21" s="273">
        <v>0</v>
      </c>
      <c r="M21" s="273"/>
      <c r="N21" s="70"/>
    </row>
    <row r="22" spans="1:14" s="92" customFormat="1">
      <c r="A22" s="347" t="s">
        <v>1274</v>
      </c>
      <c r="B22" s="425"/>
      <c r="C22" s="425"/>
      <c r="D22" s="348"/>
      <c r="E22" s="422" t="s">
        <v>553</v>
      </c>
      <c r="F22" s="423"/>
      <c r="G22" s="404">
        <v>0</v>
      </c>
      <c r="H22" s="406"/>
      <c r="I22" s="91">
        <v>19</v>
      </c>
      <c r="J22" s="422" t="s">
        <v>553</v>
      </c>
      <c r="K22" s="423"/>
      <c r="L22" s="404">
        <v>20</v>
      </c>
      <c r="M22" s="406"/>
      <c r="N22" s="91">
        <v>19</v>
      </c>
    </row>
    <row r="23" spans="1:14">
      <c r="A23" s="318" t="s">
        <v>348</v>
      </c>
      <c r="B23" s="318"/>
      <c r="C23" s="318"/>
      <c r="D23" s="318"/>
      <c r="E23" s="238" t="s">
        <v>553</v>
      </c>
      <c r="F23" s="238"/>
      <c r="G23" s="273"/>
      <c r="H23" s="273"/>
      <c r="I23" s="70"/>
      <c r="J23" s="238" t="s">
        <v>553</v>
      </c>
      <c r="K23" s="238"/>
      <c r="L23" s="273"/>
      <c r="M23" s="273"/>
      <c r="N23" s="70"/>
    </row>
    <row r="24" spans="1:14">
      <c r="A24" s="318" t="s">
        <v>450</v>
      </c>
      <c r="B24" s="318"/>
      <c r="C24" s="318"/>
      <c r="D24" s="318"/>
      <c r="E24" s="238" t="s">
        <v>553</v>
      </c>
      <c r="F24" s="238"/>
      <c r="G24" s="273">
        <f>SUM(G21:H23)</f>
        <v>7461</v>
      </c>
      <c r="H24" s="273"/>
      <c r="I24" s="70"/>
      <c r="J24" s="238" t="s">
        <v>553</v>
      </c>
      <c r="K24" s="238"/>
      <c r="L24" s="273">
        <f>SUM(L21:M23)</f>
        <v>20</v>
      </c>
      <c r="M24" s="273"/>
      <c r="N24" s="70"/>
    </row>
    <row r="26" spans="1:14">
      <c r="M26" s="100"/>
    </row>
    <row r="48" spans="13:13">
      <c r="M48" s="100" t="s">
        <v>1299</v>
      </c>
    </row>
  </sheetData>
  <mergeCells count="65">
    <mergeCell ref="G13:H13"/>
    <mergeCell ref="E13:F13"/>
    <mergeCell ref="E14:F14"/>
    <mergeCell ref="G14:H14"/>
    <mergeCell ref="A2:N2"/>
    <mergeCell ref="A4:N4"/>
    <mergeCell ref="A9:N10"/>
    <mergeCell ref="J13:K13"/>
    <mergeCell ref="L13:M13"/>
    <mergeCell ref="A12:D13"/>
    <mergeCell ref="E12:I12"/>
    <mergeCell ref="J12:N12"/>
    <mergeCell ref="J14:K14"/>
    <mergeCell ref="L14:M14"/>
    <mergeCell ref="A14:D14"/>
    <mergeCell ref="A18:D18"/>
    <mergeCell ref="E16:F16"/>
    <mergeCell ref="L15:M15"/>
    <mergeCell ref="L16:M16"/>
    <mergeCell ref="L17:M17"/>
    <mergeCell ref="A16:D16"/>
    <mergeCell ref="A17:D17"/>
    <mergeCell ref="J15:K15"/>
    <mergeCell ref="J16:K16"/>
    <mergeCell ref="J17:K17"/>
    <mergeCell ref="J18:K18"/>
    <mergeCell ref="A15:D15"/>
    <mergeCell ref="A19:D19"/>
    <mergeCell ref="A20:D20"/>
    <mergeCell ref="A21:D21"/>
    <mergeCell ref="A23:D23"/>
    <mergeCell ref="A24:D24"/>
    <mergeCell ref="A22:D22"/>
    <mergeCell ref="E24:F24"/>
    <mergeCell ref="G15:H15"/>
    <mergeCell ref="G16:H16"/>
    <mergeCell ref="G17:H17"/>
    <mergeCell ref="G18:H18"/>
    <mergeCell ref="G19:H19"/>
    <mergeCell ref="G20:H20"/>
    <mergeCell ref="G21:H21"/>
    <mergeCell ref="E15:F15"/>
    <mergeCell ref="E17:F17"/>
    <mergeCell ref="E18:F18"/>
    <mergeCell ref="E19:F19"/>
    <mergeCell ref="E20:F20"/>
    <mergeCell ref="E21:F21"/>
    <mergeCell ref="G24:H24"/>
    <mergeCell ref="E22:F22"/>
    <mergeCell ref="G23:H23"/>
    <mergeCell ref="L20:M20"/>
    <mergeCell ref="L21:M21"/>
    <mergeCell ref="L23:M23"/>
    <mergeCell ref="E23:F23"/>
    <mergeCell ref="G22:H22"/>
    <mergeCell ref="J22:K22"/>
    <mergeCell ref="L22:M22"/>
    <mergeCell ref="L24:M24"/>
    <mergeCell ref="J21:K21"/>
    <mergeCell ref="J23:K23"/>
    <mergeCell ref="J24:K24"/>
    <mergeCell ref="L18:M18"/>
    <mergeCell ref="L19:M19"/>
    <mergeCell ref="J20:K20"/>
    <mergeCell ref="J19:K19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N46"/>
  <sheetViews>
    <sheetView workbookViewId="0"/>
  </sheetViews>
  <sheetFormatPr defaultRowHeight="15"/>
  <cols>
    <col min="1" max="14" width="6" customWidth="1"/>
  </cols>
  <sheetData>
    <row r="1" spans="1:14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18.75">
      <c r="A2" s="377" t="s">
        <v>287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</row>
    <row r="3" spans="1:14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4" ht="15.75">
      <c r="A4" s="190" t="s">
        <v>631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</row>
    <row r="6" spans="1:14" ht="24.95" customHeight="1">
      <c r="A6" s="362" t="s">
        <v>288</v>
      </c>
      <c r="B6" s="363"/>
      <c r="C6" s="363"/>
      <c r="D6" s="363"/>
      <c r="E6" s="363"/>
      <c r="F6" s="364"/>
      <c r="G6" s="252" t="s">
        <v>319</v>
      </c>
      <c r="H6" s="252"/>
      <c r="I6" s="252"/>
      <c r="J6" s="252"/>
      <c r="K6" s="252" t="s">
        <v>339</v>
      </c>
      <c r="L6" s="252"/>
      <c r="M6" s="252"/>
      <c r="N6" s="252"/>
    </row>
    <row r="7" spans="1:14" ht="15" customHeight="1">
      <c r="A7" s="379" t="s">
        <v>496</v>
      </c>
      <c r="B7" s="379"/>
      <c r="C7" s="379"/>
      <c r="D7" s="379"/>
      <c r="E7" s="379"/>
      <c r="F7" s="379"/>
      <c r="G7" s="383"/>
      <c r="H7" s="383"/>
      <c r="I7" s="383"/>
      <c r="J7" s="383"/>
      <c r="K7" s="239"/>
      <c r="L7" s="239"/>
      <c r="M7" s="239"/>
      <c r="N7" s="239"/>
    </row>
    <row r="8" spans="1:14" ht="15" customHeight="1">
      <c r="A8" s="381" t="s">
        <v>989</v>
      </c>
      <c r="B8" s="381"/>
      <c r="C8" s="381"/>
      <c r="D8" s="381"/>
      <c r="E8" s="381"/>
      <c r="F8" s="381"/>
      <c r="G8" s="382"/>
      <c r="H8" s="382"/>
      <c r="I8" s="382"/>
      <c r="J8" s="382"/>
      <c r="K8" s="382"/>
      <c r="L8" s="382"/>
      <c r="M8" s="382"/>
      <c r="N8" s="382"/>
    </row>
    <row r="9" spans="1:14" ht="15" customHeight="1">
      <c r="A9" s="381" t="s">
        <v>1094</v>
      </c>
      <c r="B9" s="381"/>
      <c r="C9" s="381"/>
      <c r="D9" s="381"/>
      <c r="E9" s="381"/>
      <c r="F9" s="381"/>
      <c r="G9" s="382"/>
      <c r="H9" s="382"/>
      <c r="I9" s="382"/>
      <c r="J9" s="382"/>
      <c r="K9" s="382"/>
      <c r="L9" s="382"/>
      <c r="M9" s="382"/>
      <c r="N9" s="382"/>
    </row>
    <row r="10" spans="1:14" ht="15" customHeight="1">
      <c r="A10" s="381" t="s">
        <v>28</v>
      </c>
      <c r="B10" s="381"/>
      <c r="C10" s="381"/>
      <c r="D10" s="381"/>
      <c r="E10" s="381"/>
      <c r="F10" s="381"/>
      <c r="G10" s="381"/>
      <c r="H10" s="381"/>
      <c r="I10" s="381"/>
      <c r="J10" s="381"/>
      <c r="K10" s="236"/>
      <c r="L10" s="236"/>
      <c r="M10" s="236"/>
      <c r="N10" s="236"/>
    </row>
    <row r="11" spans="1:14" ht="15" customHeight="1">
      <c r="A11" s="381" t="s">
        <v>607</v>
      </c>
      <c r="B11" s="381"/>
      <c r="C11" s="381"/>
      <c r="D11" s="381"/>
      <c r="E11" s="381"/>
      <c r="F11" s="381"/>
      <c r="G11" s="382"/>
      <c r="H11" s="382"/>
      <c r="I11" s="382"/>
      <c r="J11" s="382"/>
      <c r="K11" s="382"/>
      <c r="L11" s="382"/>
      <c r="M11" s="382"/>
      <c r="N11" s="382"/>
    </row>
    <row r="12" spans="1:14" ht="15" customHeight="1">
      <c r="A12" s="381" t="s">
        <v>974</v>
      </c>
      <c r="B12" s="381"/>
      <c r="C12" s="381"/>
      <c r="D12" s="381"/>
      <c r="E12" s="381"/>
      <c r="F12" s="381"/>
      <c r="G12" s="382"/>
      <c r="H12" s="382"/>
      <c r="I12" s="382"/>
      <c r="J12" s="382"/>
      <c r="K12" s="382"/>
      <c r="L12" s="382"/>
      <c r="M12" s="382"/>
      <c r="N12" s="382"/>
    </row>
    <row r="13" spans="1:14">
      <c r="A13" s="381" t="s">
        <v>555</v>
      </c>
      <c r="B13" s="381"/>
      <c r="C13" s="381"/>
      <c r="D13" s="381"/>
      <c r="E13" s="381"/>
      <c r="F13" s="381"/>
      <c r="G13" s="381"/>
      <c r="H13" s="381"/>
      <c r="I13" s="381"/>
      <c r="J13" s="381"/>
      <c r="K13" s="236"/>
      <c r="L13" s="236"/>
      <c r="M13" s="236"/>
      <c r="N13" s="236"/>
    </row>
    <row r="14" spans="1:14">
      <c r="A14" s="381" t="s">
        <v>439</v>
      </c>
      <c r="B14" s="381"/>
      <c r="C14" s="381"/>
      <c r="D14" s="381"/>
      <c r="E14" s="381"/>
      <c r="F14" s="381"/>
      <c r="G14" s="382"/>
      <c r="H14" s="382"/>
      <c r="I14" s="382"/>
      <c r="J14" s="382"/>
      <c r="K14" s="382"/>
      <c r="L14" s="382"/>
      <c r="M14" s="382"/>
      <c r="N14" s="382"/>
    </row>
    <row r="15" spans="1:14">
      <c r="A15" s="381" t="s">
        <v>331</v>
      </c>
      <c r="B15" s="381"/>
      <c r="C15" s="381"/>
      <c r="D15" s="381"/>
      <c r="E15" s="381"/>
      <c r="F15" s="381"/>
      <c r="G15" s="382"/>
      <c r="H15" s="382"/>
      <c r="I15" s="382"/>
      <c r="J15" s="382"/>
      <c r="K15" s="382"/>
      <c r="L15" s="382"/>
      <c r="M15" s="382"/>
      <c r="N15" s="382"/>
    </row>
    <row r="16" spans="1:14" s="65" customFormat="1">
      <c r="A16" s="72"/>
      <c r="B16" s="72"/>
      <c r="C16" s="72"/>
      <c r="D16" s="72"/>
      <c r="E16" s="72"/>
      <c r="F16" s="72"/>
      <c r="G16" s="73"/>
      <c r="H16" s="73"/>
      <c r="I16" s="73"/>
      <c r="J16" s="73"/>
      <c r="K16" s="73"/>
      <c r="L16" s="73"/>
      <c r="M16" s="73"/>
      <c r="N16" s="73"/>
    </row>
    <row r="19" spans="1:14" ht="15.75" customHeight="1"/>
    <row r="20" spans="1:14" s="65" customFormat="1" ht="15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 ht="15.75" customHeight="1"/>
    <row r="22" spans="1:14" ht="15" customHeight="1"/>
    <row r="23" spans="1:14" ht="15" customHeight="1"/>
    <row r="24" spans="1:14" ht="15" customHeight="1"/>
    <row r="25" spans="1:14" ht="15" customHeight="1"/>
    <row r="26" spans="1:14" ht="15" customHeight="1"/>
    <row r="27" spans="1:14" ht="15" customHeight="1"/>
    <row r="29" spans="1:14" ht="15.75" customHeight="1"/>
    <row r="31" spans="1:14" ht="15.75" customHeight="1"/>
    <row r="32" spans="1:14" ht="15" customHeight="1"/>
    <row r="33" ht="15" customHeight="1"/>
    <row r="34" ht="15" customHeight="1"/>
    <row r="35" ht="15" customHeight="1"/>
    <row r="36" ht="15" customHeight="1"/>
    <row r="37" ht="15" customHeight="1"/>
    <row r="39" ht="15.7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</sheetData>
  <sheetProtection sheet="1"/>
  <mergeCells count="32">
    <mergeCell ref="A7:F7"/>
    <mergeCell ref="G7:J7"/>
    <mergeCell ref="K7:N7"/>
    <mergeCell ref="A2:N2"/>
    <mergeCell ref="A4:N4"/>
    <mergeCell ref="A6:F6"/>
    <mergeCell ref="G6:J6"/>
    <mergeCell ref="K6:N6"/>
    <mergeCell ref="A8:F8"/>
    <mergeCell ref="G8:J8"/>
    <mergeCell ref="K8:N8"/>
    <mergeCell ref="A9:F9"/>
    <mergeCell ref="G9:J9"/>
    <mergeCell ref="K9:N9"/>
    <mergeCell ref="A10:F10"/>
    <mergeCell ref="G10:J10"/>
    <mergeCell ref="K10:N10"/>
    <mergeCell ref="A11:F11"/>
    <mergeCell ref="G11:J11"/>
    <mergeCell ref="K11:N11"/>
    <mergeCell ref="A12:F12"/>
    <mergeCell ref="G12:J12"/>
    <mergeCell ref="K12:N12"/>
    <mergeCell ref="A13:F13"/>
    <mergeCell ref="G13:J13"/>
    <mergeCell ref="K13:N13"/>
    <mergeCell ref="A14:F14"/>
    <mergeCell ref="G14:J14"/>
    <mergeCell ref="K14:N14"/>
    <mergeCell ref="A15:F15"/>
    <mergeCell ref="G15:J15"/>
    <mergeCell ref="K15:N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35"/>
  <sheetViews>
    <sheetView workbookViewId="0"/>
  </sheetViews>
  <sheetFormatPr defaultRowHeight="15"/>
  <cols>
    <col min="1" max="1" width="5.28515625" customWidth="1"/>
    <col min="2" max="2" width="74.85546875" customWidth="1"/>
    <col min="3" max="3" width="52.140625" customWidth="1"/>
    <col min="4" max="4" width="8" customWidth="1"/>
    <col min="5" max="5" width="9.140625" customWidth="1"/>
    <col min="6" max="6" width="9" customWidth="1"/>
  </cols>
  <sheetData>
    <row r="1" spans="1:6">
      <c r="A1" t="s">
        <v>869</v>
      </c>
      <c r="B1" t="s">
        <v>495</v>
      </c>
      <c r="C1" t="s">
        <v>32</v>
      </c>
      <c r="D1" t="s">
        <v>115</v>
      </c>
      <c r="E1" t="s">
        <v>435</v>
      </c>
      <c r="F1" t="s">
        <v>1061</v>
      </c>
    </row>
    <row r="2" spans="1:6">
      <c r="A2">
        <v>41</v>
      </c>
      <c r="B2" t="s">
        <v>902</v>
      </c>
      <c r="C2" t="s">
        <v>848</v>
      </c>
      <c r="D2">
        <v>0</v>
      </c>
      <c r="E2">
        <v>0</v>
      </c>
      <c r="F2">
        <v>0</v>
      </c>
    </row>
    <row r="3" spans="1:6">
      <c r="A3">
        <v>42</v>
      </c>
      <c r="B3" t="s">
        <v>902</v>
      </c>
      <c r="C3" t="s">
        <v>254</v>
      </c>
      <c r="D3">
        <v>0</v>
      </c>
      <c r="E3">
        <v>0</v>
      </c>
      <c r="F3">
        <v>0</v>
      </c>
    </row>
    <row r="4" spans="1:6">
      <c r="A4">
        <v>43</v>
      </c>
      <c r="B4" t="s">
        <v>902</v>
      </c>
      <c r="C4" t="s">
        <v>58</v>
      </c>
      <c r="D4">
        <v>0</v>
      </c>
      <c r="E4">
        <v>0</v>
      </c>
      <c r="F4">
        <v>0</v>
      </c>
    </row>
    <row r="5" spans="1:6">
      <c r="A5">
        <v>51</v>
      </c>
      <c r="B5" t="s">
        <v>697</v>
      </c>
      <c r="C5" t="s">
        <v>406</v>
      </c>
      <c r="D5">
        <v>29691</v>
      </c>
      <c r="E5">
        <v>0</v>
      </c>
      <c r="F5">
        <v>0</v>
      </c>
    </row>
    <row r="6" spans="1:6">
      <c r="A6">
        <v>52</v>
      </c>
      <c r="B6" t="s">
        <v>697</v>
      </c>
      <c r="C6" t="s">
        <v>918</v>
      </c>
      <c r="D6">
        <v>7814</v>
      </c>
      <c r="E6">
        <v>0</v>
      </c>
      <c r="F6">
        <v>6024</v>
      </c>
    </row>
    <row r="7" spans="1:6">
      <c r="A7">
        <v>53</v>
      </c>
      <c r="B7" t="s">
        <v>697</v>
      </c>
      <c r="C7" t="s">
        <v>58</v>
      </c>
      <c r="D7">
        <v>0</v>
      </c>
      <c r="E7">
        <v>0</v>
      </c>
      <c r="F7">
        <v>0</v>
      </c>
    </row>
    <row r="8" spans="1:6">
      <c r="A8">
        <v>61</v>
      </c>
      <c r="B8" t="s">
        <v>346</v>
      </c>
      <c r="C8" t="s">
        <v>167</v>
      </c>
      <c r="D8">
        <v>0</v>
      </c>
      <c r="E8">
        <v>0</v>
      </c>
      <c r="F8">
        <v>0</v>
      </c>
    </row>
    <row r="9" spans="1:6">
      <c r="A9">
        <v>62</v>
      </c>
      <c r="B9" t="s">
        <v>346</v>
      </c>
      <c r="C9" t="s">
        <v>769</v>
      </c>
      <c r="D9">
        <v>0</v>
      </c>
      <c r="E9">
        <v>0</v>
      </c>
      <c r="F9">
        <v>0</v>
      </c>
    </row>
    <row r="10" spans="1:6">
      <c r="A10">
        <v>63</v>
      </c>
      <c r="B10" t="s">
        <v>346</v>
      </c>
      <c r="C10" t="s">
        <v>58</v>
      </c>
      <c r="D10">
        <v>0</v>
      </c>
      <c r="E10">
        <v>0</v>
      </c>
      <c r="F10">
        <v>0</v>
      </c>
    </row>
    <row r="11" spans="1:6">
      <c r="A11">
        <v>71</v>
      </c>
      <c r="B11" t="s">
        <v>445</v>
      </c>
      <c r="C11" t="s">
        <v>853</v>
      </c>
      <c r="D11">
        <v>0</v>
      </c>
      <c r="E11">
        <v>0</v>
      </c>
      <c r="F11">
        <v>0</v>
      </c>
    </row>
    <row r="12" spans="1:6">
      <c r="A12">
        <v>72</v>
      </c>
      <c r="B12" t="s">
        <v>445</v>
      </c>
      <c r="C12" t="s">
        <v>317</v>
      </c>
      <c r="D12">
        <v>0</v>
      </c>
      <c r="E12">
        <v>0</v>
      </c>
      <c r="F12">
        <v>0</v>
      </c>
    </row>
    <row r="13" spans="1:6">
      <c r="A13">
        <v>73</v>
      </c>
      <c r="B13" t="s">
        <v>445</v>
      </c>
      <c r="C13" t="s">
        <v>58</v>
      </c>
      <c r="D13">
        <v>0</v>
      </c>
      <c r="E13">
        <v>0</v>
      </c>
      <c r="F13">
        <v>0</v>
      </c>
    </row>
    <row r="14" spans="1:6">
      <c r="A14">
        <v>81</v>
      </c>
      <c r="B14" t="s">
        <v>524</v>
      </c>
      <c r="C14" t="s">
        <v>731</v>
      </c>
      <c r="D14">
        <v>0</v>
      </c>
      <c r="E14">
        <v>0</v>
      </c>
      <c r="F14">
        <v>0</v>
      </c>
    </row>
    <row r="15" spans="1:6">
      <c r="A15">
        <v>82</v>
      </c>
      <c r="B15" t="s">
        <v>524</v>
      </c>
      <c r="C15" t="s">
        <v>879</v>
      </c>
      <c r="D15">
        <v>0</v>
      </c>
      <c r="E15">
        <v>0</v>
      </c>
      <c r="F15">
        <v>0</v>
      </c>
    </row>
    <row r="16" spans="1:6">
      <c r="A16">
        <v>91</v>
      </c>
      <c r="B16" t="s">
        <v>996</v>
      </c>
      <c r="C16" t="s">
        <v>705</v>
      </c>
      <c r="D16">
        <v>0</v>
      </c>
      <c r="E16">
        <v>0</v>
      </c>
      <c r="F16">
        <v>0</v>
      </c>
    </row>
    <row r="17" spans="1:6">
      <c r="A17">
        <v>92</v>
      </c>
      <c r="B17" t="s">
        <v>996</v>
      </c>
      <c r="C17" t="s">
        <v>595</v>
      </c>
      <c r="D17">
        <v>0</v>
      </c>
      <c r="E17">
        <v>0</v>
      </c>
      <c r="F17">
        <v>0</v>
      </c>
    </row>
    <row r="18" spans="1:6">
      <c r="A18">
        <v>101</v>
      </c>
      <c r="B18" t="s">
        <v>111</v>
      </c>
      <c r="C18" t="s">
        <v>134</v>
      </c>
      <c r="D18">
        <v>0</v>
      </c>
      <c r="E18">
        <v>0</v>
      </c>
      <c r="F18">
        <v>0</v>
      </c>
    </row>
    <row r="19" spans="1:6">
      <c r="A19">
        <v>102</v>
      </c>
      <c r="B19" t="s">
        <v>111</v>
      </c>
      <c r="C19" t="s">
        <v>142</v>
      </c>
      <c r="D19">
        <v>0</v>
      </c>
      <c r="E19">
        <v>0</v>
      </c>
      <c r="F19">
        <v>0</v>
      </c>
    </row>
    <row r="20" spans="1:6">
      <c r="A20">
        <v>121</v>
      </c>
      <c r="B20" t="s">
        <v>789</v>
      </c>
      <c r="C20" t="s">
        <v>674</v>
      </c>
      <c r="D20">
        <v>0</v>
      </c>
      <c r="E20">
        <v>0</v>
      </c>
      <c r="F20">
        <v>0</v>
      </c>
    </row>
    <row r="21" spans="1:6">
      <c r="A21">
        <v>122</v>
      </c>
      <c r="B21" t="s">
        <v>789</v>
      </c>
      <c r="C21" t="s">
        <v>422</v>
      </c>
      <c r="D21">
        <v>0</v>
      </c>
      <c r="E21">
        <v>0</v>
      </c>
      <c r="F21">
        <v>0</v>
      </c>
    </row>
    <row r="22" spans="1:6">
      <c r="A22">
        <v>131</v>
      </c>
      <c r="B22" t="s">
        <v>336</v>
      </c>
      <c r="C22" t="s">
        <v>89</v>
      </c>
      <c r="D22">
        <v>85381</v>
      </c>
      <c r="E22">
        <v>0</v>
      </c>
      <c r="F22">
        <v>0</v>
      </c>
    </row>
    <row r="23" spans="1:6">
      <c r="A23">
        <v>132</v>
      </c>
      <c r="B23" t="s">
        <v>336</v>
      </c>
      <c r="C23" t="s">
        <v>637</v>
      </c>
      <c r="D23">
        <v>8539</v>
      </c>
      <c r="E23">
        <v>0</v>
      </c>
      <c r="F23">
        <v>4270</v>
      </c>
    </row>
    <row r="24" spans="1:6">
      <c r="A24">
        <v>141</v>
      </c>
      <c r="B24" t="s">
        <v>651</v>
      </c>
      <c r="C24" t="s">
        <v>546</v>
      </c>
      <c r="D24">
        <v>195557</v>
      </c>
      <c r="E24">
        <v>0</v>
      </c>
      <c r="F24">
        <v>128320</v>
      </c>
    </row>
    <row r="25" spans="1:6">
      <c r="A25">
        <v>142</v>
      </c>
      <c r="B25" t="s">
        <v>651</v>
      </c>
      <c r="C25" t="s">
        <v>995</v>
      </c>
      <c r="D25">
        <v>148726</v>
      </c>
      <c r="E25">
        <v>128320</v>
      </c>
      <c r="F25">
        <v>38465</v>
      </c>
    </row>
    <row r="26" spans="1:6">
      <c r="A26">
        <v>151</v>
      </c>
      <c r="B26" t="s">
        <v>18</v>
      </c>
      <c r="C26" t="s">
        <v>23</v>
      </c>
      <c r="D26">
        <v>0</v>
      </c>
      <c r="E26">
        <v>0</v>
      </c>
      <c r="F26">
        <v>0</v>
      </c>
    </row>
    <row r="27" spans="1:6">
      <c r="A27">
        <v>152</v>
      </c>
      <c r="B27" t="s">
        <v>18</v>
      </c>
      <c r="C27" t="s">
        <v>696</v>
      </c>
      <c r="D27">
        <v>0</v>
      </c>
      <c r="E27">
        <v>0</v>
      </c>
      <c r="F27">
        <v>0</v>
      </c>
    </row>
    <row r="28" spans="1:6">
      <c r="A28">
        <v>153</v>
      </c>
      <c r="B28" t="s">
        <v>18</v>
      </c>
      <c r="C28" t="s">
        <v>422</v>
      </c>
      <c r="D28">
        <v>0</v>
      </c>
      <c r="E28">
        <v>0</v>
      </c>
      <c r="F28">
        <v>0</v>
      </c>
    </row>
    <row r="29" spans="1:6">
      <c r="A29">
        <v>161</v>
      </c>
      <c r="B29" t="s">
        <v>554</v>
      </c>
      <c r="C29" t="s">
        <v>465</v>
      </c>
      <c r="D29">
        <v>0</v>
      </c>
      <c r="E29">
        <v>0</v>
      </c>
      <c r="F29">
        <v>0</v>
      </c>
    </row>
    <row r="30" spans="1:6">
      <c r="A30">
        <v>162</v>
      </c>
      <c r="B30" t="s">
        <v>554</v>
      </c>
      <c r="C30" t="s">
        <v>1060</v>
      </c>
      <c r="D30">
        <v>0</v>
      </c>
      <c r="E30">
        <v>0</v>
      </c>
      <c r="F30">
        <v>0</v>
      </c>
    </row>
    <row r="31" spans="1:6">
      <c r="A31">
        <v>163</v>
      </c>
      <c r="B31" t="s">
        <v>554</v>
      </c>
      <c r="C31" t="s">
        <v>422</v>
      </c>
      <c r="D31">
        <v>0</v>
      </c>
      <c r="E31">
        <v>0</v>
      </c>
      <c r="F31">
        <v>0</v>
      </c>
    </row>
    <row r="32" spans="1:6">
      <c r="A32">
        <v>171</v>
      </c>
      <c r="B32" t="s">
        <v>582</v>
      </c>
      <c r="C32" t="s">
        <v>1000</v>
      </c>
      <c r="D32">
        <v>19060</v>
      </c>
      <c r="E32">
        <v>3641</v>
      </c>
      <c r="F32">
        <v>0</v>
      </c>
    </row>
    <row r="33" spans="1:6">
      <c r="A33">
        <v>172</v>
      </c>
      <c r="B33" t="s">
        <v>582</v>
      </c>
      <c r="C33" t="s">
        <v>99</v>
      </c>
      <c r="D33">
        <v>8348</v>
      </c>
      <c r="E33">
        <v>0</v>
      </c>
      <c r="F33">
        <v>6813</v>
      </c>
    </row>
    <row r="34" spans="1:6">
      <c r="A34">
        <v>173</v>
      </c>
      <c r="B34" t="s">
        <v>582</v>
      </c>
      <c r="C34" t="s">
        <v>40</v>
      </c>
      <c r="D34">
        <v>0</v>
      </c>
      <c r="E34">
        <v>0</v>
      </c>
      <c r="F34">
        <v>0</v>
      </c>
    </row>
    <row r="35" spans="1:6">
      <c r="A35">
        <v>174</v>
      </c>
      <c r="B35" t="s">
        <v>582</v>
      </c>
      <c r="C35" t="s">
        <v>422</v>
      </c>
      <c r="D35">
        <v>0</v>
      </c>
      <c r="E35">
        <v>0</v>
      </c>
      <c r="F35">
        <v>0</v>
      </c>
    </row>
    <row r="36" spans="1:6">
      <c r="A36">
        <v>181</v>
      </c>
      <c r="B36" t="s">
        <v>594</v>
      </c>
      <c r="C36" t="s">
        <v>1077</v>
      </c>
      <c r="D36">
        <v>0</v>
      </c>
      <c r="E36">
        <v>3641</v>
      </c>
      <c r="F36">
        <v>3641</v>
      </c>
    </row>
    <row r="37" spans="1:6">
      <c r="A37">
        <v>182</v>
      </c>
      <c r="B37" t="s">
        <v>594</v>
      </c>
      <c r="C37" t="s">
        <v>1115</v>
      </c>
      <c r="D37">
        <v>0</v>
      </c>
      <c r="E37">
        <v>0</v>
      </c>
      <c r="F37">
        <v>0</v>
      </c>
    </row>
    <row r="38" spans="1:6">
      <c r="A38">
        <v>191</v>
      </c>
      <c r="B38" t="s">
        <v>98</v>
      </c>
      <c r="C38" t="s">
        <v>494</v>
      </c>
      <c r="D38">
        <v>0</v>
      </c>
      <c r="E38">
        <v>0</v>
      </c>
      <c r="F38">
        <v>0</v>
      </c>
    </row>
    <row r="39" spans="1:6">
      <c r="A39">
        <v>192</v>
      </c>
      <c r="B39" t="s">
        <v>98</v>
      </c>
      <c r="C39" t="s">
        <v>142</v>
      </c>
      <c r="D39">
        <v>0</v>
      </c>
      <c r="E39">
        <v>0</v>
      </c>
      <c r="F39">
        <v>0</v>
      </c>
    </row>
    <row r="40" spans="1:6">
      <c r="A40">
        <v>202</v>
      </c>
      <c r="B40" t="s">
        <v>369</v>
      </c>
      <c r="C40" t="s">
        <v>110</v>
      </c>
      <c r="D40">
        <v>0</v>
      </c>
      <c r="E40">
        <v>0</v>
      </c>
      <c r="F40">
        <v>0</v>
      </c>
    </row>
    <row r="41" spans="1:6">
      <c r="A41">
        <v>221</v>
      </c>
      <c r="B41" t="s">
        <v>695</v>
      </c>
      <c r="C41" t="s">
        <v>948</v>
      </c>
      <c r="D41">
        <v>0</v>
      </c>
      <c r="E41">
        <v>0</v>
      </c>
      <c r="F41">
        <v>0</v>
      </c>
    </row>
    <row r="42" spans="1:6">
      <c r="A42">
        <v>222</v>
      </c>
      <c r="B42" t="s">
        <v>695</v>
      </c>
      <c r="C42" t="s">
        <v>503</v>
      </c>
      <c r="D42">
        <v>0</v>
      </c>
      <c r="E42">
        <v>0</v>
      </c>
      <c r="F42">
        <v>0</v>
      </c>
    </row>
    <row r="43" spans="1:6">
      <c r="A43">
        <v>231</v>
      </c>
      <c r="B43" t="s">
        <v>714</v>
      </c>
      <c r="C43" t="s">
        <v>801</v>
      </c>
      <c r="D43">
        <v>0</v>
      </c>
      <c r="E43">
        <v>0</v>
      </c>
      <c r="F43">
        <v>0</v>
      </c>
    </row>
    <row r="44" spans="1:6">
      <c r="A44">
        <v>232</v>
      </c>
      <c r="B44" t="s">
        <v>714</v>
      </c>
      <c r="C44" t="s">
        <v>503</v>
      </c>
      <c r="D44">
        <v>0</v>
      </c>
      <c r="E44">
        <v>0</v>
      </c>
      <c r="F44">
        <v>0</v>
      </c>
    </row>
    <row r="45" spans="1:6">
      <c r="A45">
        <v>241</v>
      </c>
      <c r="B45" t="s">
        <v>811</v>
      </c>
      <c r="C45" t="s">
        <v>304</v>
      </c>
      <c r="D45">
        <v>0</v>
      </c>
      <c r="E45">
        <v>0</v>
      </c>
      <c r="F45">
        <v>0</v>
      </c>
    </row>
    <row r="46" spans="1:6">
      <c r="A46">
        <v>242</v>
      </c>
      <c r="B46" t="s">
        <v>811</v>
      </c>
      <c r="C46" t="s">
        <v>503</v>
      </c>
      <c r="D46">
        <v>0</v>
      </c>
      <c r="E46">
        <v>0</v>
      </c>
      <c r="F46">
        <v>0</v>
      </c>
    </row>
    <row r="47" spans="1:6">
      <c r="A47">
        <v>251</v>
      </c>
      <c r="B47" t="s">
        <v>891</v>
      </c>
      <c r="C47" t="s">
        <v>746</v>
      </c>
      <c r="D47">
        <v>0</v>
      </c>
      <c r="E47">
        <v>0</v>
      </c>
      <c r="F47">
        <v>0</v>
      </c>
    </row>
    <row r="48" spans="1:6">
      <c r="A48">
        <v>252</v>
      </c>
      <c r="B48" t="s">
        <v>891</v>
      </c>
      <c r="C48" t="s">
        <v>503</v>
      </c>
      <c r="D48">
        <v>0</v>
      </c>
      <c r="E48">
        <v>0</v>
      </c>
      <c r="F48">
        <v>0</v>
      </c>
    </row>
    <row r="49" spans="1:6">
      <c r="A49">
        <v>261</v>
      </c>
      <c r="B49" t="s">
        <v>1121</v>
      </c>
      <c r="C49" t="s">
        <v>884</v>
      </c>
      <c r="D49">
        <v>0</v>
      </c>
      <c r="E49">
        <v>0</v>
      </c>
      <c r="F49">
        <v>0</v>
      </c>
    </row>
    <row r="50" spans="1:6">
      <c r="A50">
        <v>262</v>
      </c>
      <c r="B50" t="s">
        <v>1121</v>
      </c>
      <c r="C50" t="s">
        <v>503</v>
      </c>
      <c r="D50">
        <v>0</v>
      </c>
      <c r="E50">
        <v>0</v>
      </c>
      <c r="F50">
        <v>0</v>
      </c>
    </row>
    <row r="51" spans="1:6">
      <c r="A51">
        <v>281</v>
      </c>
      <c r="B51" t="s">
        <v>986</v>
      </c>
      <c r="C51" t="s">
        <v>97</v>
      </c>
      <c r="D51">
        <v>0</v>
      </c>
      <c r="E51">
        <v>0</v>
      </c>
      <c r="F51">
        <v>0</v>
      </c>
    </row>
    <row r="52" spans="1:6">
      <c r="A52">
        <v>282</v>
      </c>
      <c r="B52" t="s">
        <v>986</v>
      </c>
      <c r="C52" t="s">
        <v>503</v>
      </c>
      <c r="D52">
        <v>0</v>
      </c>
      <c r="E52">
        <v>0</v>
      </c>
      <c r="F52">
        <v>0</v>
      </c>
    </row>
    <row r="53" spans="1:6">
      <c r="A53">
        <v>291</v>
      </c>
      <c r="B53" t="s">
        <v>493</v>
      </c>
      <c r="C53" t="s">
        <v>669</v>
      </c>
      <c r="D53">
        <v>0</v>
      </c>
      <c r="E53">
        <v>0</v>
      </c>
      <c r="F53">
        <v>0</v>
      </c>
    </row>
    <row r="54" spans="1:6">
      <c r="A54">
        <v>292</v>
      </c>
      <c r="B54" t="s">
        <v>493</v>
      </c>
      <c r="C54" t="s">
        <v>142</v>
      </c>
      <c r="D54">
        <v>0</v>
      </c>
      <c r="E54">
        <v>0</v>
      </c>
      <c r="F54">
        <v>0</v>
      </c>
    </row>
    <row r="55" spans="1:6">
      <c r="A55">
        <v>321</v>
      </c>
      <c r="B55" t="s">
        <v>335</v>
      </c>
      <c r="C55" t="s">
        <v>847</v>
      </c>
      <c r="D55">
        <v>0</v>
      </c>
      <c r="E55">
        <v>0</v>
      </c>
      <c r="F55">
        <v>0</v>
      </c>
    </row>
    <row r="56" spans="1:6">
      <c r="A56">
        <v>322</v>
      </c>
      <c r="B56" t="s">
        <v>335</v>
      </c>
      <c r="C56" t="s">
        <v>1088</v>
      </c>
      <c r="D56">
        <v>0</v>
      </c>
      <c r="E56">
        <v>0</v>
      </c>
      <c r="F56">
        <v>0</v>
      </c>
    </row>
    <row r="57" spans="1:6">
      <c r="A57">
        <v>331</v>
      </c>
      <c r="B57" t="s">
        <v>835</v>
      </c>
      <c r="C57" t="s">
        <v>209</v>
      </c>
      <c r="D57">
        <v>0</v>
      </c>
      <c r="E57">
        <v>0</v>
      </c>
      <c r="F57">
        <v>0</v>
      </c>
    </row>
    <row r="58" spans="1:6">
      <c r="A58">
        <v>332</v>
      </c>
      <c r="B58" t="s">
        <v>835</v>
      </c>
      <c r="C58" t="s">
        <v>952</v>
      </c>
      <c r="D58">
        <v>0</v>
      </c>
      <c r="E58">
        <v>0</v>
      </c>
      <c r="F58">
        <v>0</v>
      </c>
    </row>
    <row r="59" spans="1:6">
      <c r="A59">
        <v>341</v>
      </c>
      <c r="B59" t="s">
        <v>768</v>
      </c>
      <c r="C59" t="s">
        <v>444</v>
      </c>
      <c r="D59">
        <v>0</v>
      </c>
      <c r="E59">
        <v>0</v>
      </c>
      <c r="F59">
        <v>0</v>
      </c>
    </row>
    <row r="60" spans="1:6">
      <c r="A60">
        <v>342</v>
      </c>
      <c r="B60" t="s">
        <v>768</v>
      </c>
      <c r="C60" t="s">
        <v>3</v>
      </c>
      <c r="D60">
        <v>0</v>
      </c>
      <c r="E60">
        <v>0</v>
      </c>
      <c r="F60">
        <v>0</v>
      </c>
    </row>
    <row r="61" spans="1:6">
      <c r="A61">
        <v>351</v>
      </c>
      <c r="B61" t="s">
        <v>1086</v>
      </c>
      <c r="C61" t="s">
        <v>121</v>
      </c>
      <c r="D61">
        <v>0</v>
      </c>
      <c r="E61">
        <v>0</v>
      </c>
      <c r="F61">
        <v>0</v>
      </c>
    </row>
    <row r="62" spans="1:6">
      <c r="A62">
        <v>352</v>
      </c>
      <c r="B62" t="s">
        <v>1086</v>
      </c>
      <c r="C62" t="s">
        <v>999</v>
      </c>
      <c r="D62">
        <v>0</v>
      </c>
      <c r="E62">
        <v>0</v>
      </c>
      <c r="F62">
        <v>0</v>
      </c>
    </row>
    <row r="63" spans="1:6">
      <c r="A63">
        <v>361</v>
      </c>
      <c r="B63" t="s">
        <v>356</v>
      </c>
      <c r="C63" t="s">
        <v>745</v>
      </c>
      <c r="D63">
        <v>0</v>
      </c>
      <c r="E63">
        <v>0</v>
      </c>
      <c r="F63">
        <v>0</v>
      </c>
    </row>
    <row r="64" spans="1:6">
      <c r="A64">
        <v>362</v>
      </c>
      <c r="B64" t="s">
        <v>356</v>
      </c>
      <c r="C64" t="s">
        <v>77</v>
      </c>
      <c r="D64">
        <v>0</v>
      </c>
      <c r="E64">
        <v>20943</v>
      </c>
      <c r="F64">
        <v>20943</v>
      </c>
    </row>
    <row r="65" spans="1:6">
      <c r="A65">
        <v>363</v>
      </c>
      <c r="B65" t="s">
        <v>356</v>
      </c>
      <c r="C65" t="s">
        <v>617</v>
      </c>
      <c r="D65">
        <v>0</v>
      </c>
      <c r="E65">
        <v>0</v>
      </c>
      <c r="F65">
        <v>0</v>
      </c>
    </row>
    <row r="66" spans="1:6">
      <c r="A66">
        <v>451</v>
      </c>
      <c r="B66" t="s">
        <v>1016</v>
      </c>
      <c r="C66" t="s">
        <v>162</v>
      </c>
      <c r="D66">
        <v>0</v>
      </c>
      <c r="E66">
        <v>0</v>
      </c>
      <c r="F66">
        <v>0</v>
      </c>
    </row>
    <row r="67" spans="1:6">
      <c r="A67">
        <v>471</v>
      </c>
      <c r="B67" t="s">
        <v>727</v>
      </c>
      <c r="C67" t="s">
        <v>958</v>
      </c>
      <c r="D67">
        <v>163024</v>
      </c>
      <c r="E67">
        <v>1256794</v>
      </c>
      <c r="F67">
        <v>1068788</v>
      </c>
    </row>
    <row r="68" spans="1:6">
      <c r="A68">
        <v>472</v>
      </c>
      <c r="B68" t="s">
        <v>727</v>
      </c>
      <c r="C68" t="s">
        <v>2</v>
      </c>
      <c r="D68">
        <v>0</v>
      </c>
      <c r="E68">
        <v>0</v>
      </c>
      <c r="F68">
        <v>5281</v>
      </c>
    </row>
    <row r="69" spans="1:6">
      <c r="A69">
        <v>481</v>
      </c>
      <c r="B69" t="s">
        <v>895</v>
      </c>
      <c r="C69" t="s">
        <v>711</v>
      </c>
      <c r="D69">
        <v>0</v>
      </c>
      <c r="E69">
        <v>0</v>
      </c>
      <c r="F69">
        <v>0</v>
      </c>
    </row>
    <row r="70" spans="1:6">
      <c r="A70">
        <v>501</v>
      </c>
      <c r="B70" t="s">
        <v>571</v>
      </c>
      <c r="C70" t="s">
        <v>69</v>
      </c>
      <c r="D70">
        <v>0</v>
      </c>
      <c r="E70">
        <v>0</v>
      </c>
      <c r="F70">
        <v>0</v>
      </c>
    </row>
    <row r="71" spans="1:6">
      <c r="A71">
        <v>511</v>
      </c>
      <c r="B71" t="s">
        <v>144</v>
      </c>
      <c r="C71" t="s">
        <v>540</v>
      </c>
      <c r="D71">
        <v>0</v>
      </c>
      <c r="E71">
        <v>0</v>
      </c>
      <c r="F71">
        <v>0</v>
      </c>
    </row>
    <row r="72" spans="1:6">
      <c r="A72">
        <v>512</v>
      </c>
      <c r="B72" t="s">
        <v>144</v>
      </c>
      <c r="C72" t="s">
        <v>581</v>
      </c>
      <c r="D72">
        <v>0</v>
      </c>
      <c r="E72">
        <v>0</v>
      </c>
      <c r="F72">
        <v>0</v>
      </c>
    </row>
    <row r="73" spans="1:6">
      <c r="A73">
        <v>521</v>
      </c>
      <c r="B73" t="s">
        <v>536</v>
      </c>
      <c r="C73" t="s">
        <v>1015</v>
      </c>
      <c r="D73">
        <v>-819</v>
      </c>
      <c r="E73">
        <v>9699</v>
      </c>
      <c r="F73">
        <v>9700</v>
      </c>
    </row>
    <row r="74" spans="1:6">
      <c r="A74">
        <v>531</v>
      </c>
      <c r="B74" t="s">
        <v>872</v>
      </c>
      <c r="C74" t="s">
        <v>78</v>
      </c>
      <c r="D74">
        <v>-6084</v>
      </c>
      <c r="E74">
        <v>348846</v>
      </c>
      <c r="F74">
        <v>349586</v>
      </c>
    </row>
    <row r="75" spans="1:6">
      <c r="A75">
        <v>541</v>
      </c>
      <c r="B75" t="s">
        <v>756</v>
      </c>
      <c r="C75" t="s">
        <v>784</v>
      </c>
      <c r="D75">
        <v>15</v>
      </c>
      <c r="E75">
        <v>3513</v>
      </c>
      <c r="F75">
        <v>3511</v>
      </c>
    </row>
    <row r="76" spans="1:6">
      <c r="A76">
        <v>542</v>
      </c>
      <c r="B76" t="s">
        <v>756</v>
      </c>
      <c r="C76" t="s">
        <v>390</v>
      </c>
      <c r="D76">
        <v>0</v>
      </c>
      <c r="E76">
        <v>0</v>
      </c>
      <c r="F76">
        <v>0</v>
      </c>
    </row>
    <row r="77" spans="1:6">
      <c r="A77">
        <v>561</v>
      </c>
      <c r="B77" t="s">
        <v>723</v>
      </c>
      <c r="C77" t="s">
        <v>744</v>
      </c>
      <c r="D77">
        <v>622</v>
      </c>
      <c r="E77">
        <v>77673</v>
      </c>
      <c r="F77">
        <v>68967</v>
      </c>
    </row>
    <row r="78" spans="1:6">
      <c r="A78">
        <v>571</v>
      </c>
      <c r="B78" t="s">
        <v>343</v>
      </c>
      <c r="C78" t="s">
        <v>980</v>
      </c>
      <c r="D78">
        <v>4640</v>
      </c>
      <c r="E78">
        <v>950368</v>
      </c>
      <c r="F78">
        <v>926669</v>
      </c>
    </row>
    <row r="79" spans="1:6">
      <c r="A79">
        <v>572</v>
      </c>
      <c r="B79" t="s">
        <v>343</v>
      </c>
      <c r="C79" t="s">
        <v>215</v>
      </c>
      <c r="D79">
        <v>0</v>
      </c>
      <c r="E79">
        <v>612</v>
      </c>
      <c r="F79">
        <v>612</v>
      </c>
    </row>
    <row r="80" spans="1:6">
      <c r="A80">
        <v>591</v>
      </c>
      <c r="B80" t="s">
        <v>104</v>
      </c>
      <c r="C80" t="s">
        <v>597</v>
      </c>
      <c r="D80">
        <v>0</v>
      </c>
      <c r="E80">
        <v>0</v>
      </c>
      <c r="F80">
        <v>0</v>
      </c>
    </row>
    <row r="81" spans="1:6">
      <c r="A81">
        <v>592</v>
      </c>
      <c r="B81" t="s">
        <v>104</v>
      </c>
      <c r="C81" t="s">
        <v>1114</v>
      </c>
      <c r="D81">
        <v>0</v>
      </c>
      <c r="E81">
        <v>0</v>
      </c>
      <c r="F81">
        <v>0</v>
      </c>
    </row>
    <row r="82" spans="1:6">
      <c r="A82">
        <v>601</v>
      </c>
      <c r="B82" t="s">
        <v>774</v>
      </c>
      <c r="C82" t="s">
        <v>636</v>
      </c>
      <c r="D82">
        <v>0</v>
      </c>
      <c r="E82">
        <v>0</v>
      </c>
      <c r="F82">
        <v>0</v>
      </c>
    </row>
    <row r="83" spans="1:6">
      <c r="A83">
        <v>602</v>
      </c>
      <c r="B83" t="s">
        <v>774</v>
      </c>
      <c r="C83" t="s">
        <v>1114</v>
      </c>
      <c r="D83">
        <v>0</v>
      </c>
      <c r="E83">
        <v>0</v>
      </c>
      <c r="F83">
        <v>0</v>
      </c>
    </row>
    <row r="84" spans="1:6">
      <c r="A84">
        <v>621</v>
      </c>
      <c r="B84" t="s">
        <v>698</v>
      </c>
      <c r="C84" t="s">
        <v>41</v>
      </c>
      <c r="D84">
        <v>0</v>
      </c>
      <c r="E84">
        <v>0</v>
      </c>
      <c r="F84">
        <v>0</v>
      </c>
    </row>
    <row r="85" spans="1:6">
      <c r="A85">
        <v>631</v>
      </c>
      <c r="B85" t="s">
        <v>133</v>
      </c>
      <c r="C85" t="s">
        <v>284</v>
      </c>
      <c r="D85">
        <v>142558</v>
      </c>
      <c r="E85">
        <v>172045</v>
      </c>
      <c r="F85">
        <v>218471</v>
      </c>
    </row>
    <row r="86" spans="1:6">
      <c r="A86">
        <v>641</v>
      </c>
      <c r="B86" t="s">
        <v>868</v>
      </c>
      <c r="C86" t="s">
        <v>41</v>
      </c>
      <c r="D86">
        <v>0</v>
      </c>
      <c r="E86">
        <v>0</v>
      </c>
      <c r="F86">
        <v>0</v>
      </c>
    </row>
    <row r="87" spans="1:6">
      <c r="A87">
        <v>651</v>
      </c>
      <c r="B87" t="s">
        <v>663</v>
      </c>
      <c r="C87" t="s">
        <v>650</v>
      </c>
      <c r="D87">
        <v>0</v>
      </c>
      <c r="E87">
        <v>0</v>
      </c>
      <c r="F87">
        <v>0</v>
      </c>
    </row>
    <row r="88" spans="1:6">
      <c r="A88">
        <v>691</v>
      </c>
      <c r="B88" t="s">
        <v>906</v>
      </c>
      <c r="C88" t="s">
        <v>570</v>
      </c>
      <c r="D88">
        <v>6640</v>
      </c>
      <c r="E88">
        <v>0</v>
      </c>
      <c r="F88">
        <v>0</v>
      </c>
    </row>
    <row r="89" spans="1:6">
      <c r="A89">
        <v>701</v>
      </c>
      <c r="B89" t="s">
        <v>269</v>
      </c>
      <c r="C89" t="s">
        <v>600</v>
      </c>
      <c r="D89">
        <v>0</v>
      </c>
      <c r="E89">
        <v>0</v>
      </c>
      <c r="F89">
        <v>0</v>
      </c>
    </row>
    <row r="90" spans="1:6">
      <c r="A90">
        <v>711</v>
      </c>
      <c r="B90" t="s">
        <v>31</v>
      </c>
      <c r="C90" t="s">
        <v>114</v>
      </c>
      <c r="D90">
        <v>0</v>
      </c>
      <c r="E90">
        <v>0</v>
      </c>
      <c r="F90">
        <v>0</v>
      </c>
    </row>
    <row r="91" spans="1:6">
      <c r="A91">
        <v>721</v>
      </c>
      <c r="B91" t="s">
        <v>576</v>
      </c>
      <c r="C91" t="s">
        <v>684</v>
      </c>
      <c r="D91">
        <v>0</v>
      </c>
      <c r="E91">
        <v>0</v>
      </c>
      <c r="F91">
        <v>0</v>
      </c>
    </row>
    <row r="92" spans="1:6">
      <c r="A92">
        <v>741</v>
      </c>
      <c r="B92" t="s">
        <v>878</v>
      </c>
      <c r="C92" t="s">
        <v>76</v>
      </c>
      <c r="D92">
        <v>0</v>
      </c>
      <c r="E92">
        <v>0</v>
      </c>
      <c r="F92">
        <v>0</v>
      </c>
    </row>
    <row r="93" spans="1:6">
      <c r="A93">
        <v>751</v>
      </c>
      <c r="B93" t="s">
        <v>552</v>
      </c>
      <c r="C93" t="s">
        <v>1087</v>
      </c>
      <c r="D93">
        <v>0</v>
      </c>
      <c r="E93">
        <v>0</v>
      </c>
      <c r="F93">
        <v>0</v>
      </c>
    </row>
    <row r="94" spans="1:6">
      <c r="A94">
        <v>761</v>
      </c>
      <c r="B94" t="s">
        <v>328</v>
      </c>
      <c r="C94" t="s">
        <v>190</v>
      </c>
      <c r="D94">
        <v>0</v>
      </c>
      <c r="E94">
        <v>0</v>
      </c>
      <c r="F94">
        <v>0</v>
      </c>
    </row>
    <row r="95" spans="1:6">
      <c r="A95">
        <v>771</v>
      </c>
      <c r="B95" t="s">
        <v>625</v>
      </c>
      <c r="C95" t="s">
        <v>616</v>
      </c>
      <c r="D95">
        <v>0</v>
      </c>
      <c r="E95">
        <v>0</v>
      </c>
      <c r="F95">
        <v>0</v>
      </c>
    </row>
    <row r="96" spans="1:6">
      <c r="A96">
        <v>781</v>
      </c>
      <c r="B96" t="s">
        <v>662</v>
      </c>
      <c r="C96" t="s">
        <v>482</v>
      </c>
      <c r="D96">
        <v>0</v>
      </c>
      <c r="E96">
        <v>0</v>
      </c>
      <c r="F96">
        <v>0</v>
      </c>
    </row>
    <row r="97" spans="1:6">
      <c r="A97">
        <v>791</v>
      </c>
      <c r="B97" t="s">
        <v>39</v>
      </c>
      <c r="C97" t="s">
        <v>1</v>
      </c>
      <c r="D97">
        <v>0</v>
      </c>
      <c r="E97">
        <v>0</v>
      </c>
      <c r="F97">
        <v>0</v>
      </c>
    </row>
    <row r="98" spans="1:6">
      <c r="A98">
        <v>811</v>
      </c>
      <c r="B98" t="s">
        <v>363</v>
      </c>
      <c r="C98" t="s">
        <v>825</v>
      </c>
      <c r="D98">
        <v>410</v>
      </c>
      <c r="E98">
        <v>0</v>
      </c>
      <c r="F98">
        <v>0</v>
      </c>
    </row>
    <row r="99" spans="1:6">
      <c r="A99">
        <v>821</v>
      </c>
      <c r="B99" t="s">
        <v>512</v>
      </c>
      <c r="C99" t="s">
        <v>935</v>
      </c>
      <c r="D99">
        <v>0</v>
      </c>
      <c r="E99">
        <v>0</v>
      </c>
      <c r="F99">
        <v>0</v>
      </c>
    </row>
    <row r="100" spans="1:6">
      <c r="A100">
        <v>831</v>
      </c>
      <c r="B100" t="s">
        <v>730</v>
      </c>
      <c r="C100" t="s">
        <v>1026</v>
      </c>
      <c r="D100">
        <v>0</v>
      </c>
      <c r="E100">
        <v>0</v>
      </c>
      <c r="F100">
        <v>0</v>
      </c>
    </row>
    <row r="101" spans="1:6">
      <c r="A101">
        <v>851</v>
      </c>
      <c r="B101" t="s">
        <v>283</v>
      </c>
      <c r="C101" t="s">
        <v>262</v>
      </c>
      <c r="D101">
        <v>7789</v>
      </c>
      <c r="E101">
        <v>0</v>
      </c>
      <c r="F101">
        <v>0</v>
      </c>
    </row>
    <row r="102" spans="1:6">
      <c r="A102">
        <v>852</v>
      </c>
      <c r="B102" t="s">
        <v>283</v>
      </c>
      <c r="C102" t="s">
        <v>258</v>
      </c>
      <c r="D102">
        <v>-4093</v>
      </c>
      <c r="E102">
        <v>0</v>
      </c>
      <c r="F102">
        <v>4093</v>
      </c>
    </row>
    <row r="103" spans="1:6">
      <c r="A103">
        <v>861</v>
      </c>
      <c r="B103" t="s">
        <v>413</v>
      </c>
      <c r="C103" t="s">
        <v>972</v>
      </c>
      <c r="D103">
        <v>-688922</v>
      </c>
      <c r="E103">
        <v>4093</v>
      </c>
      <c r="F103">
        <v>0</v>
      </c>
    </row>
    <row r="104" spans="1:6">
      <c r="A104">
        <v>862</v>
      </c>
      <c r="B104" t="s">
        <v>413</v>
      </c>
      <c r="C104" t="s">
        <v>258</v>
      </c>
      <c r="D104">
        <v>-4093</v>
      </c>
      <c r="E104">
        <v>0</v>
      </c>
      <c r="F104">
        <v>4093</v>
      </c>
    </row>
    <row r="105" spans="1:6">
      <c r="A105">
        <v>901</v>
      </c>
      <c r="B105" t="s">
        <v>1065</v>
      </c>
      <c r="C105" t="s">
        <v>783</v>
      </c>
      <c r="D105">
        <v>0</v>
      </c>
      <c r="E105">
        <v>0</v>
      </c>
      <c r="F105">
        <v>0</v>
      </c>
    </row>
    <row r="106" spans="1:6">
      <c r="A106">
        <v>911</v>
      </c>
      <c r="B106" t="s">
        <v>846</v>
      </c>
      <c r="C106" t="s">
        <v>659</v>
      </c>
      <c r="D106">
        <v>806</v>
      </c>
      <c r="E106">
        <v>627</v>
      </c>
      <c r="F106">
        <v>81</v>
      </c>
    </row>
    <row r="107" spans="1:6">
      <c r="A107">
        <v>921</v>
      </c>
      <c r="B107" t="s">
        <v>486</v>
      </c>
      <c r="C107" t="s">
        <v>932</v>
      </c>
      <c r="D107">
        <v>0</v>
      </c>
      <c r="E107">
        <v>0</v>
      </c>
      <c r="F107">
        <v>0</v>
      </c>
    </row>
    <row r="108" spans="1:6">
      <c r="A108">
        <v>1001</v>
      </c>
      <c r="B108" t="s">
        <v>327</v>
      </c>
      <c r="C108" t="s">
        <v>1003</v>
      </c>
      <c r="D108">
        <v>0</v>
      </c>
      <c r="E108">
        <v>0</v>
      </c>
      <c r="F108">
        <v>0</v>
      </c>
    </row>
    <row r="109" spans="1:6">
      <c r="A109">
        <v>1021</v>
      </c>
      <c r="B109" t="s">
        <v>460</v>
      </c>
      <c r="C109" t="s">
        <v>1102</v>
      </c>
      <c r="D109">
        <v>0</v>
      </c>
      <c r="E109">
        <v>0</v>
      </c>
      <c r="F109">
        <v>0</v>
      </c>
    </row>
    <row r="110" spans="1:6">
      <c r="A110">
        <v>1022</v>
      </c>
      <c r="B110" t="s">
        <v>460</v>
      </c>
      <c r="C110" t="s">
        <v>563</v>
      </c>
      <c r="D110">
        <v>0</v>
      </c>
      <c r="E110">
        <v>0</v>
      </c>
      <c r="F110">
        <v>0</v>
      </c>
    </row>
    <row r="111" spans="1:6">
      <c r="A111">
        <v>1031</v>
      </c>
      <c r="B111" t="s">
        <v>13</v>
      </c>
      <c r="C111" t="s">
        <v>688</v>
      </c>
      <c r="D111">
        <v>158</v>
      </c>
      <c r="E111">
        <v>198</v>
      </c>
      <c r="F111">
        <v>108</v>
      </c>
    </row>
    <row r="112" spans="1:6">
      <c r="A112">
        <v>1041</v>
      </c>
      <c r="B112" t="s">
        <v>586</v>
      </c>
      <c r="C112" t="s">
        <v>658</v>
      </c>
      <c r="D112">
        <v>151097</v>
      </c>
      <c r="E112">
        <v>0</v>
      </c>
      <c r="F112">
        <v>8513</v>
      </c>
    </row>
    <row r="113" spans="1:6">
      <c r="A113">
        <v>1051</v>
      </c>
      <c r="B113" t="s">
        <v>975</v>
      </c>
      <c r="C113" t="s">
        <v>162</v>
      </c>
      <c r="D113">
        <v>0</v>
      </c>
      <c r="E113">
        <v>0</v>
      </c>
      <c r="F113">
        <v>0</v>
      </c>
    </row>
    <row r="114" spans="1:6">
      <c r="A114">
        <v>1071</v>
      </c>
      <c r="B114" t="s">
        <v>1045</v>
      </c>
      <c r="C114" t="s">
        <v>901</v>
      </c>
      <c r="D114">
        <v>147628</v>
      </c>
      <c r="E114">
        <v>1056069</v>
      </c>
      <c r="F114">
        <v>1044334</v>
      </c>
    </row>
    <row r="115" spans="1:6">
      <c r="A115">
        <v>1072</v>
      </c>
      <c r="B115" t="s">
        <v>1045</v>
      </c>
      <c r="C115" t="s">
        <v>518</v>
      </c>
      <c r="D115">
        <v>0</v>
      </c>
      <c r="E115">
        <v>0</v>
      </c>
      <c r="F115">
        <v>0</v>
      </c>
    </row>
    <row r="116" spans="1:6">
      <c r="A116">
        <v>1081</v>
      </c>
      <c r="B116" t="s">
        <v>895</v>
      </c>
      <c r="C116" t="s">
        <v>711</v>
      </c>
      <c r="D116">
        <v>0</v>
      </c>
      <c r="E116">
        <v>0</v>
      </c>
      <c r="F116">
        <v>0</v>
      </c>
    </row>
    <row r="117" spans="1:6">
      <c r="A117">
        <v>1091</v>
      </c>
      <c r="B117" t="s">
        <v>375</v>
      </c>
      <c r="C117" t="s">
        <v>443</v>
      </c>
      <c r="D117">
        <v>251</v>
      </c>
      <c r="E117">
        <v>251</v>
      </c>
      <c r="F117">
        <v>4240</v>
      </c>
    </row>
    <row r="118" spans="1:6">
      <c r="A118">
        <v>1092</v>
      </c>
      <c r="B118" t="s">
        <v>375</v>
      </c>
      <c r="C118" t="s">
        <v>612</v>
      </c>
      <c r="D118">
        <v>0</v>
      </c>
      <c r="E118">
        <v>0</v>
      </c>
      <c r="F118">
        <v>0</v>
      </c>
    </row>
    <row r="119" spans="1:6">
      <c r="A119">
        <v>1101</v>
      </c>
      <c r="B119" t="s">
        <v>179</v>
      </c>
      <c r="C119" t="s">
        <v>929</v>
      </c>
      <c r="D119">
        <v>0</v>
      </c>
      <c r="E119">
        <v>0</v>
      </c>
      <c r="F119">
        <v>0</v>
      </c>
    </row>
    <row r="120" spans="1:6">
      <c r="A120">
        <v>1102</v>
      </c>
      <c r="B120" t="s">
        <v>179</v>
      </c>
      <c r="C120" t="s">
        <v>1093</v>
      </c>
      <c r="D120">
        <v>0</v>
      </c>
      <c r="E120">
        <v>0</v>
      </c>
      <c r="F120">
        <v>0</v>
      </c>
    </row>
    <row r="121" spans="1:6">
      <c r="A121">
        <v>1121</v>
      </c>
      <c r="B121" t="s">
        <v>38</v>
      </c>
      <c r="C121" t="s">
        <v>208</v>
      </c>
      <c r="D121">
        <v>497909</v>
      </c>
      <c r="E121">
        <v>0</v>
      </c>
      <c r="F121">
        <v>0</v>
      </c>
    </row>
    <row r="122" spans="1:6">
      <c r="A122">
        <v>1122</v>
      </c>
      <c r="B122" t="s">
        <v>38</v>
      </c>
      <c r="C122" t="s">
        <v>581</v>
      </c>
      <c r="D122">
        <v>0</v>
      </c>
      <c r="E122">
        <v>0</v>
      </c>
      <c r="F122">
        <v>0</v>
      </c>
    </row>
    <row r="123" spans="1:6">
      <c r="A123">
        <v>1131</v>
      </c>
      <c r="B123" t="s">
        <v>883</v>
      </c>
      <c r="C123" t="s">
        <v>303</v>
      </c>
      <c r="D123">
        <v>1300</v>
      </c>
      <c r="E123">
        <v>20551</v>
      </c>
      <c r="F123">
        <v>20532</v>
      </c>
    </row>
    <row r="124" spans="1:6">
      <c r="A124">
        <v>1141</v>
      </c>
      <c r="B124" t="s">
        <v>233</v>
      </c>
      <c r="C124" t="s">
        <v>1015</v>
      </c>
      <c r="D124">
        <v>819</v>
      </c>
      <c r="E124">
        <v>9699</v>
      </c>
      <c r="F124">
        <v>9700</v>
      </c>
    </row>
    <row r="125" spans="1:6">
      <c r="A125">
        <v>1151</v>
      </c>
      <c r="B125" t="s">
        <v>562</v>
      </c>
      <c r="C125" t="s">
        <v>590</v>
      </c>
      <c r="D125">
        <v>6084</v>
      </c>
      <c r="E125">
        <v>348846</v>
      </c>
      <c r="F125">
        <v>349586</v>
      </c>
    </row>
    <row r="126" spans="1:6">
      <c r="A126">
        <v>1161</v>
      </c>
      <c r="B126" t="s">
        <v>882</v>
      </c>
      <c r="C126" t="s">
        <v>898</v>
      </c>
      <c r="D126">
        <v>339242</v>
      </c>
      <c r="E126">
        <v>66</v>
      </c>
      <c r="F126">
        <v>66</v>
      </c>
    </row>
    <row r="127" spans="1:6">
      <c r="A127">
        <v>1162</v>
      </c>
      <c r="B127" t="s">
        <v>882</v>
      </c>
      <c r="C127" t="s">
        <v>12</v>
      </c>
      <c r="D127">
        <v>0</v>
      </c>
      <c r="E127">
        <v>0</v>
      </c>
      <c r="F127">
        <v>0</v>
      </c>
    </row>
    <row r="128" spans="1:6">
      <c r="A128">
        <v>1171</v>
      </c>
      <c r="B128" t="s">
        <v>145</v>
      </c>
      <c r="C128" t="s">
        <v>971</v>
      </c>
      <c r="D128">
        <v>0</v>
      </c>
      <c r="E128">
        <v>0</v>
      </c>
      <c r="F128">
        <v>0</v>
      </c>
    </row>
    <row r="129" spans="1:6">
      <c r="A129">
        <v>1191</v>
      </c>
      <c r="B129" t="s">
        <v>580</v>
      </c>
      <c r="C129" t="s">
        <v>511</v>
      </c>
      <c r="D129">
        <v>0</v>
      </c>
      <c r="E129">
        <v>0</v>
      </c>
      <c r="F129">
        <v>0</v>
      </c>
    </row>
    <row r="130" spans="1:6">
      <c r="A130">
        <v>1201</v>
      </c>
      <c r="B130" t="s">
        <v>1014</v>
      </c>
      <c r="C130" t="s">
        <v>980</v>
      </c>
      <c r="D130">
        <v>-4640</v>
      </c>
      <c r="E130">
        <v>950368</v>
      </c>
      <c r="F130">
        <v>926669</v>
      </c>
    </row>
    <row r="131" spans="1:6">
      <c r="A131">
        <v>1202</v>
      </c>
      <c r="B131" t="s">
        <v>1014</v>
      </c>
      <c r="C131" t="s">
        <v>710</v>
      </c>
      <c r="D131">
        <v>0</v>
      </c>
      <c r="E131">
        <v>0</v>
      </c>
      <c r="F131">
        <v>0</v>
      </c>
    </row>
    <row r="132" spans="1:6">
      <c r="A132">
        <v>1221</v>
      </c>
      <c r="B132" t="s">
        <v>485</v>
      </c>
      <c r="C132" t="s">
        <v>41</v>
      </c>
      <c r="D132">
        <v>0</v>
      </c>
      <c r="E132">
        <v>0</v>
      </c>
      <c r="F132">
        <v>0</v>
      </c>
    </row>
    <row r="133" spans="1:6">
      <c r="A133">
        <v>1231</v>
      </c>
      <c r="B133" t="s">
        <v>545</v>
      </c>
      <c r="C133" t="s">
        <v>54</v>
      </c>
      <c r="D133">
        <v>0</v>
      </c>
      <c r="E133">
        <v>0</v>
      </c>
      <c r="F133">
        <v>0</v>
      </c>
    </row>
    <row r="134" spans="1:6">
      <c r="A134">
        <v>1241</v>
      </c>
      <c r="B134" t="s">
        <v>428</v>
      </c>
      <c r="C134" t="s">
        <v>743</v>
      </c>
      <c r="D134">
        <v>0</v>
      </c>
      <c r="E134">
        <v>0</v>
      </c>
      <c r="F134">
        <v>0</v>
      </c>
    </row>
    <row r="135" spans="1:6">
      <c r="A135">
        <v>1251</v>
      </c>
      <c r="B135" t="s">
        <v>250</v>
      </c>
      <c r="C135" t="s">
        <v>1056</v>
      </c>
      <c r="D135">
        <v>0</v>
      </c>
      <c r="E135">
        <v>0</v>
      </c>
      <c r="F135">
        <v>0</v>
      </c>
    </row>
  </sheetData>
  <sheetProtection sheet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N48"/>
  <sheetViews>
    <sheetView workbookViewId="0"/>
  </sheetViews>
  <sheetFormatPr defaultRowHeight="15"/>
  <cols>
    <col min="1" max="14" width="6" style="65" customWidth="1"/>
    <col min="15" max="16384" width="9.140625" style="65"/>
  </cols>
  <sheetData>
    <row r="1" spans="1:14">
      <c r="A1" s="72"/>
      <c r="B1" s="72"/>
      <c r="C1" s="72"/>
      <c r="D1" s="72"/>
      <c r="E1" s="72"/>
      <c r="F1" s="72"/>
      <c r="G1" s="73"/>
      <c r="H1" s="73"/>
      <c r="I1" s="73"/>
      <c r="J1" s="73"/>
      <c r="K1" s="73"/>
      <c r="L1" s="73"/>
      <c r="M1" s="73"/>
      <c r="N1" s="73"/>
    </row>
    <row r="2" spans="1:14" ht="18.75">
      <c r="A2" s="377" t="s">
        <v>922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</row>
    <row r="4" spans="1:14" ht="15.75" customHeight="1">
      <c r="A4" s="190" t="s">
        <v>887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</row>
    <row r="6" spans="1:14" ht="15" customHeight="1">
      <c r="A6" s="260" t="s">
        <v>201</v>
      </c>
      <c r="B6" s="260"/>
      <c r="C6" s="260"/>
      <c r="D6" s="260"/>
      <c r="E6" s="260"/>
      <c r="F6" s="260"/>
      <c r="G6" s="235" t="s">
        <v>319</v>
      </c>
      <c r="H6" s="235"/>
      <c r="I6" s="235"/>
      <c r="J6" s="235"/>
      <c r="K6" s="235"/>
      <c r="L6" s="235"/>
      <c r="M6" s="235"/>
      <c r="N6" s="235"/>
    </row>
    <row r="7" spans="1:14" ht="24.95" customHeight="1">
      <c r="A7" s="259"/>
      <c r="B7" s="259"/>
      <c r="C7" s="259"/>
      <c r="D7" s="259"/>
      <c r="E7" s="259"/>
      <c r="F7" s="259"/>
      <c r="G7" s="252" t="s">
        <v>564</v>
      </c>
      <c r="H7" s="252"/>
      <c r="I7" s="252"/>
      <c r="J7" s="252"/>
      <c r="K7" s="252" t="s">
        <v>1111</v>
      </c>
      <c r="L7" s="252"/>
      <c r="M7" s="252"/>
      <c r="N7" s="252"/>
    </row>
    <row r="8" spans="1:14" ht="15" customHeight="1">
      <c r="A8" s="379" t="s">
        <v>240</v>
      </c>
      <c r="B8" s="379"/>
      <c r="C8" s="379"/>
      <c r="D8" s="379"/>
      <c r="E8" s="379"/>
      <c r="F8" s="379"/>
      <c r="G8" s="383"/>
      <c r="H8" s="383"/>
      <c r="I8" s="383"/>
      <c r="J8" s="383"/>
      <c r="K8" s="239"/>
      <c r="L8" s="239"/>
      <c r="M8" s="239"/>
      <c r="N8" s="239"/>
    </row>
    <row r="9" spans="1:14" ht="15" customHeight="1">
      <c r="A9" s="381" t="s">
        <v>80</v>
      </c>
      <c r="B9" s="381"/>
      <c r="C9" s="381"/>
      <c r="D9" s="381"/>
      <c r="E9" s="381"/>
      <c r="F9" s="381"/>
      <c r="G9" s="382"/>
      <c r="H9" s="382"/>
      <c r="I9" s="382"/>
      <c r="J9" s="382"/>
      <c r="K9" s="382"/>
      <c r="L9" s="382"/>
      <c r="M9" s="382"/>
      <c r="N9" s="382"/>
    </row>
    <row r="10" spans="1:14" ht="15" customHeight="1">
      <c r="A10" s="381" t="s">
        <v>1007</v>
      </c>
      <c r="B10" s="381"/>
      <c r="C10" s="381"/>
      <c r="D10" s="381"/>
      <c r="E10" s="381"/>
      <c r="F10" s="381"/>
      <c r="G10" s="382"/>
      <c r="H10" s="382"/>
      <c r="I10" s="382"/>
      <c r="J10" s="382"/>
      <c r="K10" s="382"/>
      <c r="L10" s="382"/>
      <c r="M10" s="382"/>
      <c r="N10" s="382"/>
    </row>
    <row r="11" spans="1:14" ht="15" customHeight="1">
      <c r="A11" s="381" t="s">
        <v>737</v>
      </c>
      <c r="B11" s="381"/>
      <c r="C11" s="381"/>
      <c r="D11" s="381"/>
      <c r="E11" s="381"/>
      <c r="F11" s="381"/>
      <c r="G11" s="381"/>
      <c r="H11" s="381"/>
      <c r="I11" s="381"/>
      <c r="J11" s="381"/>
      <c r="K11" s="236"/>
      <c r="L11" s="236"/>
      <c r="M11" s="236"/>
      <c r="N11" s="236"/>
    </row>
    <row r="12" spans="1:14" ht="15" customHeight="1">
      <c r="A12" s="381" t="s">
        <v>417</v>
      </c>
      <c r="B12" s="381"/>
      <c r="C12" s="381"/>
      <c r="D12" s="381"/>
      <c r="E12" s="381"/>
      <c r="F12" s="381"/>
      <c r="G12" s="382"/>
      <c r="H12" s="382"/>
      <c r="I12" s="382"/>
      <c r="J12" s="382"/>
      <c r="K12" s="382"/>
      <c r="L12" s="382"/>
      <c r="M12" s="382"/>
      <c r="N12" s="382"/>
    </row>
    <row r="13" spans="1:14" ht="15" customHeight="1">
      <c r="A13" s="381" t="s">
        <v>500</v>
      </c>
      <c r="B13" s="381"/>
      <c r="C13" s="381"/>
      <c r="D13" s="381"/>
      <c r="E13" s="381"/>
      <c r="F13" s="381"/>
      <c r="G13" s="382"/>
      <c r="H13" s="382"/>
      <c r="I13" s="382"/>
      <c r="J13" s="382"/>
      <c r="K13" s="382"/>
      <c r="L13" s="382"/>
      <c r="M13" s="382"/>
      <c r="N13" s="382"/>
    </row>
    <row r="14" spans="1:14" ht="15" customHeight="1"/>
    <row r="15" spans="1:14" ht="15" customHeight="1">
      <c r="A15" s="190" t="s">
        <v>994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</row>
    <row r="17" spans="1:14">
      <c r="A17" s="260" t="s">
        <v>201</v>
      </c>
      <c r="B17" s="260"/>
      <c r="C17" s="260"/>
      <c r="D17" s="260"/>
      <c r="E17" s="260"/>
      <c r="F17" s="260"/>
      <c r="G17" s="235" t="s">
        <v>339</v>
      </c>
      <c r="H17" s="235"/>
      <c r="I17" s="235"/>
      <c r="J17" s="235"/>
      <c r="K17" s="235"/>
      <c r="L17" s="235"/>
      <c r="M17" s="235"/>
      <c r="N17" s="235"/>
    </row>
    <row r="18" spans="1:14" ht="24.95" customHeight="1">
      <c r="A18" s="259"/>
      <c r="B18" s="259"/>
      <c r="C18" s="259"/>
      <c r="D18" s="259"/>
      <c r="E18" s="259"/>
      <c r="F18" s="259"/>
      <c r="G18" s="252" t="s">
        <v>564</v>
      </c>
      <c r="H18" s="252"/>
      <c r="I18" s="252"/>
      <c r="J18" s="252"/>
      <c r="K18" s="252" t="s">
        <v>1111</v>
      </c>
      <c r="L18" s="252"/>
      <c r="M18" s="252"/>
      <c r="N18" s="252"/>
    </row>
    <row r="19" spans="1:14" ht="15" customHeight="1">
      <c r="A19" s="379" t="s">
        <v>240</v>
      </c>
      <c r="B19" s="379"/>
      <c r="C19" s="379"/>
      <c r="D19" s="379"/>
      <c r="E19" s="379"/>
      <c r="F19" s="379"/>
      <c r="G19" s="383"/>
      <c r="H19" s="383"/>
      <c r="I19" s="383"/>
      <c r="J19" s="383"/>
      <c r="K19" s="239"/>
      <c r="L19" s="239"/>
      <c r="M19" s="239"/>
      <c r="N19" s="239"/>
    </row>
    <row r="20" spans="1:14" ht="15" customHeight="1">
      <c r="A20" s="381" t="s">
        <v>80</v>
      </c>
      <c r="B20" s="381"/>
      <c r="C20" s="381"/>
      <c r="D20" s="381"/>
      <c r="E20" s="381"/>
      <c r="F20" s="381"/>
      <c r="G20" s="382"/>
      <c r="H20" s="382"/>
      <c r="I20" s="382"/>
      <c r="J20" s="382"/>
      <c r="K20" s="382"/>
      <c r="L20" s="382"/>
      <c r="M20" s="382"/>
      <c r="N20" s="382"/>
    </row>
    <row r="21" spans="1:14" ht="15" customHeight="1">
      <c r="A21" s="381" t="s">
        <v>1007</v>
      </c>
      <c r="B21" s="381"/>
      <c r="C21" s="381"/>
      <c r="D21" s="381"/>
      <c r="E21" s="381"/>
      <c r="F21" s="381"/>
      <c r="G21" s="382"/>
      <c r="H21" s="382"/>
      <c r="I21" s="382"/>
      <c r="J21" s="382"/>
      <c r="K21" s="382"/>
      <c r="L21" s="382"/>
      <c r="M21" s="382"/>
      <c r="N21" s="382"/>
    </row>
    <row r="22" spans="1:14" ht="15" customHeight="1">
      <c r="A22" s="381" t="s">
        <v>737</v>
      </c>
      <c r="B22" s="381"/>
      <c r="C22" s="381"/>
      <c r="D22" s="381"/>
      <c r="E22" s="381"/>
      <c r="F22" s="381"/>
      <c r="G22" s="381"/>
      <c r="H22" s="381"/>
      <c r="I22" s="381"/>
      <c r="J22" s="381"/>
      <c r="K22" s="236"/>
      <c r="L22" s="236"/>
      <c r="M22" s="236"/>
      <c r="N22" s="236"/>
    </row>
    <row r="23" spans="1:14" ht="15" customHeight="1">
      <c r="A23" s="381" t="s">
        <v>417</v>
      </c>
      <c r="B23" s="381"/>
      <c r="C23" s="381"/>
      <c r="D23" s="381"/>
      <c r="E23" s="381"/>
      <c r="F23" s="381"/>
      <c r="G23" s="382"/>
      <c r="H23" s="382"/>
      <c r="I23" s="382"/>
      <c r="J23" s="382"/>
      <c r="K23" s="382"/>
      <c r="L23" s="382"/>
      <c r="M23" s="382"/>
      <c r="N23" s="382"/>
    </row>
    <row r="24" spans="1:14" ht="15" customHeight="1">
      <c r="A24" s="381" t="s">
        <v>500</v>
      </c>
      <c r="B24" s="381"/>
      <c r="C24" s="381"/>
      <c r="D24" s="381"/>
      <c r="E24" s="381"/>
      <c r="F24" s="381"/>
      <c r="G24" s="382"/>
      <c r="H24" s="382"/>
      <c r="I24" s="382"/>
      <c r="J24" s="382"/>
      <c r="K24" s="382"/>
      <c r="L24" s="382"/>
      <c r="M24" s="382"/>
      <c r="N24" s="382"/>
    </row>
    <row r="26" spans="1:14" ht="15.75">
      <c r="A26" s="190" t="s">
        <v>1005</v>
      </c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</row>
    <row r="28" spans="1:14" ht="24.95" customHeight="1">
      <c r="A28" s="259" t="s">
        <v>436</v>
      </c>
      <c r="B28" s="259"/>
      <c r="C28" s="259"/>
      <c r="D28" s="259"/>
      <c r="E28" s="259"/>
      <c r="F28" s="259"/>
      <c r="G28" s="252" t="s">
        <v>319</v>
      </c>
      <c r="H28" s="252"/>
      <c r="I28" s="252"/>
      <c r="J28" s="252"/>
      <c r="K28" s="252" t="s">
        <v>339</v>
      </c>
      <c r="L28" s="252"/>
      <c r="M28" s="252"/>
      <c r="N28" s="252"/>
    </row>
    <row r="29" spans="1:14">
      <c r="A29" s="379" t="s">
        <v>638</v>
      </c>
      <c r="B29" s="379"/>
      <c r="C29" s="379"/>
      <c r="D29" s="379"/>
      <c r="E29" s="379"/>
      <c r="F29" s="379"/>
      <c r="G29" s="436"/>
      <c r="H29" s="436"/>
      <c r="I29" s="436"/>
      <c r="J29" s="436"/>
      <c r="K29" s="437"/>
      <c r="L29" s="437"/>
      <c r="M29" s="437"/>
      <c r="N29" s="437"/>
    </row>
    <row r="30" spans="1:14">
      <c r="A30" s="381" t="s">
        <v>424</v>
      </c>
      <c r="B30" s="381"/>
      <c r="C30" s="381"/>
      <c r="D30" s="381"/>
      <c r="E30" s="381"/>
      <c r="F30" s="381"/>
      <c r="G30" s="429"/>
      <c r="H30" s="429"/>
      <c r="I30" s="429"/>
      <c r="J30" s="429"/>
      <c r="K30" s="429"/>
      <c r="L30" s="429"/>
      <c r="M30" s="429"/>
      <c r="N30" s="429"/>
    </row>
    <row r="31" spans="1:14">
      <c r="A31" s="381" t="s">
        <v>758</v>
      </c>
      <c r="B31" s="381"/>
      <c r="C31" s="381"/>
      <c r="D31" s="381"/>
      <c r="E31" s="381"/>
      <c r="F31" s="381"/>
      <c r="G31" s="429"/>
      <c r="H31" s="429"/>
      <c r="I31" s="429"/>
      <c r="J31" s="429"/>
      <c r="K31" s="429"/>
      <c r="L31" s="429"/>
      <c r="M31" s="429"/>
      <c r="N31" s="429"/>
    </row>
    <row r="32" spans="1:14" ht="15" customHeight="1">
      <c r="A32" s="381" t="s">
        <v>70</v>
      </c>
      <c r="B32" s="381"/>
      <c r="C32" s="381"/>
      <c r="D32" s="381"/>
      <c r="E32" s="381"/>
      <c r="F32" s="381"/>
      <c r="G32" s="407"/>
      <c r="H32" s="407"/>
      <c r="I32" s="407"/>
      <c r="J32" s="407"/>
      <c r="K32" s="273"/>
      <c r="L32" s="273"/>
      <c r="M32" s="273"/>
      <c r="N32" s="273"/>
    </row>
    <row r="33" spans="1:14">
      <c r="A33" s="381" t="s">
        <v>264</v>
      </c>
      <c r="B33" s="381"/>
      <c r="C33" s="381"/>
      <c r="D33" s="381"/>
      <c r="E33" s="381"/>
      <c r="F33" s="381"/>
      <c r="G33" s="429"/>
      <c r="H33" s="429"/>
      <c r="I33" s="429"/>
      <c r="J33" s="429"/>
      <c r="K33" s="429"/>
      <c r="L33" s="429"/>
      <c r="M33" s="429"/>
      <c r="N33" s="429"/>
    </row>
    <row r="34" spans="1:14">
      <c r="A34" s="430" t="s">
        <v>792</v>
      </c>
      <c r="B34" s="431"/>
      <c r="C34" s="431"/>
      <c r="D34" s="431"/>
      <c r="E34" s="431"/>
      <c r="F34" s="432"/>
      <c r="G34" s="433"/>
      <c r="H34" s="434"/>
      <c r="I34" s="434"/>
      <c r="J34" s="435"/>
      <c r="K34" s="433"/>
      <c r="L34" s="434"/>
      <c r="M34" s="434"/>
      <c r="N34" s="435"/>
    </row>
    <row r="35" spans="1:14">
      <c r="A35" s="318" t="s">
        <v>911</v>
      </c>
      <c r="B35" s="318"/>
      <c r="C35" s="318"/>
      <c r="D35" s="318"/>
      <c r="E35" s="318"/>
      <c r="F35" s="318"/>
      <c r="G35" s="273"/>
      <c r="H35" s="273"/>
      <c r="I35" s="273"/>
      <c r="J35" s="273"/>
      <c r="K35" s="273"/>
      <c r="L35" s="273"/>
      <c r="M35" s="273"/>
      <c r="N35" s="273"/>
    </row>
    <row r="36" spans="1:14">
      <c r="A36" s="318" t="s">
        <v>609</v>
      </c>
      <c r="B36" s="318"/>
      <c r="C36" s="318"/>
      <c r="D36" s="318"/>
      <c r="E36" s="318"/>
      <c r="F36" s="318"/>
      <c r="G36" s="273"/>
      <c r="H36" s="273"/>
      <c r="I36" s="273"/>
      <c r="J36" s="273"/>
      <c r="K36" s="273"/>
      <c r="L36" s="273"/>
      <c r="M36" s="273"/>
      <c r="N36" s="273"/>
    </row>
    <row r="48" spans="1:14" ht="15" customHeight="1"/>
  </sheetData>
  <sheetProtection sheet="1"/>
  <mergeCells count="75">
    <mergeCell ref="A2:N2"/>
    <mergeCell ref="A4:N4"/>
    <mergeCell ref="A6:F7"/>
    <mergeCell ref="G6:N6"/>
    <mergeCell ref="G7:J7"/>
    <mergeCell ref="K7:N7"/>
    <mergeCell ref="A8:F8"/>
    <mergeCell ref="G8:J8"/>
    <mergeCell ref="K8:N8"/>
    <mergeCell ref="A9:F9"/>
    <mergeCell ref="G9:J9"/>
    <mergeCell ref="K9:N9"/>
    <mergeCell ref="A10:F10"/>
    <mergeCell ref="G10:J10"/>
    <mergeCell ref="K10:N10"/>
    <mergeCell ref="A11:F11"/>
    <mergeCell ref="G11:J11"/>
    <mergeCell ref="K11:N11"/>
    <mergeCell ref="A19:F19"/>
    <mergeCell ref="G19:J19"/>
    <mergeCell ref="K19:N19"/>
    <mergeCell ref="A12:F12"/>
    <mergeCell ref="G12:J12"/>
    <mergeCell ref="K12:N12"/>
    <mergeCell ref="A13:F13"/>
    <mergeCell ref="G13:J13"/>
    <mergeCell ref="K13:N13"/>
    <mergeCell ref="A15:N15"/>
    <mergeCell ref="A17:F18"/>
    <mergeCell ref="G17:N17"/>
    <mergeCell ref="G18:J18"/>
    <mergeCell ref="K18:N18"/>
    <mergeCell ref="A20:F20"/>
    <mergeCell ref="G20:J20"/>
    <mergeCell ref="K20:N20"/>
    <mergeCell ref="A21:F21"/>
    <mergeCell ref="G21:J21"/>
    <mergeCell ref="K21:N21"/>
    <mergeCell ref="A22:F22"/>
    <mergeCell ref="G22:J22"/>
    <mergeCell ref="K22:N22"/>
    <mergeCell ref="A23:F23"/>
    <mergeCell ref="G23:J23"/>
    <mergeCell ref="K23:N23"/>
    <mergeCell ref="A24:F24"/>
    <mergeCell ref="G24:J24"/>
    <mergeCell ref="K24:N24"/>
    <mergeCell ref="A26:N26"/>
    <mergeCell ref="A28:F28"/>
    <mergeCell ref="G28:J28"/>
    <mergeCell ref="K28:N28"/>
    <mergeCell ref="A29:F29"/>
    <mergeCell ref="G29:J29"/>
    <mergeCell ref="K29:N29"/>
    <mergeCell ref="A30:F30"/>
    <mergeCell ref="G30:J30"/>
    <mergeCell ref="K30:N30"/>
    <mergeCell ref="A31:F31"/>
    <mergeCell ref="G31:J31"/>
    <mergeCell ref="K31:N31"/>
    <mergeCell ref="A32:F32"/>
    <mergeCell ref="G32:J32"/>
    <mergeCell ref="K32:N32"/>
    <mergeCell ref="A33:F33"/>
    <mergeCell ref="G33:J33"/>
    <mergeCell ref="K33:N33"/>
    <mergeCell ref="A34:F34"/>
    <mergeCell ref="G34:J34"/>
    <mergeCell ref="K34:N34"/>
    <mergeCell ref="A35:F35"/>
    <mergeCell ref="G35:J35"/>
    <mergeCell ref="K35:N35"/>
    <mergeCell ref="A36:F36"/>
    <mergeCell ref="G36:J36"/>
    <mergeCell ref="K36:N36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O49"/>
  <sheetViews>
    <sheetView topLeftCell="A13" workbookViewId="0">
      <selection activeCell="D13" sqref="D13:E13"/>
    </sheetView>
  </sheetViews>
  <sheetFormatPr defaultRowHeight="15"/>
  <cols>
    <col min="1" max="3" width="6" customWidth="1"/>
    <col min="4" max="15" width="5.7109375" customWidth="1"/>
  </cols>
  <sheetData>
    <row r="1" spans="1:15">
      <c r="A1" s="72"/>
      <c r="B1" s="72"/>
      <c r="C1" s="72"/>
      <c r="D1" s="72"/>
      <c r="E1" s="72"/>
      <c r="F1" s="72"/>
      <c r="G1" s="73"/>
      <c r="H1" s="73"/>
      <c r="I1" s="73"/>
      <c r="J1" s="73"/>
      <c r="K1" s="73"/>
      <c r="L1" s="73"/>
      <c r="M1" s="73"/>
      <c r="N1" s="73"/>
    </row>
    <row r="2" spans="1:15" ht="18.75">
      <c r="A2" s="377" t="s">
        <v>235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</row>
    <row r="3" spans="1:15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5" ht="15.75">
      <c r="A4" s="190" t="s">
        <v>982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</row>
    <row r="6" spans="1:15">
      <c r="A6" s="447" t="s">
        <v>446</v>
      </c>
      <c r="B6" s="448"/>
      <c r="C6" s="449"/>
      <c r="D6" s="260" t="s">
        <v>641</v>
      </c>
      <c r="E6" s="260"/>
      <c r="F6" s="260"/>
      <c r="G6" s="260"/>
      <c r="H6" s="260"/>
      <c r="I6" s="260"/>
      <c r="J6" s="260" t="s">
        <v>718</v>
      </c>
      <c r="K6" s="260"/>
      <c r="L6" s="260"/>
      <c r="M6" s="260"/>
      <c r="N6" s="260"/>
      <c r="O6" s="260"/>
    </row>
    <row r="7" spans="1:15">
      <c r="A7" s="450"/>
      <c r="B7" s="451"/>
      <c r="C7" s="452"/>
      <c r="D7" s="260" t="s">
        <v>36</v>
      </c>
      <c r="E7" s="260"/>
      <c r="F7" s="260"/>
      <c r="G7" s="260"/>
      <c r="H7" s="260"/>
      <c r="I7" s="260"/>
      <c r="J7" s="260" t="s">
        <v>647</v>
      </c>
      <c r="K7" s="260"/>
      <c r="L7" s="260"/>
      <c r="M7" s="260"/>
      <c r="N7" s="260"/>
      <c r="O7" s="260"/>
    </row>
    <row r="8" spans="1:15" s="65" customFormat="1">
      <c r="A8" s="450"/>
      <c r="B8" s="451"/>
      <c r="C8" s="452"/>
      <c r="D8" s="260" t="s">
        <v>14</v>
      </c>
      <c r="E8" s="260"/>
      <c r="F8" s="260" t="s">
        <v>91</v>
      </c>
      <c r="G8" s="260"/>
      <c r="H8" s="260" t="s">
        <v>441</v>
      </c>
      <c r="I8" s="260"/>
      <c r="J8" s="260" t="s">
        <v>14</v>
      </c>
      <c r="K8" s="260"/>
      <c r="L8" s="260" t="s">
        <v>91</v>
      </c>
      <c r="M8" s="260"/>
      <c r="N8" s="260" t="s">
        <v>441</v>
      </c>
      <c r="O8" s="260"/>
    </row>
    <row r="9" spans="1:15">
      <c r="A9" s="453"/>
      <c r="B9" s="454"/>
      <c r="C9" s="455"/>
      <c r="D9" s="260" t="s">
        <v>830</v>
      </c>
      <c r="E9" s="260"/>
      <c r="F9" s="260"/>
      <c r="G9" s="260"/>
      <c r="H9" s="260"/>
      <c r="I9" s="260"/>
      <c r="J9" s="260" t="s">
        <v>830</v>
      </c>
      <c r="K9" s="260"/>
      <c r="L9" s="260"/>
      <c r="M9" s="260"/>
      <c r="N9" s="260"/>
      <c r="O9" s="260"/>
    </row>
    <row r="10" spans="1:15" ht="24.95" customHeight="1">
      <c r="A10" s="259" t="s">
        <v>832</v>
      </c>
      <c r="B10" s="259"/>
      <c r="C10" s="259"/>
      <c r="D10" s="252" t="s">
        <v>20</v>
      </c>
      <c r="E10" s="252"/>
      <c r="F10" s="252"/>
      <c r="G10" s="252"/>
      <c r="H10" s="252"/>
      <c r="I10" s="252"/>
      <c r="J10" s="252" t="s">
        <v>20</v>
      </c>
      <c r="K10" s="252"/>
      <c r="L10" s="252"/>
      <c r="M10" s="252"/>
      <c r="N10" s="252"/>
      <c r="O10" s="252"/>
    </row>
    <row r="11" spans="1:15" ht="15" customHeight="1">
      <c r="A11" s="438" t="s">
        <v>365</v>
      </c>
      <c r="B11" s="439"/>
      <c r="C11" s="440"/>
      <c r="D11" s="335">
        <v>13418</v>
      </c>
      <c r="E11" s="335"/>
      <c r="F11" s="335"/>
      <c r="G11" s="335"/>
      <c r="H11" s="335"/>
      <c r="I11" s="335"/>
      <c r="J11" s="335"/>
      <c r="K11" s="335"/>
      <c r="L11" s="335"/>
      <c r="M11" s="335"/>
      <c r="N11" s="335"/>
      <c r="O11" s="335"/>
    </row>
    <row r="12" spans="1:15" s="66" customFormat="1">
      <c r="A12" s="441"/>
      <c r="B12" s="442"/>
      <c r="C12" s="443"/>
      <c r="D12" s="347">
        <v>15225</v>
      </c>
      <c r="E12" s="348"/>
      <c r="F12" s="347"/>
      <c r="G12" s="348"/>
      <c r="H12" s="347"/>
      <c r="I12" s="348"/>
      <c r="J12" s="347"/>
      <c r="K12" s="348"/>
      <c r="L12" s="347"/>
      <c r="M12" s="348"/>
      <c r="N12" s="347"/>
      <c r="O12" s="348"/>
    </row>
    <row r="13" spans="1:15" ht="15" customHeight="1">
      <c r="A13" s="444" t="s">
        <v>143</v>
      </c>
      <c r="B13" s="445"/>
      <c r="C13" s="446"/>
      <c r="D13" s="318"/>
      <c r="E13" s="318"/>
      <c r="F13" s="318"/>
      <c r="G13" s="318"/>
      <c r="H13" s="318"/>
      <c r="I13" s="318"/>
      <c r="J13" s="318"/>
      <c r="K13" s="318"/>
      <c r="L13" s="318"/>
      <c r="M13" s="318"/>
      <c r="N13" s="318"/>
      <c r="O13" s="318"/>
    </row>
    <row r="14" spans="1:15" s="66" customFormat="1">
      <c r="A14" s="441"/>
      <c r="B14" s="442"/>
      <c r="C14" s="443"/>
      <c r="D14" s="347"/>
      <c r="E14" s="348"/>
      <c r="F14" s="347"/>
      <c r="G14" s="348"/>
      <c r="H14" s="347"/>
      <c r="I14" s="348"/>
      <c r="J14" s="347"/>
      <c r="K14" s="348"/>
      <c r="L14" s="347"/>
      <c r="M14" s="348"/>
      <c r="N14" s="347"/>
      <c r="O14" s="348"/>
    </row>
    <row r="15" spans="1:15" ht="15" customHeight="1">
      <c r="A15" s="444" t="s">
        <v>117</v>
      </c>
      <c r="B15" s="445"/>
      <c r="C15" s="446"/>
      <c r="D15" s="318"/>
      <c r="E15" s="318"/>
      <c r="F15" s="318"/>
      <c r="G15" s="318"/>
      <c r="H15" s="318"/>
      <c r="I15" s="318"/>
      <c r="J15" s="318"/>
      <c r="K15" s="318"/>
      <c r="L15" s="318"/>
      <c r="M15" s="318"/>
      <c r="N15" s="318"/>
      <c r="O15" s="318"/>
    </row>
    <row r="16" spans="1:15" s="66" customFormat="1">
      <c r="A16" s="441"/>
      <c r="B16" s="442"/>
      <c r="C16" s="443"/>
      <c r="D16" s="347"/>
      <c r="E16" s="348"/>
      <c r="F16" s="347"/>
      <c r="G16" s="348"/>
      <c r="H16" s="347"/>
      <c r="I16" s="348"/>
      <c r="J16" s="347"/>
      <c r="K16" s="348"/>
      <c r="L16" s="347"/>
      <c r="M16" s="348"/>
      <c r="N16" s="347"/>
      <c r="O16" s="348"/>
    </row>
    <row r="17" spans="1:15" ht="15" customHeight="1">
      <c r="A17" s="444" t="s">
        <v>997</v>
      </c>
      <c r="B17" s="445"/>
      <c r="C17" s="446"/>
      <c r="D17" s="318"/>
      <c r="E17" s="318"/>
      <c r="F17" s="318"/>
      <c r="G17" s="318"/>
      <c r="H17" s="318"/>
      <c r="I17" s="318"/>
      <c r="J17" s="318"/>
      <c r="K17" s="318"/>
      <c r="L17" s="318"/>
      <c r="M17" s="318"/>
      <c r="N17" s="318"/>
      <c r="O17" s="318"/>
    </row>
    <row r="18" spans="1:15" s="66" customFormat="1">
      <c r="A18" s="441"/>
      <c r="B18" s="442"/>
      <c r="C18" s="443"/>
      <c r="D18" s="347"/>
      <c r="E18" s="348"/>
      <c r="F18" s="347"/>
      <c r="G18" s="348"/>
      <c r="H18" s="347"/>
      <c r="I18" s="348"/>
      <c r="J18" s="347"/>
      <c r="K18" s="348"/>
      <c r="L18" s="347"/>
      <c r="M18" s="348"/>
      <c r="N18" s="347"/>
      <c r="O18" s="348"/>
    </row>
    <row r="19" spans="1:15" ht="15" customHeight="1">
      <c r="A19" s="444" t="s">
        <v>701</v>
      </c>
      <c r="B19" s="445"/>
      <c r="C19" s="446"/>
      <c r="D19" s="318"/>
      <c r="E19" s="318"/>
      <c r="F19" s="318"/>
      <c r="G19" s="318"/>
      <c r="H19" s="318"/>
      <c r="I19" s="318"/>
      <c r="J19" s="318"/>
      <c r="K19" s="318"/>
      <c r="L19" s="318"/>
      <c r="M19" s="318"/>
      <c r="N19" s="318"/>
      <c r="O19" s="318"/>
    </row>
    <row r="20" spans="1:15" s="66" customFormat="1">
      <c r="A20" s="441"/>
      <c r="B20" s="442"/>
      <c r="C20" s="443"/>
      <c r="D20" s="347"/>
      <c r="E20" s="348"/>
      <c r="F20" s="347"/>
      <c r="G20" s="348"/>
      <c r="H20" s="347"/>
      <c r="I20" s="348"/>
      <c r="J20" s="347"/>
      <c r="K20" s="348"/>
      <c r="L20" s="347"/>
      <c r="M20" s="348"/>
      <c r="N20" s="347"/>
      <c r="O20" s="348"/>
    </row>
    <row r="21" spans="1:15">
      <c r="A21" s="444" t="s">
        <v>395</v>
      </c>
      <c r="B21" s="445"/>
      <c r="C21" s="446"/>
      <c r="D21" s="318"/>
      <c r="E21" s="318"/>
      <c r="F21" s="318"/>
      <c r="G21" s="318"/>
      <c r="H21" s="318"/>
      <c r="I21" s="318"/>
      <c r="J21" s="318"/>
      <c r="K21" s="318"/>
      <c r="L21" s="318"/>
      <c r="M21" s="318"/>
      <c r="N21" s="318"/>
      <c r="O21" s="318"/>
    </row>
    <row r="22" spans="1:15" s="66" customFormat="1">
      <c r="A22" s="441"/>
      <c r="B22" s="442"/>
      <c r="C22" s="443"/>
      <c r="D22" s="347"/>
      <c r="E22" s="348"/>
      <c r="F22" s="347"/>
      <c r="G22" s="348"/>
      <c r="H22" s="347"/>
      <c r="I22" s="348"/>
      <c r="J22" s="347"/>
      <c r="K22" s="348"/>
      <c r="L22" s="347"/>
      <c r="M22" s="348"/>
      <c r="N22" s="347"/>
      <c r="O22" s="348"/>
    </row>
    <row r="49" spans="14:14">
      <c r="N49" s="100" t="s">
        <v>1301</v>
      </c>
    </row>
  </sheetData>
  <mergeCells count="96">
    <mergeCell ref="A21:C22"/>
    <mergeCell ref="D22:E22"/>
    <mergeCell ref="F22:G22"/>
    <mergeCell ref="H22:I22"/>
    <mergeCell ref="J22:K22"/>
    <mergeCell ref="D21:E21"/>
    <mergeCell ref="N22:O22"/>
    <mergeCell ref="F20:G20"/>
    <mergeCell ref="H20:I20"/>
    <mergeCell ref="J20:K20"/>
    <mergeCell ref="L20:M20"/>
    <mergeCell ref="N20:O20"/>
    <mergeCell ref="H21:I21"/>
    <mergeCell ref="L22:M22"/>
    <mergeCell ref="F21:G21"/>
    <mergeCell ref="A15:C16"/>
    <mergeCell ref="A17:C18"/>
    <mergeCell ref="A19:C20"/>
    <mergeCell ref="L16:M16"/>
    <mergeCell ref="L12:M12"/>
    <mergeCell ref="D19:E19"/>
    <mergeCell ref="D20:E20"/>
    <mergeCell ref="F15:G15"/>
    <mergeCell ref="L14:M14"/>
    <mergeCell ref="F16:G16"/>
    <mergeCell ref="J19:K19"/>
    <mergeCell ref="H19:I19"/>
    <mergeCell ref="H16:I16"/>
    <mergeCell ref="J16:K16"/>
    <mergeCell ref="F19:G19"/>
    <mergeCell ref="N14:O14"/>
    <mergeCell ref="F13:G13"/>
    <mergeCell ref="N16:O16"/>
    <mergeCell ref="D18:E18"/>
    <mergeCell ref="F18:G18"/>
    <mergeCell ref="H18:I18"/>
    <mergeCell ref="J18:K18"/>
    <mergeCell ref="L18:M18"/>
    <mergeCell ref="N18:O18"/>
    <mergeCell ref="D17:E17"/>
    <mergeCell ref="D16:E16"/>
    <mergeCell ref="F17:G17"/>
    <mergeCell ref="D14:E14"/>
    <mergeCell ref="F14:G14"/>
    <mergeCell ref="H14:I14"/>
    <mergeCell ref="J14:K14"/>
    <mergeCell ref="A2:N2"/>
    <mergeCell ref="A4:N4"/>
    <mergeCell ref="A10:C10"/>
    <mergeCell ref="N11:O11"/>
    <mergeCell ref="N13:O13"/>
    <mergeCell ref="D12:E12"/>
    <mergeCell ref="D13:E13"/>
    <mergeCell ref="F11:G11"/>
    <mergeCell ref="N12:O12"/>
    <mergeCell ref="A11:C12"/>
    <mergeCell ref="A13:C14"/>
    <mergeCell ref="F12:G12"/>
    <mergeCell ref="H12:I12"/>
    <mergeCell ref="J12:K12"/>
    <mergeCell ref="A6:C9"/>
    <mergeCell ref="D6:I6"/>
    <mergeCell ref="N19:O19"/>
    <mergeCell ref="N21:O21"/>
    <mergeCell ref="L19:M19"/>
    <mergeCell ref="L21:M21"/>
    <mergeCell ref="J21:K21"/>
    <mergeCell ref="N17:O17"/>
    <mergeCell ref="J13:K13"/>
    <mergeCell ref="J15:K15"/>
    <mergeCell ref="J17:K17"/>
    <mergeCell ref="D11:E11"/>
    <mergeCell ref="L11:M11"/>
    <mergeCell ref="L13:M13"/>
    <mergeCell ref="L15:M15"/>
    <mergeCell ref="L17:M17"/>
    <mergeCell ref="J11:K11"/>
    <mergeCell ref="H11:I11"/>
    <mergeCell ref="H13:I13"/>
    <mergeCell ref="H15:I15"/>
    <mergeCell ref="H17:I17"/>
    <mergeCell ref="N15:O15"/>
    <mergeCell ref="D15:E15"/>
    <mergeCell ref="D9:I9"/>
    <mergeCell ref="J9:O9"/>
    <mergeCell ref="D10:I10"/>
    <mergeCell ref="J10:O10"/>
    <mergeCell ref="J6:O6"/>
    <mergeCell ref="D7:I7"/>
    <mergeCell ref="J7:O7"/>
    <mergeCell ref="D8:E8"/>
    <mergeCell ref="F8:G8"/>
    <mergeCell ref="H8:I8"/>
    <mergeCell ref="J8:K8"/>
    <mergeCell ref="L8:M8"/>
    <mergeCell ref="N8:O8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L12" sqref="L12:N12"/>
    </sheetView>
  </sheetViews>
  <sheetFormatPr defaultRowHeight="15"/>
  <cols>
    <col min="1" max="5" width="6" style="66" customWidth="1"/>
    <col min="6" max="6" width="7" style="66" customWidth="1"/>
    <col min="7" max="13" width="6" style="66" customWidth="1"/>
    <col min="14" max="14" width="6.140625" style="66" customWidth="1"/>
    <col min="15" max="16384" width="9.140625" style="66"/>
  </cols>
  <sheetData>
    <row r="1" spans="1:14" ht="18.75">
      <c r="A1" s="377" t="s">
        <v>102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</row>
    <row r="2" spans="1:14" ht="9.9499999999999993" customHeight="1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113.25" customHeight="1">
      <c r="A3" s="189" t="s">
        <v>206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</row>
    <row r="4" spans="1:14" ht="15.75" customHeight="1">
      <c r="A4" s="190" t="s">
        <v>79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</row>
    <row r="5" spans="1:14" ht="15" customHeight="1">
      <c r="A5" s="260" t="s">
        <v>1067</v>
      </c>
      <c r="B5" s="260"/>
      <c r="C5" s="260"/>
      <c r="D5" s="260"/>
      <c r="E5" s="260"/>
      <c r="F5" s="260"/>
      <c r="G5" s="286" t="s">
        <v>648</v>
      </c>
      <c r="H5" s="287"/>
      <c r="I5" s="235" t="s">
        <v>770</v>
      </c>
      <c r="J5" s="235"/>
      <c r="K5" s="235"/>
      <c r="L5" s="235"/>
      <c r="M5" s="235"/>
      <c r="N5" s="235"/>
    </row>
    <row r="6" spans="1:14" ht="35.1" customHeight="1">
      <c r="A6" s="456"/>
      <c r="B6" s="456"/>
      <c r="C6" s="456"/>
      <c r="D6" s="456"/>
      <c r="E6" s="456"/>
      <c r="F6" s="456"/>
      <c r="G6" s="457"/>
      <c r="H6" s="458"/>
      <c r="I6" s="233" t="s">
        <v>319</v>
      </c>
      <c r="J6" s="233"/>
      <c r="K6" s="233"/>
      <c r="L6" s="233" t="s">
        <v>339</v>
      </c>
      <c r="M6" s="233"/>
      <c r="N6" s="233"/>
    </row>
    <row r="7" spans="1:14" ht="15" customHeight="1">
      <c r="A7" s="256" t="s">
        <v>832</v>
      </c>
      <c r="B7" s="256"/>
      <c r="C7" s="256"/>
      <c r="D7" s="256"/>
      <c r="E7" s="256"/>
      <c r="F7" s="256"/>
      <c r="G7" s="256" t="s">
        <v>36</v>
      </c>
      <c r="H7" s="256"/>
      <c r="I7" s="256" t="s">
        <v>647</v>
      </c>
      <c r="J7" s="256"/>
      <c r="K7" s="256"/>
      <c r="L7" s="336" t="s">
        <v>236</v>
      </c>
      <c r="M7" s="336"/>
      <c r="N7" s="336"/>
    </row>
    <row r="8" spans="1:14" ht="15" customHeight="1">
      <c r="A8" s="247" t="s">
        <v>1150</v>
      </c>
      <c r="B8" s="247"/>
      <c r="C8" s="247"/>
      <c r="D8" s="247"/>
      <c r="E8" s="247"/>
      <c r="F8" s="247"/>
      <c r="G8" s="460"/>
      <c r="H8" s="460"/>
      <c r="I8" s="459"/>
      <c r="J8" s="459"/>
      <c r="K8" s="459"/>
      <c r="L8" s="459"/>
      <c r="M8" s="459"/>
      <c r="N8" s="459"/>
    </row>
    <row r="9" spans="1:14" ht="15" customHeight="1">
      <c r="A9" s="249" t="s">
        <v>1320</v>
      </c>
      <c r="B9" s="249"/>
      <c r="C9" s="249"/>
      <c r="D9" s="249"/>
      <c r="E9" s="249"/>
      <c r="F9" s="249"/>
      <c r="G9" s="240">
        <v>8</v>
      </c>
      <c r="H9" s="278"/>
      <c r="I9" s="327">
        <v>48000</v>
      </c>
      <c r="J9" s="327"/>
      <c r="K9" s="327"/>
      <c r="L9" s="327"/>
      <c r="M9" s="327"/>
      <c r="N9" s="327"/>
    </row>
    <row r="10" spans="1:14" ht="15" customHeight="1">
      <c r="A10" s="249"/>
      <c r="B10" s="249"/>
      <c r="C10" s="249"/>
      <c r="D10" s="249"/>
      <c r="E10" s="249"/>
      <c r="F10" s="249"/>
      <c r="G10" s="240">
        <v>8</v>
      </c>
      <c r="H10" s="278"/>
      <c r="I10" s="326"/>
      <c r="J10" s="326"/>
      <c r="K10" s="326"/>
      <c r="L10" s="327"/>
      <c r="M10" s="327"/>
      <c r="N10" s="327"/>
    </row>
    <row r="11" spans="1:14" ht="15" customHeight="1">
      <c r="A11" s="249" t="s">
        <v>1276</v>
      </c>
      <c r="B11" s="249"/>
      <c r="C11" s="249"/>
      <c r="D11" s="249"/>
      <c r="E11" s="249"/>
      <c r="F11" s="249"/>
      <c r="G11" s="461"/>
      <c r="H11" s="461"/>
      <c r="I11" s="327"/>
      <c r="J11" s="327"/>
      <c r="K11" s="327"/>
      <c r="L11" s="327"/>
      <c r="M11" s="327"/>
      <c r="N11" s="327"/>
    </row>
    <row r="12" spans="1:14" ht="15" customHeight="1">
      <c r="A12" s="249" t="s">
        <v>1275</v>
      </c>
      <c r="B12" s="249"/>
      <c r="C12" s="249"/>
      <c r="D12" s="249"/>
      <c r="E12" s="249"/>
      <c r="F12" s="249"/>
      <c r="G12" s="240">
        <v>8</v>
      </c>
      <c r="H12" s="278"/>
      <c r="I12" s="327">
        <v>6000</v>
      </c>
      <c r="J12" s="327"/>
      <c r="K12" s="327"/>
      <c r="L12" s="327">
        <v>20000</v>
      </c>
      <c r="M12" s="327"/>
      <c r="N12" s="327"/>
    </row>
    <row r="13" spans="1:14" ht="15" customHeight="1">
      <c r="A13" s="249"/>
      <c r="B13" s="249"/>
      <c r="C13" s="249"/>
      <c r="D13" s="249"/>
      <c r="E13" s="249"/>
      <c r="F13" s="249"/>
      <c r="G13" s="461"/>
      <c r="H13" s="461"/>
      <c r="I13" s="327"/>
      <c r="J13" s="327"/>
      <c r="K13" s="327"/>
      <c r="L13" s="327"/>
      <c r="M13" s="327"/>
      <c r="N13" s="327"/>
    </row>
    <row r="14" spans="1:14">
      <c r="A14" s="249"/>
      <c r="B14" s="249"/>
      <c r="C14" s="249"/>
      <c r="D14" s="249"/>
      <c r="E14" s="249"/>
      <c r="F14" s="249"/>
      <c r="G14" s="461"/>
      <c r="H14" s="461"/>
      <c r="I14" s="327"/>
      <c r="J14" s="327"/>
      <c r="K14" s="327"/>
      <c r="L14" s="327"/>
      <c r="M14" s="327"/>
      <c r="N14" s="327"/>
    </row>
    <row r="15" spans="1:14" s="100" customFormat="1">
      <c r="A15" s="55"/>
      <c r="B15" s="55"/>
      <c r="C15" s="55"/>
      <c r="D15" s="55"/>
      <c r="E15" s="55"/>
      <c r="F15" s="55"/>
      <c r="G15" s="115"/>
      <c r="H15" s="115"/>
      <c r="I15" s="116"/>
      <c r="J15" s="116"/>
      <c r="K15" s="116"/>
      <c r="L15" s="116"/>
      <c r="M15" s="116"/>
      <c r="N15" s="116"/>
    </row>
    <row r="16" spans="1:14" ht="9.9499999999999993" customHeight="1"/>
    <row r="17" spans="1:14" ht="15.75" customHeight="1">
      <c r="A17" s="190" t="s">
        <v>487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</row>
    <row r="18" spans="1:14" ht="15" customHeight="1">
      <c r="A18" s="286" t="s">
        <v>74</v>
      </c>
      <c r="B18" s="287"/>
      <c r="C18" s="287"/>
      <c r="D18" s="287"/>
      <c r="E18" s="287"/>
      <c r="F18" s="288"/>
      <c r="G18" s="286" t="s">
        <v>648</v>
      </c>
      <c r="H18" s="287"/>
      <c r="I18" s="235" t="s">
        <v>770</v>
      </c>
      <c r="J18" s="235"/>
      <c r="K18" s="235"/>
      <c r="L18" s="235"/>
      <c r="M18" s="235"/>
      <c r="N18" s="235"/>
    </row>
    <row r="19" spans="1:14" ht="35.1" customHeight="1">
      <c r="A19" s="289"/>
      <c r="B19" s="290"/>
      <c r="C19" s="290"/>
      <c r="D19" s="290"/>
      <c r="E19" s="290"/>
      <c r="F19" s="291"/>
      <c r="G19" s="457"/>
      <c r="H19" s="458"/>
      <c r="I19" s="233" t="s">
        <v>319</v>
      </c>
      <c r="J19" s="233"/>
      <c r="K19" s="233"/>
      <c r="L19" s="233" t="s">
        <v>339</v>
      </c>
      <c r="M19" s="233"/>
      <c r="N19" s="233"/>
    </row>
    <row r="20" spans="1:14" ht="15" customHeight="1">
      <c r="A20" s="256" t="s">
        <v>832</v>
      </c>
      <c r="B20" s="256"/>
      <c r="C20" s="256"/>
      <c r="D20" s="256"/>
      <c r="E20" s="256"/>
      <c r="F20" s="256"/>
      <c r="G20" s="256" t="s">
        <v>36</v>
      </c>
      <c r="H20" s="256"/>
      <c r="I20" s="256" t="s">
        <v>647</v>
      </c>
      <c r="J20" s="256"/>
      <c r="K20" s="256"/>
      <c r="L20" s="336" t="s">
        <v>236</v>
      </c>
      <c r="M20" s="336"/>
      <c r="N20" s="336"/>
    </row>
    <row r="21" spans="1:14">
      <c r="A21" s="247" t="s">
        <v>1251</v>
      </c>
      <c r="B21" s="247"/>
      <c r="C21" s="247"/>
      <c r="D21" s="247"/>
      <c r="E21" s="247"/>
      <c r="F21" s="247"/>
      <c r="G21" s="460"/>
      <c r="H21" s="460"/>
      <c r="I21" s="459"/>
      <c r="J21" s="459"/>
      <c r="K21" s="459"/>
      <c r="L21" s="459"/>
      <c r="M21" s="459"/>
      <c r="N21" s="459"/>
    </row>
    <row r="22" spans="1:14">
      <c r="A22" s="249"/>
      <c r="B22" s="249"/>
      <c r="C22" s="249"/>
      <c r="D22" s="249"/>
      <c r="E22" s="249"/>
      <c r="F22" s="249"/>
      <c r="G22" s="461"/>
      <c r="H22" s="461"/>
      <c r="I22" s="327"/>
      <c r="J22" s="327"/>
      <c r="K22" s="327"/>
      <c r="L22" s="327"/>
      <c r="M22" s="327"/>
      <c r="N22" s="327"/>
    </row>
    <row r="23" spans="1:14">
      <c r="A23" s="249"/>
      <c r="B23" s="249"/>
      <c r="C23" s="249"/>
      <c r="D23" s="249"/>
      <c r="E23" s="249"/>
      <c r="F23" s="249"/>
      <c r="G23" s="249"/>
      <c r="H23" s="249"/>
      <c r="I23" s="326"/>
      <c r="J23" s="326"/>
      <c r="K23" s="326"/>
      <c r="L23" s="327"/>
      <c r="M23" s="327"/>
      <c r="N23" s="327"/>
    </row>
    <row r="24" spans="1:14">
      <c r="A24" s="249"/>
      <c r="B24" s="249"/>
      <c r="C24" s="249"/>
      <c r="D24" s="249"/>
      <c r="E24" s="249"/>
      <c r="F24" s="249"/>
      <c r="G24" s="461"/>
      <c r="H24" s="461"/>
      <c r="I24" s="327"/>
      <c r="J24" s="327"/>
      <c r="K24" s="327"/>
      <c r="L24" s="327"/>
      <c r="M24" s="327"/>
      <c r="N24" s="327"/>
    </row>
    <row r="25" spans="1:14">
      <c r="A25" s="249"/>
      <c r="B25" s="249"/>
      <c r="C25" s="249"/>
      <c r="D25" s="249"/>
      <c r="E25" s="249"/>
      <c r="F25" s="249"/>
      <c r="G25" s="461"/>
      <c r="H25" s="461"/>
      <c r="I25" s="327">
        <v>0</v>
      </c>
      <c r="J25" s="327"/>
      <c r="K25" s="327"/>
      <c r="L25" s="327">
        <v>0</v>
      </c>
      <c r="M25" s="327"/>
      <c r="N25" s="327"/>
    </row>
    <row r="26" spans="1:14" s="100" customFormat="1">
      <c r="A26" s="55"/>
      <c r="B26" s="55"/>
      <c r="C26" s="55"/>
      <c r="D26" s="55"/>
      <c r="E26" s="55"/>
      <c r="F26" s="55"/>
      <c r="G26" s="115"/>
      <c r="H26" s="115"/>
      <c r="I26" s="116"/>
      <c r="J26" s="116"/>
      <c r="K26" s="116"/>
      <c r="L26" s="116"/>
      <c r="M26" s="116"/>
      <c r="N26" s="116"/>
    </row>
    <row r="27" spans="1:14" ht="9.9499999999999993" customHeight="1"/>
    <row r="28" spans="1:14" ht="45.75" customHeight="1">
      <c r="A28" s="190" t="s">
        <v>1120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</row>
    <row r="29" spans="1:14">
      <c r="A29" s="286" t="s">
        <v>74</v>
      </c>
      <c r="B29" s="287"/>
      <c r="C29" s="287"/>
      <c r="D29" s="287"/>
      <c r="E29" s="287"/>
      <c r="F29" s="288"/>
      <c r="G29" s="286" t="s">
        <v>648</v>
      </c>
      <c r="H29" s="287"/>
      <c r="I29" s="235" t="s">
        <v>770</v>
      </c>
      <c r="J29" s="235"/>
      <c r="K29" s="235"/>
      <c r="L29" s="235"/>
      <c r="M29" s="235"/>
      <c r="N29" s="235"/>
    </row>
    <row r="30" spans="1:14" ht="35.1" customHeight="1">
      <c r="A30" s="289"/>
      <c r="B30" s="290"/>
      <c r="C30" s="290"/>
      <c r="D30" s="290"/>
      <c r="E30" s="290"/>
      <c r="F30" s="291"/>
      <c r="G30" s="457"/>
      <c r="H30" s="458"/>
      <c r="I30" s="233" t="s">
        <v>319</v>
      </c>
      <c r="J30" s="233"/>
      <c r="K30" s="233"/>
      <c r="L30" s="233" t="s">
        <v>339</v>
      </c>
      <c r="M30" s="233"/>
      <c r="N30" s="233"/>
    </row>
    <row r="31" spans="1:14">
      <c r="A31" s="256" t="s">
        <v>832</v>
      </c>
      <c r="B31" s="256"/>
      <c r="C31" s="256"/>
      <c r="D31" s="256"/>
      <c r="E31" s="256"/>
      <c r="F31" s="256"/>
      <c r="G31" s="256" t="s">
        <v>36</v>
      </c>
      <c r="H31" s="256"/>
      <c r="I31" s="256" t="s">
        <v>647</v>
      </c>
      <c r="J31" s="256"/>
      <c r="K31" s="256"/>
      <c r="L31" s="336" t="s">
        <v>236</v>
      </c>
      <c r="M31" s="336"/>
      <c r="N31" s="336"/>
    </row>
    <row r="32" spans="1:14">
      <c r="A32" s="247" t="s">
        <v>1251</v>
      </c>
      <c r="B32" s="247"/>
      <c r="C32" s="247"/>
      <c r="D32" s="247"/>
      <c r="E32" s="247"/>
      <c r="F32" s="247"/>
      <c r="G32" s="460"/>
      <c r="H32" s="460"/>
      <c r="I32" s="459"/>
      <c r="J32" s="459"/>
      <c r="K32" s="459"/>
      <c r="L32" s="459"/>
      <c r="M32" s="459"/>
      <c r="N32" s="459"/>
    </row>
    <row r="33" spans="1:14">
      <c r="A33" s="249"/>
      <c r="B33" s="249"/>
      <c r="C33" s="249"/>
      <c r="D33" s="249"/>
      <c r="E33" s="249"/>
      <c r="F33" s="249"/>
      <c r="G33" s="461"/>
      <c r="H33" s="461"/>
      <c r="I33" s="327"/>
      <c r="J33" s="327"/>
      <c r="K33" s="327"/>
      <c r="L33" s="327"/>
      <c r="M33" s="327"/>
      <c r="N33" s="327"/>
    </row>
    <row r="34" spans="1:14">
      <c r="A34" s="249"/>
      <c r="B34" s="249"/>
      <c r="C34" s="249"/>
      <c r="D34" s="249"/>
      <c r="E34" s="249"/>
      <c r="F34" s="249"/>
      <c r="G34" s="249"/>
      <c r="H34" s="249"/>
      <c r="I34" s="326"/>
      <c r="J34" s="326"/>
      <c r="K34" s="326"/>
      <c r="L34" s="327"/>
      <c r="M34" s="327"/>
      <c r="N34" s="327"/>
    </row>
    <row r="35" spans="1:14">
      <c r="A35" s="249"/>
      <c r="B35" s="249"/>
      <c r="C35" s="249"/>
      <c r="D35" s="249"/>
      <c r="E35" s="249"/>
      <c r="F35" s="249"/>
      <c r="G35" s="461"/>
      <c r="H35" s="461"/>
      <c r="I35" s="327">
        <v>0</v>
      </c>
      <c r="J35" s="327"/>
      <c r="K35" s="327"/>
      <c r="L35" s="327">
        <v>0</v>
      </c>
      <c r="M35" s="327"/>
      <c r="N35" s="327"/>
    </row>
    <row r="38" spans="1:14">
      <c r="M38" s="100" t="s">
        <v>1302</v>
      </c>
    </row>
  </sheetData>
  <mergeCells count="96">
    <mergeCell ref="I30:K30"/>
    <mergeCell ref="L32:N32"/>
    <mergeCell ref="A29:F30"/>
    <mergeCell ref="G29:H30"/>
    <mergeCell ref="I29:N29"/>
    <mergeCell ref="A31:F31"/>
    <mergeCell ref="I33:K33"/>
    <mergeCell ref="L33:N33"/>
    <mergeCell ref="A34:F34"/>
    <mergeCell ref="G34:H34"/>
    <mergeCell ref="I34:K34"/>
    <mergeCell ref="L34:N34"/>
    <mergeCell ref="A20:F20"/>
    <mergeCell ref="G14:H14"/>
    <mergeCell ref="A28:N28"/>
    <mergeCell ref="A35:F35"/>
    <mergeCell ref="G35:H35"/>
    <mergeCell ref="I35:K35"/>
    <mergeCell ref="L35:N35"/>
    <mergeCell ref="L30:N30"/>
    <mergeCell ref="G31:H31"/>
    <mergeCell ref="I31:K31"/>
    <mergeCell ref="L31:N31"/>
    <mergeCell ref="G32:H32"/>
    <mergeCell ref="I32:K32"/>
    <mergeCell ref="A32:F32"/>
    <mergeCell ref="A33:F33"/>
    <mergeCell ref="G33:H33"/>
    <mergeCell ref="A13:F13"/>
    <mergeCell ref="G13:H13"/>
    <mergeCell ref="I13:K13"/>
    <mergeCell ref="A18:F19"/>
    <mergeCell ref="G18:H19"/>
    <mergeCell ref="I18:N18"/>
    <mergeCell ref="I19:K19"/>
    <mergeCell ref="A17:N17"/>
    <mergeCell ref="L13:N13"/>
    <mergeCell ref="A14:F14"/>
    <mergeCell ref="L19:N19"/>
    <mergeCell ref="G20:H20"/>
    <mergeCell ref="I20:K20"/>
    <mergeCell ref="L20:N20"/>
    <mergeCell ref="I14:K14"/>
    <mergeCell ref="L14:N14"/>
    <mergeCell ref="A11:F11"/>
    <mergeCell ref="A12:F12"/>
    <mergeCell ref="G9:H9"/>
    <mergeCell ref="G10:H10"/>
    <mergeCell ref="G11:H11"/>
    <mergeCell ref="G12:H12"/>
    <mergeCell ref="A9:F9"/>
    <mergeCell ref="A10:F10"/>
    <mergeCell ref="L9:N9"/>
    <mergeCell ref="L10:N10"/>
    <mergeCell ref="L11:N11"/>
    <mergeCell ref="L12:N12"/>
    <mergeCell ref="I9:K9"/>
    <mergeCell ref="I10:K10"/>
    <mergeCell ref="I11:K11"/>
    <mergeCell ref="I12:K12"/>
    <mergeCell ref="A25:F25"/>
    <mergeCell ref="G23:H23"/>
    <mergeCell ref="I23:K23"/>
    <mergeCell ref="L23:N23"/>
    <mergeCell ref="A24:F24"/>
    <mergeCell ref="G24:H24"/>
    <mergeCell ref="I24:K24"/>
    <mergeCell ref="L24:N24"/>
    <mergeCell ref="G25:H25"/>
    <mergeCell ref="I25:K25"/>
    <mergeCell ref="L25:N25"/>
    <mergeCell ref="G21:H21"/>
    <mergeCell ref="I21:K21"/>
    <mergeCell ref="L21:N21"/>
    <mergeCell ref="A23:F23"/>
    <mergeCell ref="A21:F21"/>
    <mergeCell ref="A22:F22"/>
    <mergeCell ref="G22:H22"/>
    <mergeCell ref="I22:K22"/>
    <mergeCell ref="L22:N22"/>
    <mergeCell ref="A7:F7"/>
    <mergeCell ref="A8:F8"/>
    <mergeCell ref="A1:N1"/>
    <mergeCell ref="A4:N4"/>
    <mergeCell ref="A5:F6"/>
    <mergeCell ref="I5:N5"/>
    <mergeCell ref="G5:H6"/>
    <mergeCell ref="A3:N3"/>
    <mergeCell ref="L6:N6"/>
    <mergeCell ref="L7:N7"/>
    <mergeCell ref="I6:K6"/>
    <mergeCell ref="I7:K7"/>
    <mergeCell ref="G7:H7"/>
    <mergeCell ref="L8:N8"/>
    <mergeCell ref="I8:K8"/>
    <mergeCell ref="G8:H8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N37"/>
  <sheetViews>
    <sheetView workbookViewId="0">
      <selection activeCell="F19" sqref="F19"/>
    </sheetView>
  </sheetViews>
  <sheetFormatPr defaultRowHeight="15"/>
  <cols>
    <col min="1" max="5" width="6" style="66" customWidth="1"/>
    <col min="6" max="6" width="8.85546875" style="66" customWidth="1"/>
    <col min="7" max="13" width="6" style="66" customWidth="1"/>
    <col min="14" max="14" width="6.140625" style="66" customWidth="1"/>
    <col min="15" max="16384" width="9.140625" style="66"/>
  </cols>
  <sheetData>
    <row r="1" spans="1:14" ht="38.25" customHeight="1">
      <c r="A1" s="462" t="s">
        <v>408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</row>
    <row r="2" spans="1:14" ht="15" customHeight="1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39.950000000000003" customHeight="1">
      <c r="A3" s="356" t="s">
        <v>1017</v>
      </c>
      <c r="B3" s="357"/>
      <c r="C3" s="357"/>
      <c r="D3" s="357"/>
      <c r="E3" s="357"/>
      <c r="F3" s="358"/>
      <c r="G3" s="252" t="s">
        <v>358</v>
      </c>
      <c r="H3" s="252"/>
      <c r="I3" s="252" t="s">
        <v>319</v>
      </c>
      <c r="J3" s="252"/>
      <c r="K3" s="252"/>
      <c r="L3" s="252" t="s">
        <v>339</v>
      </c>
      <c r="M3" s="252"/>
      <c r="N3" s="252"/>
    </row>
    <row r="4" spans="1:14" ht="50.1" customHeight="1">
      <c r="A4" s="247" t="s">
        <v>983</v>
      </c>
      <c r="B4" s="247"/>
      <c r="C4" s="247"/>
      <c r="D4" s="247"/>
      <c r="E4" s="247"/>
      <c r="F4" s="247"/>
      <c r="G4" s="460"/>
      <c r="H4" s="460"/>
      <c r="I4" s="459"/>
      <c r="J4" s="459"/>
      <c r="K4" s="459"/>
      <c r="L4" s="459"/>
      <c r="M4" s="459"/>
      <c r="N4" s="459"/>
    </row>
    <row r="5" spans="1:14" ht="35.1" customHeight="1">
      <c r="A5" s="249" t="s">
        <v>953</v>
      </c>
      <c r="B5" s="249"/>
      <c r="C5" s="249"/>
      <c r="D5" s="249"/>
      <c r="E5" s="249"/>
      <c r="F5" s="249"/>
      <c r="G5" s="461"/>
      <c r="H5" s="461"/>
      <c r="I5" s="327"/>
      <c r="J5" s="327"/>
      <c r="K5" s="327"/>
      <c r="L5" s="327"/>
      <c r="M5" s="327"/>
      <c r="N5" s="327"/>
    </row>
    <row r="6" spans="1:14" ht="24.95" customHeight="1">
      <c r="A6" s="249" t="s">
        <v>42</v>
      </c>
      <c r="B6" s="249"/>
      <c r="C6" s="249"/>
      <c r="D6" s="249"/>
      <c r="E6" s="249"/>
      <c r="F6" s="249"/>
      <c r="G6" s="249"/>
      <c r="H6" s="249"/>
      <c r="I6" s="326"/>
      <c r="J6" s="326"/>
      <c r="K6" s="326"/>
      <c r="L6" s="327"/>
      <c r="M6" s="327"/>
      <c r="N6" s="327"/>
    </row>
    <row r="7" spans="1:14" ht="24.95" customHeight="1">
      <c r="A7" s="249" t="s">
        <v>168</v>
      </c>
      <c r="B7" s="249"/>
      <c r="C7" s="249"/>
      <c r="D7" s="249"/>
      <c r="E7" s="249"/>
      <c r="F7" s="249"/>
      <c r="G7" s="461"/>
      <c r="H7" s="461"/>
      <c r="I7" s="327"/>
      <c r="J7" s="327"/>
      <c r="K7" s="327"/>
      <c r="L7" s="327"/>
      <c r="M7" s="327"/>
      <c r="N7" s="327"/>
    </row>
    <row r="8" spans="1:14" ht="24.95" customHeight="1">
      <c r="A8" s="249" t="s">
        <v>360</v>
      </c>
      <c r="B8" s="249"/>
      <c r="C8" s="249"/>
      <c r="D8" s="249"/>
      <c r="E8" s="249"/>
      <c r="F8" s="249"/>
      <c r="G8" s="461"/>
      <c r="H8" s="461"/>
      <c r="I8" s="327"/>
      <c r="J8" s="327"/>
      <c r="K8" s="327"/>
      <c r="L8" s="327"/>
      <c r="M8" s="327"/>
      <c r="N8" s="327"/>
    </row>
    <row r="9" spans="1:14" ht="24.95" customHeight="1">
      <c r="A9" s="249" t="s">
        <v>886</v>
      </c>
      <c r="B9" s="249"/>
      <c r="C9" s="249"/>
      <c r="D9" s="249"/>
      <c r="E9" s="249"/>
      <c r="F9" s="249"/>
      <c r="G9" s="461"/>
      <c r="H9" s="461"/>
      <c r="I9" s="327" t="s">
        <v>1322</v>
      </c>
      <c r="J9" s="327"/>
      <c r="K9" s="327"/>
      <c r="L9" s="327"/>
      <c r="M9" s="327"/>
      <c r="N9" s="327"/>
    </row>
    <row r="10" spans="1:14" ht="24.95" customHeight="1">
      <c r="A10" s="249" t="s">
        <v>826</v>
      </c>
      <c r="B10" s="249"/>
      <c r="C10" s="249"/>
      <c r="D10" s="249"/>
      <c r="E10" s="249"/>
      <c r="F10" s="249"/>
      <c r="G10" s="461"/>
      <c r="H10" s="461"/>
      <c r="I10" s="327"/>
      <c r="J10" s="327"/>
      <c r="K10" s="327"/>
      <c r="L10" s="327"/>
      <c r="M10" s="327"/>
      <c r="N10" s="327"/>
    </row>
    <row r="11" spans="1:14" ht="24.95" customHeight="1">
      <c r="A11" s="249" t="s">
        <v>814</v>
      </c>
      <c r="B11" s="249"/>
      <c r="C11" s="249"/>
      <c r="D11" s="249"/>
      <c r="E11" s="249"/>
      <c r="F11" s="249"/>
      <c r="G11" s="461"/>
      <c r="H11" s="461"/>
      <c r="I11" s="327"/>
      <c r="J11" s="327"/>
      <c r="K11" s="327"/>
      <c r="L11" s="327"/>
      <c r="M11" s="327"/>
      <c r="N11" s="327"/>
    </row>
    <row r="12" spans="1:14" ht="24.95" customHeight="1">
      <c r="A12" s="249" t="s">
        <v>393</v>
      </c>
      <c r="B12" s="249"/>
      <c r="C12" s="249"/>
      <c r="D12" s="249"/>
      <c r="E12" s="249"/>
      <c r="F12" s="249"/>
      <c r="G12" s="461"/>
      <c r="H12" s="461"/>
      <c r="I12" s="327"/>
      <c r="J12" s="327"/>
      <c r="K12" s="327"/>
      <c r="L12" s="327"/>
      <c r="M12" s="327"/>
      <c r="N12" s="327"/>
    </row>
    <row r="13" spans="1:14" ht="24.95" customHeight="1">
      <c r="A13" s="249" t="s">
        <v>602</v>
      </c>
      <c r="B13" s="249"/>
      <c r="C13" s="249"/>
      <c r="D13" s="249"/>
      <c r="E13" s="249"/>
      <c r="F13" s="249"/>
      <c r="G13" s="461"/>
      <c r="H13" s="461"/>
      <c r="I13" s="327"/>
      <c r="J13" s="327"/>
      <c r="K13" s="327"/>
      <c r="L13" s="327"/>
      <c r="M13" s="327"/>
      <c r="N13" s="327"/>
    </row>
    <row r="14" spans="1:14" ht="24.95" customHeight="1">
      <c r="A14" s="249" t="s">
        <v>467</v>
      </c>
      <c r="B14" s="249"/>
      <c r="C14" s="249"/>
      <c r="D14" s="249"/>
      <c r="E14" s="249"/>
      <c r="F14" s="249"/>
      <c r="G14" s="461"/>
      <c r="H14" s="461"/>
      <c r="I14" s="327" t="s">
        <v>1321</v>
      </c>
      <c r="J14" s="327"/>
      <c r="K14" s="327"/>
      <c r="L14" s="327"/>
      <c r="M14" s="327"/>
      <c r="N14" s="327"/>
    </row>
    <row r="16" spans="1:14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</row>
    <row r="17" spans="1:14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</row>
    <row r="37" spans="13:13">
      <c r="M37" s="100" t="s">
        <v>1303</v>
      </c>
    </row>
  </sheetData>
  <mergeCells count="49">
    <mergeCell ref="A13:F13"/>
    <mergeCell ref="G13:H13"/>
    <mergeCell ref="I13:K13"/>
    <mergeCell ref="L13:N13"/>
    <mergeCell ref="A14:F14"/>
    <mergeCell ref="G14:H14"/>
    <mergeCell ref="I14:K14"/>
    <mergeCell ref="L14:N14"/>
    <mergeCell ref="A11:F11"/>
    <mergeCell ref="G11:H11"/>
    <mergeCell ref="I11:K11"/>
    <mergeCell ref="L11:N11"/>
    <mergeCell ref="A12:F12"/>
    <mergeCell ref="G12:H12"/>
    <mergeCell ref="I12:K12"/>
    <mergeCell ref="L12:N12"/>
    <mergeCell ref="A9:F9"/>
    <mergeCell ref="G9:H9"/>
    <mergeCell ref="I9:K9"/>
    <mergeCell ref="L9:N9"/>
    <mergeCell ref="A10:F10"/>
    <mergeCell ref="G10:H10"/>
    <mergeCell ref="I10:K10"/>
    <mergeCell ref="L10:N10"/>
    <mergeCell ref="A7:F7"/>
    <mergeCell ref="G7:H7"/>
    <mergeCell ref="I7:K7"/>
    <mergeCell ref="L7:N7"/>
    <mergeCell ref="A8:F8"/>
    <mergeCell ref="G8:H8"/>
    <mergeCell ref="I8:K8"/>
    <mergeCell ref="L8:N8"/>
    <mergeCell ref="A5:F5"/>
    <mergeCell ref="G5:H5"/>
    <mergeCell ref="I5:K5"/>
    <mergeCell ref="L5:N5"/>
    <mergeCell ref="A6:F6"/>
    <mergeCell ref="G6:H6"/>
    <mergeCell ref="I6:K6"/>
    <mergeCell ref="L6:N6"/>
    <mergeCell ref="A4:F4"/>
    <mergeCell ref="G4:H4"/>
    <mergeCell ref="I4:K4"/>
    <mergeCell ref="L4:N4"/>
    <mergeCell ref="A1:N1"/>
    <mergeCell ref="I3:K3"/>
    <mergeCell ref="L3:N3"/>
    <mergeCell ref="G3:H3"/>
    <mergeCell ref="A3:F3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N64"/>
  <sheetViews>
    <sheetView tabSelected="1" workbookViewId="0">
      <selection activeCell="K63" sqref="K63"/>
    </sheetView>
  </sheetViews>
  <sheetFormatPr defaultRowHeight="15"/>
  <cols>
    <col min="1" max="3" width="6" customWidth="1"/>
    <col min="4" max="4" width="7.140625" customWidth="1"/>
    <col min="5" max="14" width="6" customWidth="1"/>
  </cols>
  <sheetData>
    <row r="1" spans="1:14" ht="18.75">
      <c r="A1" s="377" t="s">
        <v>694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</row>
    <row r="2" spans="1:14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5.75">
      <c r="A3" s="190" t="s">
        <v>800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</row>
    <row r="4" spans="1:14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4" ht="15" customHeight="1">
      <c r="A5" s="286" t="s">
        <v>43</v>
      </c>
      <c r="B5" s="287"/>
      <c r="C5" s="287"/>
      <c r="D5" s="288"/>
      <c r="E5" s="277" t="s">
        <v>319</v>
      </c>
      <c r="F5" s="277"/>
      <c r="G5" s="277"/>
      <c r="H5" s="277"/>
      <c r="I5" s="277"/>
      <c r="J5" s="277"/>
      <c r="K5" s="277"/>
      <c r="L5" s="277"/>
      <c r="M5" s="277"/>
      <c r="N5" s="278"/>
    </row>
    <row r="6" spans="1:14" ht="45" customHeight="1">
      <c r="A6" s="289"/>
      <c r="B6" s="290"/>
      <c r="C6" s="290"/>
      <c r="D6" s="291"/>
      <c r="E6" s="278" t="s">
        <v>314</v>
      </c>
      <c r="F6" s="233"/>
      <c r="G6" s="233" t="s">
        <v>147</v>
      </c>
      <c r="H6" s="233"/>
      <c r="I6" s="233" t="s">
        <v>389</v>
      </c>
      <c r="J6" s="233"/>
      <c r="K6" s="233" t="s">
        <v>822</v>
      </c>
      <c r="L6" s="233"/>
      <c r="M6" s="233" t="s">
        <v>1095</v>
      </c>
      <c r="N6" s="233"/>
    </row>
    <row r="7" spans="1:14">
      <c r="A7" s="242" t="s">
        <v>832</v>
      </c>
      <c r="B7" s="463"/>
      <c r="C7" s="463"/>
      <c r="D7" s="464"/>
      <c r="E7" s="234" t="s">
        <v>36</v>
      </c>
      <c r="F7" s="234"/>
      <c r="G7" s="234" t="s">
        <v>647</v>
      </c>
      <c r="H7" s="234"/>
      <c r="I7" s="234" t="s">
        <v>236</v>
      </c>
      <c r="J7" s="234"/>
      <c r="K7" s="234" t="s">
        <v>741</v>
      </c>
      <c r="L7" s="234"/>
      <c r="M7" s="234" t="s">
        <v>139</v>
      </c>
      <c r="N7" s="234"/>
    </row>
    <row r="8" spans="1:14" ht="24.95" customHeight="1">
      <c r="A8" s="274" t="s">
        <v>1117</v>
      </c>
      <c r="B8" s="275"/>
      <c r="C8" s="275"/>
      <c r="D8" s="276"/>
      <c r="E8" s="265">
        <v>6640</v>
      </c>
      <c r="F8" s="265"/>
      <c r="G8" s="265"/>
      <c r="H8" s="265"/>
      <c r="I8" s="265"/>
      <c r="J8" s="265"/>
      <c r="K8" s="265"/>
      <c r="L8" s="265"/>
      <c r="M8" s="265">
        <f>SUM(E8:L8)</f>
        <v>6640</v>
      </c>
      <c r="N8" s="265"/>
    </row>
    <row r="9" spans="1:14" ht="24.95" customHeight="1">
      <c r="A9" s="283" t="s">
        <v>228</v>
      </c>
      <c r="B9" s="465"/>
      <c r="C9" s="465"/>
      <c r="D9" s="466"/>
      <c r="E9" s="267"/>
      <c r="F9" s="267"/>
      <c r="G9" s="267"/>
      <c r="H9" s="267"/>
      <c r="I9" s="267"/>
      <c r="J9" s="267"/>
      <c r="K9" s="267"/>
      <c r="L9" s="267"/>
      <c r="M9" s="267"/>
      <c r="N9" s="267"/>
    </row>
    <row r="10" spans="1:14" ht="24.95" customHeight="1">
      <c r="A10" s="283" t="s">
        <v>164</v>
      </c>
      <c r="B10" s="465"/>
      <c r="C10" s="465"/>
      <c r="D10" s="466"/>
      <c r="E10" s="267"/>
      <c r="F10" s="267"/>
      <c r="G10" s="267"/>
      <c r="H10" s="267"/>
      <c r="I10" s="267"/>
      <c r="J10" s="267"/>
      <c r="K10" s="267"/>
      <c r="L10" s="267"/>
      <c r="M10" s="267"/>
      <c r="N10" s="267"/>
    </row>
    <row r="11" spans="1:14" ht="24.95" customHeight="1">
      <c r="A11" s="283" t="s">
        <v>174</v>
      </c>
      <c r="B11" s="465"/>
      <c r="C11" s="465"/>
      <c r="D11" s="466"/>
      <c r="E11" s="267"/>
      <c r="F11" s="267"/>
      <c r="G11" s="267"/>
      <c r="H11" s="267"/>
      <c r="I11" s="267"/>
      <c r="J11" s="267"/>
      <c r="K11" s="267"/>
      <c r="L11" s="267"/>
      <c r="M11" s="267"/>
      <c r="N11" s="267"/>
    </row>
    <row r="12" spans="1:14" ht="24.95" customHeight="1">
      <c r="A12" s="283" t="s">
        <v>988</v>
      </c>
      <c r="B12" s="465"/>
      <c r="C12" s="465"/>
      <c r="D12" s="466"/>
      <c r="E12" s="267"/>
      <c r="F12" s="267"/>
      <c r="G12" s="267"/>
      <c r="H12" s="267"/>
      <c r="I12" s="267"/>
      <c r="J12" s="267"/>
      <c r="K12" s="267"/>
      <c r="L12" s="267"/>
      <c r="M12" s="267"/>
      <c r="N12" s="267"/>
    </row>
    <row r="13" spans="1:14" s="66" customFormat="1" ht="24.95" customHeight="1">
      <c r="A13" s="283" t="s">
        <v>481</v>
      </c>
      <c r="B13" s="465"/>
      <c r="C13" s="465"/>
      <c r="D13" s="466"/>
      <c r="E13" s="267"/>
      <c r="F13" s="267"/>
      <c r="G13" s="267"/>
      <c r="H13" s="267"/>
      <c r="I13" s="267"/>
      <c r="J13" s="267"/>
      <c r="K13" s="267"/>
      <c r="L13" s="267"/>
      <c r="M13" s="267"/>
      <c r="N13" s="267"/>
    </row>
    <row r="14" spans="1:14" s="66" customFormat="1" ht="35.1" customHeight="1">
      <c r="A14" s="283" t="s">
        <v>717</v>
      </c>
      <c r="B14" s="465"/>
      <c r="C14" s="465"/>
      <c r="D14" s="466"/>
      <c r="E14" s="267"/>
      <c r="F14" s="267"/>
      <c r="G14" s="267"/>
      <c r="H14" s="267"/>
      <c r="I14" s="267"/>
      <c r="J14" s="267"/>
      <c r="K14" s="267"/>
      <c r="L14" s="267"/>
      <c r="M14" s="267"/>
      <c r="N14" s="267"/>
    </row>
    <row r="15" spans="1:14" s="66" customFormat="1" ht="35.1" customHeight="1">
      <c r="A15" s="283" t="s">
        <v>141</v>
      </c>
      <c r="B15" s="465"/>
      <c r="C15" s="465"/>
      <c r="D15" s="466"/>
      <c r="E15" s="267"/>
      <c r="F15" s="267"/>
      <c r="G15" s="267"/>
      <c r="H15" s="267"/>
      <c r="I15" s="267"/>
      <c r="J15" s="267"/>
      <c r="K15" s="267"/>
      <c r="L15" s="267"/>
      <c r="M15" s="267"/>
      <c r="N15" s="267"/>
    </row>
    <row r="16" spans="1:14" s="66" customFormat="1" ht="35.1" customHeight="1">
      <c r="A16" s="283" t="s">
        <v>752</v>
      </c>
      <c r="B16" s="465"/>
      <c r="C16" s="465"/>
      <c r="D16" s="466"/>
      <c r="E16" s="267"/>
      <c r="F16" s="267"/>
      <c r="G16" s="267"/>
      <c r="H16" s="267"/>
      <c r="I16" s="267"/>
      <c r="J16" s="267"/>
      <c r="K16" s="267"/>
      <c r="L16" s="267"/>
      <c r="M16" s="267"/>
      <c r="N16" s="267"/>
    </row>
    <row r="17" spans="1:14" s="66" customFormat="1" ht="35.1" customHeight="1">
      <c r="A17" s="283" t="s">
        <v>175</v>
      </c>
      <c r="B17" s="465"/>
      <c r="C17" s="465"/>
      <c r="D17" s="466"/>
      <c r="E17" s="267"/>
      <c r="F17" s="267"/>
      <c r="G17" s="267"/>
      <c r="H17" s="267"/>
      <c r="I17" s="267"/>
      <c r="J17" s="267"/>
      <c r="K17" s="267"/>
      <c r="L17" s="267"/>
      <c r="M17" s="267"/>
      <c r="N17" s="267"/>
    </row>
    <row r="18" spans="1:14" ht="35.1" customHeight="1">
      <c r="A18" s="283" t="s">
        <v>1278</v>
      </c>
      <c r="B18" s="465"/>
      <c r="C18" s="465"/>
      <c r="D18" s="466"/>
      <c r="E18" s="267">
        <v>664</v>
      </c>
      <c r="F18" s="267"/>
      <c r="G18" s="267"/>
      <c r="H18" s="267"/>
      <c r="I18" s="267"/>
      <c r="J18" s="267"/>
      <c r="K18" s="267"/>
      <c r="L18" s="267"/>
      <c r="M18" s="267">
        <f>SUM(E18:L18)</f>
        <v>664</v>
      </c>
      <c r="N18" s="267"/>
    </row>
    <row r="19" spans="1:14" ht="24.95" customHeight="1">
      <c r="A19" s="283" t="s">
        <v>614</v>
      </c>
      <c r="B19" s="465"/>
      <c r="C19" s="465"/>
      <c r="D19" s="466"/>
      <c r="E19" s="267"/>
      <c r="F19" s="267"/>
      <c r="G19" s="267"/>
      <c r="H19" s="267"/>
      <c r="I19" s="267"/>
      <c r="J19" s="267"/>
      <c r="K19" s="267"/>
      <c r="L19" s="267"/>
      <c r="M19" s="267"/>
      <c r="N19" s="267"/>
    </row>
    <row r="20" spans="1:14" ht="24.95" customHeight="1">
      <c r="A20" s="283" t="s">
        <v>880</v>
      </c>
      <c r="B20" s="465"/>
      <c r="C20" s="465"/>
      <c r="D20" s="466"/>
      <c r="E20" s="267"/>
      <c r="F20" s="267"/>
      <c r="G20" s="267"/>
      <c r="H20" s="267"/>
      <c r="I20" s="267"/>
      <c r="J20" s="267"/>
      <c r="K20" s="267"/>
      <c r="L20" s="267"/>
      <c r="M20" s="267"/>
      <c r="N20" s="267"/>
    </row>
    <row r="21" spans="1:14" ht="24.95" customHeight="1">
      <c r="A21" s="283" t="s">
        <v>293</v>
      </c>
      <c r="B21" s="465"/>
      <c r="C21" s="465"/>
      <c r="D21" s="466"/>
      <c r="E21" s="267">
        <v>139868</v>
      </c>
      <c r="F21" s="267"/>
      <c r="G21" s="267">
        <v>125252</v>
      </c>
      <c r="H21" s="267"/>
      <c r="I21" s="267"/>
      <c r="J21" s="267"/>
      <c r="K21" s="267"/>
      <c r="L21" s="267"/>
      <c r="M21" s="267">
        <f>SUM(E21:L21)</f>
        <v>265120</v>
      </c>
      <c r="N21" s="267"/>
    </row>
    <row r="22" spans="1:14" ht="24.95" customHeight="1">
      <c r="A22" s="283" t="s">
        <v>604</v>
      </c>
      <c r="B22" s="465"/>
      <c r="C22" s="465"/>
      <c r="D22" s="466"/>
      <c r="E22" s="267">
        <v>-693015</v>
      </c>
      <c r="F22" s="267"/>
      <c r="G22" s="267"/>
      <c r="H22" s="267"/>
      <c r="I22" s="267"/>
      <c r="J22" s="267"/>
      <c r="K22" s="267"/>
      <c r="L22" s="267"/>
      <c r="M22" s="267">
        <f>SUM(E22:L22)</f>
        <v>-693015</v>
      </c>
      <c r="N22" s="267"/>
    </row>
    <row r="23" spans="1:14" ht="24.95" customHeight="1">
      <c r="A23" s="283" t="s">
        <v>297</v>
      </c>
      <c r="B23" s="465"/>
      <c r="C23" s="465"/>
      <c r="D23" s="466"/>
      <c r="E23" s="267">
        <v>125252</v>
      </c>
      <c r="F23" s="267"/>
      <c r="G23" s="267">
        <v>14506</v>
      </c>
      <c r="H23" s="267"/>
      <c r="I23" s="267"/>
      <c r="J23" s="267"/>
      <c r="K23" s="267">
        <v>-125252</v>
      </c>
      <c r="L23" s="267"/>
      <c r="M23" s="267">
        <f>SUM(E23:L23)</f>
        <v>14506</v>
      </c>
      <c r="N23" s="267"/>
    </row>
    <row r="24" spans="1:14" ht="24.95" customHeight="1">
      <c r="A24" s="283" t="s">
        <v>915</v>
      </c>
      <c r="B24" s="465"/>
      <c r="C24" s="465"/>
      <c r="D24" s="466"/>
      <c r="E24" s="267"/>
      <c r="F24" s="267"/>
      <c r="G24" s="267"/>
      <c r="H24" s="267"/>
      <c r="I24" s="267"/>
      <c r="J24" s="267"/>
      <c r="K24" s="267"/>
      <c r="L24" s="267"/>
      <c r="M24" s="267"/>
      <c r="N24" s="267"/>
    </row>
    <row r="25" spans="1:14" ht="24.95" customHeight="1">
      <c r="A25" s="283" t="s">
        <v>712</v>
      </c>
      <c r="B25" s="465"/>
      <c r="C25" s="465"/>
      <c r="D25" s="466"/>
      <c r="E25" s="267"/>
      <c r="F25" s="267"/>
      <c r="G25" s="267"/>
      <c r="H25" s="267"/>
      <c r="I25" s="267"/>
      <c r="J25" s="267"/>
      <c r="K25" s="267"/>
      <c r="L25" s="267"/>
      <c r="M25" s="267"/>
      <c r="N25" s="267"/>
    </row>
    <row r="26" spans="1:14" s="66" customFormat="1" ht="24.95" customHeight="1">
      <c r="A26" s="283" t="s">
        <v>760</v>
      </c>
      <c r="B26" s="465"/>
      <c r="C26" s="465"/>
      <c r="D26" s="466"/>
      <c r="E26" s="267"/>
      <c r="F26" s="267"/>
      <c r="G26" s="267"/>
      <c r="H26" s="267"/>
      <c r="I26" s="267"/>
      <c r="J26" s="267"/>
      <c r="K26" s="267"/>
      <c r="L26" s="267"/>
      <c r="M26" s="267"/>
      <c r="N26" s="267"/>
    </row>
    <row r="27" spans="1:14">
      <c r="A27" s="77" t="s">
        <v>1277</v>
      </c>
      <c r="B27" s="77"/>
      <c r="C27" s="77"/>
      <c r="D27" s="77"/>
      <c r="E27" s="468">
        <f>SUM(E8:F26)</f>
        <v>-420591</v>
      </c>
      <c r="F27" s="468"/>
      <c r="G27" s="468">
        <f>SUM(G8:H26)</f>
        <v>139758</v>
      </c>
      <c r="H27" s="468"/>
      <c r="I27" s="468">
        <f>SUM(I8:J26)</f>
        <v>0</v>
      </c>
      <c r="J27" s="468"/>
      <c r="K27" s="468">
        <f>SUM(K8:L26)</f>
        <v>-125252</v>
      </c>
      <c r="L27" s="468"/>
      <c r="M27" s="468">
        <f>SUM(M8:N26)</f>
        <v>-406085</v>
      </c>
      <c r="N27" s="468"/>
    </row>
    <row r="32" spans="1:14">
      <c r="M32" s="100" t="s">
        <v>1304</v>
      </c>
    </row>
    <row r="34" spans="1:14" ht="15.75">
      <c r="A34" s="190" t="s">
        <v>800</v>
      </c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</row>
    <row r="35" spans="1:14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</row>
    <row r="36" spans="1:14">
      <c r="A36" s="286" t="s">
        <v>43</v>
      </c>
      <c r="B36" s="287"/>
      <c r="C36" s="287"/>
      <c r="D36" s="288"/>
      <c r="E36" s="277" t="s">
        <v>339</v>
      </c>
      <c r="F36" s="277"/>
      <c r="G36" s="277"/>
      <c r="H36" s="277"/>
      <c r="I36" s="277"/>
      <c r="J36" s="277"/>
      <c r="K36" s="277"/>
      <c r="L36" s="277"/>
      <c r="M36" s="277"/>
      <c r="N36" s="278"/>
    </row>
    <row r="37" spans="1:14" ht="45" customHeight="1">
      <c r="A37" s="289"/>
      <c r="B37" s="290"/>
      <c r="C37" s="290"/>
      <c r="D37" s="291"/>
      <c r="E37" s="278" t="s">
        <v>314</v>
      </c>
      <c r="F37" s="233"/>
      <c r="G37" s="233" t="s">
        <v>147</v>
      </c>
      <c r="H37" s="233"/>
      <c r="I37" s="233" t="s">
        <v>389</v>
      </c>
      <c r="J37" s="233"/>
      <c r="K37" s="233" t="s">
        <v>822</v>
      </c>
      <c r="L37" s="233"/>
      <c r="M37" s="233" t="s">
        <v>1095</v>
      </c>
      <c r="N37" s="233"/>
    </row>
    <row r="38" spans="1:14">
      <c r="A38" s="242" t="s">
        <v>832</v>
      </c>
      <c r="B38" s="463"/>
      <c r="C38" s="463"/>
      <c r="D38" s="464"/>
      <c r="E38" s="234" t="s">
        <v>36</v>
      </c>
      <c r="F38" s="234"/>
      <c r="G38" s="234" t="s">
        <v>647</v>
      </c>
      <c r="H38" s="234"/>
      <c r="I38" s="234" t="s">
        <v>236</v>
      </c>
      <c r="J38" s="234"/>
      <c r="K38" s="234" t="s">
        <v>741</v>
      </c>
      <c r="L38" s="234"/>
      <c r="M38" s="234" t="s">
        <v>139</v>
      </c>
      <c r="N38" s="234"/>
    </row>
    <row r="39" spans="1:14" ht="24.95" customHeight="1">
      <c r="A39" s="274" t="s">
        <v>1117</v>
      </c>
      <c r="B39" s="275"/>
      <c r="C39" s="275"/>
      <c r="D39" s="276"/>
      <c r="E39" s="265">
        <v>6640</v>
      </c>
      <c r="F39" s="265"/>
      <c r="G39" s="280"/>
      <c r="H39" s="280"/>
      <c r="I39" s="280"/>
      <c r="J39" s="280"/>
      <c r="K39" s="280"/>
      <c r="L39" s="280"/>
      <c r="M39" s="265">
        <v>6640</v>
      </c>
      <c r="N39" s="265"/>
    </row>
    <row r="40" spans="1:14" ht="24.95" customHeight="1">
      <c r="A40" s="283" t="s">
        <v>228</v>
      </c>
      <c r="B40" s="465"/>
      <c r="C40" s="465"/>
      <c r="D40" s="466"/>
      <c r="E40" s="269"/>
      <c r="F40" s="269"/>
      <c r="G40" s="269"/>
      <c r="H40" s="269"/>
      <c r="I40" s="269"/>
      <c r="J40" s="269"/>
      <c r="K40" s="269"/>
      <c r="L40" s="269"/>
      <c r="M40" s="269"/>
      <c r="N40" s="269"/>
    </row>
    <row r="41" spans="1:14" ht="24.95" customHeight="1">
      <c r="A41" s="283" t="s">
        <v>164</v>
      </c>
      <c r="B41" s="465"/>
      <c r="C41" s="465"/>
      <c r="D41" s="466"/>
      <c r="E41" s="269"/>
      <c r="F41" s="269"/>
      <c r="G41" s="269"/>
      <c r="H41" s="269"/>
      <c r="I41" s="269"/>
      <c r="J41" s="269"/>
      <c r="K41" s="269"/>
      <c r="L41" s="269"/>
      <c r="M41" s="269"/>
      <c r="N41" s="269"/>
    </row>
    <row r="42" spans="1:14" ht="24.95" customHeight="1">
      <c r="A42" s="283" t="s">
        <v>174</v>
      </c>
      <c r="B42" s="465"/>
      <c r="C42" s="465"/>
      <c r="D42" s="466"/>
      <c r="E42" s="269"/>
      <c r="F42" s="269"/>
      <c r="G42" s="269"/>
      <c r="H42" s="269"/>
      <c r="I42" s="269"/>
      <c r="J42" s="269"/>
      <c r="K42" s="269"/>
      <c r="L42" s="269"/>
      <c r="M42" s="269"/>
      <c r="N42" s="269"/>
    </row>
    <row r="43" spans="1:14" ht="24.95" customHeight="1">
      <c r="A43" s="283" t="s">
        <v>988</v>
      </c>
      <c r="B43" s="465"/>
      <c r="C43" s="465"/>
      <c r="D43" s="466"/>
      <c r="E43" s="267"/>
      <c r="F43" s="267"/>
      <c r="G43" s="267"/>
      <c r="H43" s="267"/>
      <c r="I43" s="267"/>
      <c r="J43" s="267"/>
      <c r="K43" s="267"/>
      <c r="L43" s="267"/>
      <c r="M43" s="267"/>
      <c r="N43" s="267"/>
    </row>
    <row r="44" spans="1:14" ht="24.95" customHeight="1">
      <c r="A44" s="283" t="s">
        <v>481</v>
      </c>
      <c r="B44" s="465"/>
      <c r="C44" s="465"/>
      <c r="D44" s="466"/>
      <c r="E44" s="269"/>
      <c r="F44" s="269"/>
      <c r="G44" s="269"/>
      <c r="H44" s="269"/>
      <c r="I44" s="269"/>
      <c r="J44" s="269"/>
      <c r="K44" s="269"/>
      <c r="L44" s="269"/>
      <c r="M44" s="269"/>
      <c r="N44" s="269"/>
    </row>
    <row r="45" spans="1:14" ht="35.1" customHeight="1">
      <c r="A45" s="283" t="s">
        <v>717</v>
      </c>
      <c r="B45" s="465"/>
      <c r="C45" s="465"/>
      <c r="D45" s="466"/>
      <c r="E45" s="267"/>
      <c r="F45" s="267"/>
      <c r="G45" s="269"/>
      <c r="H45" s="269"/>
      <c r="I45" s="269"/>
      <c r="J45" s="269"/>
      <c r="K45" s="269"/>
      <c r="L45" s="269"/>
      <c r="M45" s="467"/>
      <c r="N45" s="467"/>
    </row>
    <row r="46" spans="1:14" ht="35.1" customHeight="1">
      <c r="A46" s="283" t="s">
        <v>141</v>
      </c>
      <c r="B46" s="465"/>
      <c r="C46" s="465"/>
      <c r="D46" s="466"/>
      <c r="E46" s="267"/>
      <c r="F46" s="267"/>
      <c r="G46" s="267"/>
      <c r="H46" s="267"/>
      <c r="I46" s="267"/>
      <c r="J46" s="267"/>
      <c r="K46" s="267"/>
      <c r="L46" s="267"/>
      <c r="M46" s="267"/>
      <c r="N46" s="267"/>
    </row>
    <row r="47" spans="1:14" ht="35.1" customHeight="1">
      <c r="A47" s="283" t="s">
        <v>752</v>
      </c>
      <c r="B47" s="465"/>
      <c r="C47" s="465"/>
      <c r="D47" s="466"/>
      <c r="E47" s="269"/>
      <c r="F47" s="269"/>
      <c r="G47" s="269"/>
      <c r="H47" s="269"/>
      <c r="I47" s="269"/>
      <c r="J47" s="269"/>
      <c r="K47" s="269"/>
      <c r="L47" s="269"/>
      <c r="M47" s="269"/>
      <c r="N47" s="269"/>
    </row>
    <row r="48" spans="1:14" ht="35.1" customHeight="1">
      <c r="A48" s="283" t="s">
        <v>175</v>
      </c>
      <c r="B48" s="465"/>
      <c r="C48" s="465"/>
      <c r="D48" s="466"/>
      <c r="E48" s="267"/>
      <c r="F48" s="267"/>
      <c r="G48" s="267"/>
      <c r="H48" s="267"/>
      <c r="I48" s="267"/>
      <c r="J48" s="267"/>
      <c r="K48" s="267"/>
      <c r="L48" s="267"/>
      <c r="M48" s="267"/>
      <c r="N48" s="267"/>
    </row>
    <row r="49" spans="1:14" ht="35.1" customHeight="1">
      <c r="A49" s="283" t="s">
        <v>1323</v>
      </c>
      <c r="B49" s="465"/>
      <c r="C49" s="465"/>
      <c r="D49" s="466"/>
      <c r="E49" s="269">
        <v>664</v>
      </c>
      <c r="F49" s="269"/>
      <c r="G49" s="269"/>
      <c r="H49" s="269"/>
      <c r="I49" s="269"/>
      <c r="J49" s="269"/>
      <c r="K49" s="269"/>
      <c r="L49" s="269"/>
      <c r="M49" s="269">
        <v>664</v>
      </c>
      <c r="N49" s="269"/>
    </row>
    <row r="50" spans="1:14" ht="24.95" customHeight="1">
      <c r="A50" s="283" t="s">
        <v>614</v>
      </c>
      <c r="B50" s="465"/>
      <c r="C50" s="465"/>
      <c r="D50" s="466"/>
      <c r="E50" s="269"/>
      <c r="F50" s="269"/>
      <c r="G50" s="269"/>
      <c r="H50" s="269"/>
      <c r="I50" s="269"/>
      <c r="J50" s="269"/>
      <c r="K50" s="269"/>
      <c r="L50" s="269"/>
      <c r="M50" s="269"/>
      <c r="N50" s="269"/>
    </row>
    <row r="51" spans="1:14" ht="24.95" customHeight="1">
      <c r="A51" s="283" t="s">
        <v>880</v>
      </c>
      <c r="B51" s="465"/>
      <c r="C51" s="465"/>
      <c r="D51" s="466"/>
      <c r="E51" s="269"/>
      <c r="F51" s="269"/>
      <c r="G51" s="269"/>
      <c r="H51" s="269"/>
      <c r="I51" s="269"/>
      <c r="J51" s="269"/>
      <c r="K51" s="269"/>
      <c r="L51" s="269"/>
      <c r="M51" s="269"/>
      <c r="N51" s="269"/>
    </row>
    <row r="52" spans="1:14" ht="24.95" customHeight="1">
      <c r="A52" s="283" t="s">
        <v>293</v>
      </c>
      <c r="B52" s="465"/>
      <c r="C52" s="465"/>
      <c r="D52" s="466"/>
      <c r="E52" s="267">
        <v>123456</v>
      </c>
      <c r="F52" s="267"/>
      <c r="G52" s="267">
        <v>16412</v>
      </c>
      <c r="H52" s="267"/>
      <c r="I52" s="267"/>
      <c r="J52" s="267"/>
      <c r="K52" s="267"/>
      <c r="L52" s="267"/>
      <c r="M52" s="267">
        <f>SUM(E52:L52)</f>
        <v>139868</v>
      </c>
      <c r="N52" s="267"/>
    </row>
    <row r="53" spans="1:14" ht="24.95" customHeight="1">
      <c r="A53" s="283" t="s">
        <v>604</v>
      </c>
      <c r="B53" s="465"/>
      <c r="C53" s="465"/>
      <c r="D53" s="466"/>
      <c r="E53" s="267">
        <v>-693014</v>
      </c>
      <c r="F53" s="267"/>
      <c r="G53" s="267"/>
      <c r="H53" s="267"/>
      <c r="I53" s="267"/>
      <c r="J53" s="267"/>
      <c r="K53" s="267">
        <v>-1</v>
      </c>
      <c r="L53" s="267"/>
      <c r="M53" s="267">
        <f>SUM(E53:L53)</f>
        <v>-693015</v>
      </c>
      <c r="N53" s="267"/>
    </row>
    <row r="54" spans="1:14" ht="24.95" customHeight="1">
      <c r="A54" s="283" t="s">
        <v>297</v>
      </c>
      <c r="B54" s="465"/>
      <c r="C54" s="465"/>
      <c r="D54" s="466"/>
      <c r="E54" s="267">
        <v>16412</v>
      </c>
      <c r="F54" s="267"/>
      <c r="G54" s="267">
        <v>125252</v>
      </c>
      <c r="H54" s="267"/>
      <c r="I54" s="267"/>
      <c r="J54" s="267"/>
      <c r="K54" s="267">
        <v>-16412</v>
      </c>
      <c r="L54" s="267"/>
      <c r="M54" s="267">
        <f>SUM(E54:L54)</f>
        <v>125252</v>
      </c>
      <c r="N54" s="267"/>
    </row>
    <row r="55" spans="1:14" ht="24.95" customHeight="1">
      <c r="A55" s="283" t="s">
        <v>915</v>
      </c>
      <c r="B55" s="465"/>
      <c r="C55" s="465"/>
      <c r="D55" s="466"/>
      <c r="E55" s="269"/>
      <c r="F55" s="269"/>
      <c r="G55" s="267"/>
      <c r="H55" s="267"/>
      <c r="I55" s="267"/>
      <c r="J55" s="267"/>
      <c r="K55" s="267"/>
      <c r="L55" s="267"/>
      <c r="M55" s="267"/>
      <c r="N55" s="267"/>
    </row>
    <row r="56" spans="1:14" ht="24.95" customHeight="1">
      <c r="A56" s="283" t="s">
        <v>712</v>
      </c>
      <c r="B56" s="465"/>
      <c r="C56" s="465"/>
      <c r="D56" s="466"/>
      <c r="E56" s="267"/>
      <c r="F56" s="267"/>
      <c r="G56" s="267"/>
      <c r="H56" s="267"/>
      <c r="I56" s="267"/>
      <c r="J56" s="267"/>
      <c r="K56" s="267"/>
      <c r="L56" s="267"/>
      <c r="M56" s="267"/>
      <c r="N56" s="267"/>
    </row>
    <row r="57" spans="1:14" ht="24.95" customHeight="1">
      <c r="A57" s="283" t="s">
        <v>760</v>
      </c>
      <c r="B57" s="465"/>
      <c r="C57" s="465"/>
      <c r="D57" s="466"/>
      <c r="E57" s="267"/>
      <c r="F57" s="267"/>
      <c r="G57" s="267"/>
      <c r="H57" s="267"/>
      <c r="I57" s="267"/>
      <c r="J57" s="267"/>
      <c r="K57" s="267"/>
      <c r="L57" s="267"/>
      <c r="M57" s="267"/>
      <c r="N57" s="267"/>
    </row>
    <row r="58" spans="1:14">
      <c r="A58" s="77" t="s">
        <v>1277</v>
      </c>
      <c r="B58" s="77"/>
      <c r="C58" s="77"/>
      <c r="D58" s="77"/>
      <c r="E58" s="468">
        <f>SUM(E39:F57)</f>
        <v>-545842</v>
      </c>
      <c r="F58" s="468"/>
      <c r="G58" s="468">
        <f>SUM(G39:H57)</f>
        <v>141664</v>
      </c>
      <c r="H58" s="468"/>
      <c r="I58" s="468">
        <f>SUM(I39:J57)</f>
        <v>0</v>
      </c>
      <c r="J58" s="468"/>
      <c r="K58" s="468">
        <f>SUM(K39:L57)</f>
        <v>-16413</v>
      </c>
      <c r="L58" s="468"/>
      <c r="M58" s="468">
        <f>SUM(M39:N57)</f>
        <v>-420591</v>
      </c>
      <c r="N58" s="468"/>
    </row>
    <row r="64" spans="1:14">
      <c r="M64" s="100" t="s">
        <v>1305</v>
      </c>
    </row>
  </sheetData>
  <mergeCells count="267">
    <mergeCell ref="E58:F58"/>
    <mergeCell ref="G58:H58"/>
    <mergeCell ref="I58:J58"/>
    <mergeCell ref="K58:L58"/>
    <mergeCell ref="M58:N58"/>
    <mergeCell ref="E27:F27"/>
    <mergeCell ref="G27:H27"/>
    <mergeCell ref="I27:J27"/>
    <mergeCell ref="K27:L27"/>
    <mergeCell ref="M27:N27"/>
    <mergeCell ref="I37:J37"/>
    <mergeCell ref="A34:N34"/>
    <mergeCell ref="A57:D57"/>
    <mergeCell ref="E57:F57"/>
    <mergeCell ref="G57:H57"/>
    <mergeCell ref="I57:J57"/>
    <mergeCell ref="K57:L57"/>
    <mergeCell ref="M57:N57"/>
    <mergeCell ref="A55:D55"/>
    <mergeCell ref="E55:F55"/>
    <mergeCell ref="G55:H55"/>
    <mergeCell ref="I55:J55"/>
    <mergeCell ref="K55:L55"/>
    <mergeCell ref="M55:N55"/>
    <mergeCell ref="A56:D56"/>
    <mergeCell ref="E56:F56"/>
    <mergeCell ref="G56:H56"/>
    <mergeCell ref="I56:J56"/>
    <mergeCell ref="K56:L56"/>
    <mergeCell ref="M56:N56"/>
    <mergeCell ref="A53:D53"/>
    <mergeCell ref="E53:F53"/>
    <mergeCell ref="G53:H53"/>
    <mergeCell ref="I53:J53"/>
    <mergeCell ref="K53:L53"/>
    <mergeCell ref="M53:N53"/>
    <mergeCell ref="A54:D54"/>
    <mergeCell ref="E54:F54"/>
    <mergeCell ref="G54:H54"/>
    <mergeCell ref="I54:J54"/>
    <mergeCell ref="K54:L54"/>
    <mergeCell ref="M54:N54"/>
    <mergeCell ref="A51:D51"/>
    <mergeCell ref="E51:F51"/>
    <mergeCell ref="G51:H51"/>
    <mergeCell ref="I51:J51"/>
    <mergeCell ref="K51:L51"/>
    <mergeCell ref="M51:N51"/>
    <mergeCell ref="A52:D52"/>
    <mergeCell ref="E52:F52"/>
    <mergeCell ref="G52:H52"/>
    <mergeCell ref="I52:J52"/>
    <mergeCell ref="K52:L52"/>
    <mergeCell ref="M52:N52"/>
    <mergeCell ref="A49:D49"/>
    <mergeCell ref="E49:F49"/>
    <mergeCell ref="G49:H49"/>
    <mergeCell ref="I49:J49"/>
    <mergeCell ref="K49:L49"/>
    <mergeCell ref="M49:N49"/>
    <mergeCell ref="A50:D50"/>
    <mergeCell ref="E50:F50"/>
    <mergeCell ref="G50:H50"/>
    <mergeCell ref="I50:J50"/>
    <mergeCell ref="K50:L50"/>
    <mergeCell ref="M50:N50"/>
    <mergeCell ref="A47:D47"/>
    <mergeCell ref="E47:F47"/>
    <mergeCell ref="G47:H47"/>
    <mergeCell ref="I47:J47"/>
    <mergeCell ref="K47:L47"/>
    <mergeCell ref="M47:N47"/>
    <mergeCell ref="A48:D48"/>
    <mergeCell ref="E48:F48"/>
    <mergeCell ref="G48:H48"/>
    <mergeCell ref="I48:J48"/>
    <mergeCell ref="K48:L48"/>
    <mergeCell ref="M48:N48"/>
    <mergeCell ref="A45:D45"/>
    <mergeCell ref="E45:F45"/>
    <mergeCell ref="G45:H45"/>
    <mergeCell ref="I45:J45"/>
    <mergeCell ref="K45:L45"/>
    <mergeCell ref="M45:N45"/>
    <mergeCell ref="A46:D46"/>
    <mergeCell ref="E46:F46"/>
    <mergeCell ref="G46:H46"/>
    <mergeCell ref="I46:J46"/>
    <mergeCell ref="K46:L46"/>
    <mergeCell ref="M46:N46"/>
    <mergeCell ref="A43:D43"/>
    <mergeCell ref="E43:F43"/>
    <mergeCell ref="G43:H43"/>
    <mergeCell ref="I43:J43"/>
    <mergeCell ref="K43:L43"/>
    <mergeCell ref="M43:N43"/>
    <mergeCell ref="A44:D44"/>
    <mergeCell ref="E44:F44"/>
    <mergeCell ref="G44:H44"/>
    <mergeCell ref="I44:J44"/>
    <mergeCell ref="K44:L44"/>
    <mergeCell ref="M44:N44"/>
    <mergeCell ref="A41:D41"/>
    <mergeCell ref="E41:F41"/>
    <mergeCell ref="G41:H41"/>
    <mergeCell ref="I41:J41"/>
    <mergeCell ref="K41:L41"/>
    <mergeCell ref="M41:N41"/>
    <mergeCell ref="A42:D42"/>
    <mergeCell ref="E42:F42"/>
    <mergeCell ref="G42:H42"/>
    <mergeCell ref="I42:J42"/>
    <mergeCell ref="K42:L42"/>
    <mergeCell ref="M42:N42"/>
    <mergeCell ref="A39:D39"/>
    <mergeCell ref="E39:F39"/>
    <mergeCell ref="G39:H39"/>
    <mergeCell ref="I39:J39"/>
    <mergeCell ref="K39:L39"/>
    <mergeCell ref="M39:N39"/>
    <mergeCell ref="A40:D40"/>
    <mergeCell ref="E40:F40"/>
    <mergeCell ref="G40:H40"/>
    <mergeCell ref="I40:J40"/>
    <mergeCell ref="K40:L40"/>
    <mergeCell ref="M40:N40"/>
    <mergeCell ref="A25:D25"/>
    <mergeCell ref="E25:F25"/>
    <mergeCell ref="G25:H25"/>
    <mergeCell ref="I25:J25"/>
    <mergeCell ref="K25:L25"/>
    <mergeCell ref="M25:N25"/>
    <mergeCell ref="K37:L37"/>
    <mergeCell ref="M37:N37"/>
    <mergeCell ref="A38:D38"/>
    <mergeCell ref="E38:F38"/>
    <mergeCell ref="G38:H38"/>
    <mergeCell ref="I38:J38"/>
    <mergeCell ref="K38:L38"/>
    <mergeCell ref="M38:N38"/>
    <mergeCell ref="A26:D26"/>
    <mergeCell ref="E26:F26"/>
    <mergeCell ref="G26:H26"/>
    <mergeCell ref="I26:J26"/>
    <mergeCell ref="K26:L26"/>
    <mergeCell ref="M26:N26"/>
    <mergeCell ref="A36:D37"/>
    <mergeCell ref="E36:N36"/>
    <mergeCell ref="E37:F37"/>
    <mergeCell ref="G37:H37"/>
    <mergeCell ref="A23:D23"/>
    <mergeCell ref="E23:F23"/>
    <mergeCell ref="G23:H23"/>
    <mergeCell ref="I23:J23"/>
    <mergeCell ref="K23:L23"/>
    <mergeCell ref="M23:N23"/>
    <mergeCell ref="A24:D24"/>
    <mergeCell ref="E24:F24"/>
    <mergeCell ref="G24:H24"/>
    <mergeCell ref="I24:J24"/>
    <mergeCell ref="K24:L24"/>
    <mergeCell ref="M24:N24"/>
    <mergeCell ref="A21:D21"/>
    <mergeCell ref="E21:F21"/>
    <mergeCell ref="G21:H21"/>
    <mergeCell ref="I21:J21"/>
    <mergeCell ref="K21:L21"/>
    <mergeCell ref="M21:N21"/>
    <mergeCell ref="A22:D22"/>
    <mergeCell ref="E22:F22"/>
    <mergeCell ref="G22:H22"/>
    <mergeCell ref="I22:J22"/>
    <mergeCell ref="K22:L22"/>
    <mergeCell ref="M22:N22"/>
    <mergeCell ref="A19:D19"/>
    <mergeCell ref="E19:F19"/>
    <mergeCell ref="G19:H19"/>
    <mergeCell ref="I19:J19"/>
    <mergeCell ref="K19:L19"/>
    <mergeCell ref="M19:N19"/>
    <mergeCell ref="A20:D20"/>
    <mergeCell ref="E20:F20"/>
    <mergeCell ref="G20:H20"/>
    <mergeCell ref="I20:J20"/>
    <mergeCell ref="K20:L20"/>
    <mergeCell ref="M20:N20"/>
    <mergeCell ref="A17:D17"/>
    <mergeCell ref="E17:F17"/>
    <mergeCell ref="G17:H17"/>
    <mergeCell ref="I17:J17"/>
    <mergeCell ref="K17:L17"/>
    <mergeCell ref="M17:N17"/>
    <mergeCell ref="A18:D18"/>
    <mergeCell ref="E18:F18"/>
    <mergeCell ref="G18:H18"/>
    <mergeCell ref="I18:J18"/>
    <mergeCell ref="K18:L18"/>
    <mergeCell ref="M18:N18"/>
    <mergeCell ref="M13:N13"/>
    <mergeCell ref="A14:D14"/>
    <mergeCell ref="E14:F14"/>
    <mergeCell ref="G14:H14"/>
    <mergeCell ref="I14:J14"/>
    <mergeCell ref="K14:L14"/>
    <mergeCell ref="M14:N14"/>
    <mergeCell ref="I16:J16"/>
    <mergeCell ref="K16:L16"/>
    <mergeCell ref="M16:N16"/>
    <mergeCell ref="A15:D15"/>
    <mergeCell ref="E15:F15"/>
    <mergeCell ref="G15:H15"/>
    <mergeCell ref="I15:J15"/>
    <mergeCell ref="K15:L15"/>
    <mergeCell ref="A13:D13"/>
    <mergeCell ref="E13:F13"/>
    <mergeCell ref="G13:H13"/>
    <mergeCell ref="I13:J13"/>
    <mergeCell ref="K13:L13"/>
    <mergeCell ref="M15:N15"/>
    <mergeCell ref="A16:D16"/>
    <mergeCell ref="E16:F16"/>
    <mergeCell ref="G16:H16"/>
    <mergeCell ref="M9:N9"/>
    <mergeCell ref="E12:F12"/>
    <mergeCell ref="G12:H12"/>
    <mergeCell ref="I12:J12"/>
    <mergeCell ref="K12:L12"/>
    <mergeCell ref="E8:F8"/>
    <mergeCell ref="G8:H8"/>
    <mergeCell ref="I8:J8"/>
    <mergeCell ref="K8:L8"/>
    <mergeCell ref="M10:N10"/>
    <mergeCell ref="E11:F11"/>
    <mergeCell ref="G11:H11"/>
    <mergeCell ref="I11:J11"/>
    <mergeCell ref="K11:L11"/>
    <mergeCell ref="M11:N11"/>
    <mergeCell ref="E10:F10"/>
    <mergeCell ref="M12:N12"/>
    <mergeCell ref="A9:D9"/>
    <mergeCell ref="A10:D10"/>
    <mergeCell ref="A11:D11"/>
    <mergeCell ref="A12:D12"/>
    <mergeCell ref="I9:J9"/>
    <mergeCell ref="K9:L9"/>
    <mergeCell ref="G10:H10"/>
    <mergeCell ref="I10:J10"/>
    <mergeCell ref="K10:L10"/>
    <mergeCell ref="E9:F9"/>
    <mergeCell ref="G9:H9"/>
    <mergeCell ref="A1:N1"/>
    <mergeCell ref="A3:N3"/>
    <mergeCell ref="E6:F6"/>
    <mergeCell ref="G6:H6"/>
    <mergeCell ref="I6:J6"/>
    <mergeCell ref="E5:N5"/>
    <mergeCell ref="A5:D6"/>
    <mergeCell ref="A7:D7"/>
    <mergeCell ref="A8:D8"/>
    <mergeCell ref="K6:L6"/>
    <mergeCell ref="M6:N6"/>
    <mergeCell ref="E7:F7"/>
    <mergeCell ref="G7:H7"/>
    <mergeCell ref="I7:J7"/>
    <mergeCell ref="K7:L7"/>
    <mergeCell ref="M7:N7"/>
    <mergeCell ref="M8:N8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43"/>
  <sheetViews>
    <sheetView topLeftCell="A115" workbookViewId="0"/>
  </sheetViews>
  <sheetFormatPr defaultRowHeight="15"/>
  <cols>
    <col min="1" max="1" width="6.85546875" customWidth="1"/>
    <col min="2" max="2" width="39.5703125" customWidth="1"/>
    <col min="3" max="3" width="8" customWidth="1"/>
    <col min="4" max="4" width="10.140625" customWidth="1"/>
    <col min="5" max="5" width="11.28515625" customWidth="1"/>
    <col min="6" max="6" width="11" customWidth="1"/>
    <col min="7" max="7" width="8.42578125" customWidth="1"/>
    <col min="8" max="8" width="9.5703125" customWidth="1"/>
    <col min="9" max="9" width="9.28515625" customWidth="1"/>
    <col min="10" max="10" width="8" customWidth="1"/>
  </cols>
  <sheetData>
    <row r="1" spans="1:10">
      <c r="A1" t="s">
        <v>1050</v>
      </c>
      <c r="B1" t="s">
        <v>495</v>
      </c>
      <c r="C1" t="s">
        <v>115</v>
      </c>
      <c r="D1" t="s">
        <v>342</v>
      </c>
      <c r="E1" t="s">
        <v>763</v>
      </c>
      <c r="F1" t="s">
        <v>938</v>
      </c>
      <c r="G1" t="s">
        <v>951</v>
      </c>
      <c r="H1" t="s">
        <v>434</v>
      </c>
      <c r="I1" t="s">
        <v>140</v>
      </c>
      <c r="J1" t="s">
        <v>575</v>
      </c>
    </row>
    <row r="2" spans="1:10">
      <c r="A2" t="s">
        <v>709</v>
      </c>
      <c r="B2" t="s">
        <v>214</v>
      </c>
      <c r="C2">
        <v>29691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29691</v>
      </c>
    </row>
    <row r="3" spans="1:10">
      <c r="A3" t="s">
        <v>155</v>
      </c>
      <c r="B3" t="s">
        <v>816</v>
      </c>
      <c r="C3">
        <v>85381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85381</v>
      </c>
    </row>
    <row r="4" spans="1:10">
      <c r="A4" t="s">
        <v>535</v>
      </c>
      <c r="B4" t="s">
        <v>11</v>
      </c>
      <c r="C4">
        <v>67237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67237</v>
      </c>
    </row>
    <row r="5" spans="1:10">
      <c r="A5" t="s">
        <v>894</v>
      </c>
      <c r="B5" t="s">
        <v>44</v>
      </c>
      <c r="C5">
        <v>7150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7150</v>
      </c>
    </row>
    <row r="6" spans="1:10">
      <c r="A6" t="s">
        <v>781</v>
      </c>
      <c r="B6" t="s">
        <v>624</v>
      </c>
      <c r="C6">
        <v>15550</v>
      </c>
      <c r="D6">
        <v>2283</v>
      </c>
      <c r="E6">
        <v>0</v>
      </c>
      <c r="F6">
        <v>2283</v>
      </c>
      <c r="G6">
        <v>951</v>
      </c>
      <c r="H6">
        <v>0</v>
      </c>
      <c r="I6">
        <v>951</v>
      </c>
      <c r="J6">
        <v>16882</v>
      </c>
    </row>
    <row r="7" spans="1:10">
      <c r="A7" t="s">
        <v>735</v>
      </c>
      <c r="B7" t="s">
        <v>30</v>
      </c>
      <c r="C7">
        <v>0</v>
      </c>
      <c r="D7">
        <v>2283</v>
      </c>
      <c r="E7">
        <v>0</v>
      </c>
      <c r="F7">
        <v>2283</v>
      </c>
      <c r="G7">
        <v>2283</v>
      </c>
      <c r="H7">
        <v>0</v>
      </c>
      <c r="I7">
        <v>2283</v>
      </c>
      <c r="J7">
        <v>0</v>
      </c>
    </row>
    <row r="8" spans="1:10">
      <c r="A8" t="s">
        <v>551</v>
      </c>
      <c r="B8" t="s">
        <v>403</v>
      </c>
      <c r="C8">
        <v>-13838</v>
      </c>
      <c r="D8">
        <v>0</v>
      </c>
      <c r="E8">
        <v>0</v>
      </c>
      <c r="F8">
        <v>0</v>
      </c>
      <c r="G8">
        <v>6024</v>
      </c>
      <c r="H8">
        <v>0</v>
      </c>
      <c r="I8">
        <v>6024</v>
      </c>
      <c r="J8">
        <v>-19862</v>
      </c>
    </row>
    <row r="9" spans="1:10">
      <c r="A9" t="s">
        <v>296</v>
      </c>
      <c r="B9" t="s">
        <v>1064</v>
      </c>
      <c r="C9">
        <v>-12809</v>
      </c>
      <c r="D9">
        <v>0</v>
      </c>
      <c r="E9">
        <v>0</v>
      </c>
      <c r="F9">
        <v>0</v>
      </c>
      <c r="G9">
        <v>4270</v>
      </c>
      <c r="H9">
        <v>0</v>
      </c>
      <c r="I9">
        <v>4270</v>
      </c>
      <c r="J9">
        <v>-17079</v>
      </c>
    </row>
    <row r="10" spans="1:10">
      <c r="A10" t="s">
        <v>132</v>
      </c>
      <c r="B10" t="s">
        <v>398</v>
      </c>
      <c r="C10">
        <v>-58871</v>
      </c>
      <c r="D10">
        <v>0</v>
      </c>
      <c r="E10">
        <v>0</v>
      </c>
      <c r="F10">
        <v>0</v>
      </c>
      <c r="G10">
        <v>1802</v>
      </c>
      <c r="H10">
        <v>0</v>
      </c>
      <c r="I10">
        <v>1802</v>
      </c>
      <c r="J10">
        <v>-60673</v>
      </c>
    </row>
    <row r="11" spans="1:10">
      <c r="A11" t="s">
        <v>780</v>
      </c>
      <c r="B11" t="s">
        <v>1072</v>
      </c>
      <c r="C11">
        <v>-3681</v>
      </c>
      <c r="D11">
        <v>0</v>
      </c>
      <c r="E11">
        <v>0</v>
      </c>
      <c r="F11">
        <v>0</v>
      </c>
      <c r="G11">
        <v>1194</v>
      </c>
      <c r="H11">
        <v>0</v>
      </c>
      <c r="I11">
        <v>1194</v>
      </c>
      <c r="J11">
        <v>-4875</v>
      </c>
    </row>
    <row r="12" spans="1:10">
      <c r="A12" t="s">
        <v>893</v>
      </c>
      <c r="B12" t="s">
        <v>640</v>
      </c>
      <c r="C12">
        <v>-11480</v>
      </c>
      <c r="D12">
        <v>951</v>
      </c>
      <c r="E12">
        <v>0</v>
      </c>
      <c r="F12">
        <v>951</v>
      </c>
      <c r="G12">
        <v>3773</v>
      </c>
      <c r="H12">
        <v>0</v>
      </c>
      <c r="I12">
        <v>3773</v>
      </c>
      <c r="J12">
        <v>-14302</v>
      </c>
    </row>
    <row r="13" spans="1:10">
      <c r="A13" t="s">
        <v>778</v>
      </c>
      <c r="B13" t="s">
        <v>68</v>
      </c>
      <c r="C13">
        <v>9172</v>
      </c>
      <c r="D13">
        <v>61337</v>
      </c>
      <c r="E13">
        <v>0</v>
      </c>
      <c r="F13">
        <v>61337</v>
      </c>
      <c r="G13">
        <v>69117</v>
      </c>
      <c r="H13">
        <v>0</v>
      </c>
      <c r="I13">
        <v>69117</v>
      </c>
      <c r="J13">
        <v>1392</v>
      </c>
    </row>
    <row r="14" spans="1:10">
      <c r="A14" t="s">
        <v>1037</v>
      </c>
      <c r="B14" t="s">
        <v>661</v>
      </c>
      <c r="C14">
        <v>156</v>
      </c>
      <c r="D14">
        <v>744</v>
      </c>
      <c r="E14">
        <v>-48</v>
      </c>
      <c r="F14">
        <v>696</v>
      </c>
      <c r="G14">
        <v>684</v>
      </c>
      <c r="H14">
        <v>0</v>
      </c>
      <c r="I14">
        <v>684</v>
      </c>
      <c r="J14">
        <v>168</v>
      </c>
    </row>
    <row r="15" spans="1:10">
      <c r="A15" t="s">
        <v>282</v>
      </c>
      <c r="B15" t="s">
        <v>1041</v>
      </c>
      <c r="C15">
        <v>64</v>
      </c>
      <c r="D15">
        <v>1222</v>
      </c>
      <c r="E15">
        <v>0</v>
      </c>
      <c r="F15">
        <v>1222</v>
      </c>
      <c r="G15">
        <v>46</v>
      </c>
      <c r="H15">
        <v>0</v>
      </c>
      <c r="I15">
        <v>46</v>
      </c>
      <c r="J15">
        <v>1240</v>
      </c>
    </row>
    <row r="16" spans="1:10">
      <c r="A16" t="s">
        <v>1107</v>
      </c>
      <c r="B16" t="s">
        <v>1092</v>
      </c>
      <c r="C16">
        <v>708</v>
      </c>
      <c r="D16">
        <v>1</v>
      </c>
      <c r="E16">
        <v>0</v>
      </c>
      <c r="F16">
        <v>1</v>
      </c>
      <c r="G16">
        <v>56</v>
      </c>
      <c r="H16">
        <v>0</v>
      </c>
      <c r="I16">
        <v>56</v>
      </c>
      <c r="J16">
        <v>653</v>
      </c>
    </row>
    <row r="17" spans="1:10">
      <c r="A17" t="s">
        <v>402</v>
      </c>
      <c r="B17" t="s">
        <v>794</v>
      </c>
      <c r="C17">
        <v>27567</v>
      </c>
      <c r="D17">
        <v>1188483</v>
      </c>
      <c r="E17">
        <v>0</v>
      </c>
      <c r="F17">
        <v>1188483</v>
      </c>
      <c r="G17">
        <v>1190913</v>
      </c>
      <c r="H17">
        <v>0</v>
      </c>
      <c r="I17">
        <v>1190913</v>
      </c>
      <c r="J17">
        <v>25137</v>
      </c>
    </row>
    <row r="18" spans="1:10">
      <c r="A18" t="s">
        <v>96</v>
      </c>
      <c r="B18" t="s">
        <v>120</v>
      </c>
      <c r="C18">
        <v>0</v>
      </c>
      <c r="D18">
        <v>24363</v>
      </c>
      <c r="E18">
        <v>0</v>
      </c>
      <c r="F18">
        <v>24363</v>
      </c>
      <c r="G18">
        <v>24363</v>
      </c>
      <c r="H18">
        <v>0</v>
      </c>
      <c r="I18">
        <v>24363</v>
      </c>
      <c r="J18">
        <v>0</v>
      </c>
    </row>
    <row r="19" spans="1:10">
      <c r="A19" t="s">
        <v>138</v>
      </c>
      <c r="B19" t="s">
        <v>507</v>
      </c>
      <c r="C19">
        <v>221755</v>
      </c>
      <c r="D19">
        <v>806303</v>
      </c>
      <c r="E19">
        <v>-7429</v>
      </c>
      <c r="F19">
        <v>798874</v>
      </c>
      <c r="G19">
        <v>944468</v>
      </c>
      <c r="H19">
        <v>-21</v>
      </c>
      <c r="I19">
        <v>944447</v>
      </c>
      <c r="J19">
        <v>76182</v>
      </c>
    </row>
    <row r="20" spans="1:10">
      <c r="A20" t="s">
        <v>231</v>
      </c>
      <c r="B20" t="s">
        <v>433</v>
      </c>
      <c r="C20">
        <v>69495</v>
      </c>
      <c r="D20">
        <v>560</v>
      </c>
      <c r="E20">
        <v>0</v>
      </c>
      <c r="F20">
        <v>560</v>
      </c>
      <c r="G20">
        <v>69055</v>
      </c>
      <c r="H20">
        <v>0</v>
      </c>
      <c r="I20">
        <v>69055</v>
      </c>
      <c r="J20">
        <v>1000</v>
      </c>
    </row>
    <row r="21" spans="1:10">
      <c r="A21" t="s">
        <v>1085</v>
      </c>
      <c r="B21" t="s">
        <v>834</v>
      </c>
      <c r="C21">
        <v>12929</v>
      </c>
      <c r="D21">
        <v>18795</v>
      </c>
      <c r="E21">
        <v>0</v>
      </c>
      <c r="F21">
        <v>18795</v>
      </c>
      <c r="G21">
        <v>18991</v>
      </c>
      <c r="H21">
        <v>0</v>
      </c>
      <c r="I21">
        <v>18991</v>
      </c>
      <c r="J21">
        <v>12733</v>
      </c>
    </row>
    <row r="22" spans="1:10">
      <c r="A22" t="s">
        <v>860</v>
      </c>
      <c r="B22" t="s">
        <v>1063</v>
      </c>
      <c r="C22">
        <v>26422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26422</v>
      </c>
    </row>
    <row r="23" spans="1:10">
      <c r="A23" t="s">
        <v>532</v>
      </c>
      <c r="B23" t="s">
        <v>29</v>
      </c>
      <c r="C23">
        <v>11585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11585</v>
      </c>
    </row>
    <row r="24" spans="1:10">
      <c r="A24" t="s">
        <v>341</v>
      </c>
      <c r="B24" t="s">
        <v>302</v>
      </c>
      <c r="C24">
        <v>8531</v>
      </c>
      <c r="D24">
        <v>188105</v>
      </c>
      <c r="E24">
        <v>-6436</v>
      </c>
      <c r="F24">
        <v>181669</v>
      </c>
      <c r="G24">
        <v>184569</v>
      </c>
      <c r="H24">
        <v>0</v>
      </c>
      <c r="I24">
        <v>184569</v>
      </c>
      <c r="J24">
        <v>5631</v>
      </c>
    </row>
    <row r="25" spans="1:10">
      <c r="A25" t="s">
        <v>957</v>
      </c>
      <c r="B25" t="s">
        <v>534</v>
      </c>
      <c r="C25">
        <v>313</v>
      </c>
      <c r="D25">
        <v>28677</v>
      </c>
      <c r="E25">
        <v>-9513</v>
      </c>
      <c r="F25">
        <v>19164</v>
      </c>
      <c r="G25">
        <v>18211</v>
      </c>
      <c r="H25">
        <v>-5932</v>
      </c>
      <c r="I25">
        <v>12279</v>
      </c>
      <c r="J25">
        <v>7198</v>
      </c>
    </row>
    <row r="26" spans="1:10">
      <c r="A26" t="s">
        <v>1055</v>
      </c>
      <c r="B26" t="s">
        <v>864</v>
      </c>
      <c r="C26">
        <v>-16010</v>
      </c>
      <c r="D26">
        <v>208440</v>
      </c>
      <c r="E26">
        <v>-212</v>
      </c>
      <c r="F26">
        <v>208228</v>
      </c>
      <c r="G26">
        <v>250426</v>
      </c>
      <c r="H26">
        <v>-372</v>
      </c>
      <c r="I26">
        <v>250054</v>
      </c>
      <c r="J26">
        <v>-57836</v>
      </c>
    </row>
    <row r="27" spans="1:10">
      <c r="A27" t="s">
        <v>326</v>
      </c>
      <c r="B27" t="s">
        <v>649</v>
      </c>
      <c r="C27">
        <v>0</v>
      </c>
      <c r="D27">
        <v>4925</v>
      </c>
      <c r="E27">
        <v>0</v>
      </c>
      <c r="F27">
        <v>4925</v>
      </c>
      <c r="G27">
        <v>4925</v>
      </c>
      <c r="H27">
        <v>0</v>
      </c>
      <c r="I27">
        <v>4925</v>
      </c>
      <c r="J27">
        <v>0</v>
      </c>
    </row>
    <row r="28" spans="1:10">
      <c r="A28" t="s">
        <v>961</v>
      </c>
      <c r="B28" t="s">
        <v>910</v>
      </c>
      <c r="C28">
        <v>0</v>
      </c>
      <c r="D28">
        <v>191865</v>
      </c>
      <c r="E28">
        <v>0</v>
      </c>
      <c r="F28">
        <v>191865</v>
      </c>
      <c r="G28">
        <v>194985</v>
      </c>
      <c r="H28">
        <v>-2760</v>
      </c>
      <c r="I28">
        <v>192225</v>
      </c>
      <c r="J28">
        <v>-360</v>
      </c>
    </row>
    <row r="29" spans="1:10">
      <c r="A29" t="s">
        <v>569</v>
      </c>
      <c r="B29" t="s">
        <v>985</v>
      </c>
      <c r="C29">
        <v>-92750</v>
      </c>
      <c r="D29">
        <v>183570</v>
      </c>
      <c r="E29">
        <v>0</v>
      </c>
      <c r="F29">
        <v>183570</v>
      </c>
      <c r="G29">
        <v>157964</v>
      </c>
      <c r="H29">
        <v>-115</v>
      </c>
      <c r="I29">
        <v>157849</v>
      </c>
      <c r="J29">
        <v>-67029</v>
      </c>
    </row>
    <row r="30" spans="1:10">
      <c r="A30" t="s">
        <v>704</v>
      </c>
      <c r="B30" t="s">
        <v>890</v>
      </c>
      <c r="C30">
        <v>-260</v>
      </c>
      <c r="D30">
        <v>10</v>
      </c>
      <c r="E30">
        <v>0</v>
      </c>
      <c r="F30">
        <v>10</v>
      </c>
      <c r="G30">
        <v>222</v>
      </c>
      <c r="H30">
        <v>-82</v>
      </c>
      <c r="I30">
        <v>140</v>
      </c>
      <c r="J30">
        <v>-390</v>
      </c>
    </row>
    <row r="31" spans="1:10">
      <c r="A31" t="s">
        <v>166</v>
      </c>
      <c r="B31" t="s">
        <v>226</v>
      </c>
      <c r="C31">
        <v>0</v>
      </c>
      <c r="D31">
        <v>25017</v>
      </c>
      <c r="E31">
        <v>0</v>
      </c>
      <c r="F31">
        <v>25017</v>
      </c>
      <c r="G31">
        <v>82139</v>
      </c>
      <c r="H31">
        <v>0</v>
      </c>
      <c r="I31">
        <v>82139</v>
      </c>
      <c r="J31">
        <v>-57122</v>
      </c>
    </row>
    <row r="32" spans="1:10">
      <c r="A32" t="s">
        <v>0</v>
      </c>
      <c r="B32" t="s">
        <v>533</v>
      </c>
      <c r="C32">
        <v>0</v>
      </c>
      <c r="D32">
        <v>156406</v>
      </c>
      <c r="E32">
        <v>-2301</v>
      </c>
      <c r="F32">
        <v>154105</v>
      </c>
      <c r="G32">
        <v>182964</v>
      </c>
      <c r="H32">
        <v>-28859</v>
      </c>
      <c r="I32">
        <v>154105</v>
      </c>
      <c r="J32">
        <v>0</v>
      </c>
    </row>
    <row r="33" spans="1:10">
      <c r="A33" t="s">
        <v>726</v>
      </c>
      <c r="B33" t="s">
        <v>749</v>
      </c>
      <c r="C33">
        <v>-24319</v>
      </c>
      <c r="D33">
        <v>194507</v>
      </c>
      <c r="E33">
        <v>-1659</v>
      </c>
      <c r="F33">
        <v>192848</v>
      </c>
      <c r="G33">
        <v>188894</v>
      </c>
      <c r="H33">
        <v>-4046</v>
      </c>
      <c r="I33">
        <v>184848</v>
      </c>
      <c r="J33">
        <v>-16319</v>
      </c>
    </row>
    <row r="34" spans="1:10">
      <c r="A34" t="s">
        <v>246</v>
      </c>
      <c r="B34" t="s">
        <v>722</v>
      </c>
      <c r="C34">
        <v>-1926</v>
      </c>
      <c r="D34">
        <v>20321</v>
      </c>
      <c r="E34">
        <v>-325</v>
      </c>
      <c r="F34">
        <v>19996</v>
      </c>
      <c r="G34">
        <v>27584</v>
      </c>
      <c r="H34">
        <v>-9513</v>
      </c>
      <c r="I34">
        <v>18071</v>
      </c>
      <c r="J34">
        <v>-1</v>
      </c>
    </row>
    <row r="35" spans="1:10">
      <c r="A35" t="s">
        <v>249</v>
      </c>
      <c r="B35" t="s">
        <v>82</v>
      </c>
      <c r="C35">
        <v>-888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-888</v>
      </c>
    </row>
    <row r="36" spans="1:10">
      <c r="A36" t="s">
        <v>516</v>
      </c>
      <c r="B36" t="s">
        <v>113</v>
      </c>
      <c r="C36">
        <v>-4240</v>
      </c>
      <c r="D36">
        <v>4452</v>
      </c>
      <c r="E36">
        <v>-212</v>
      </c>
      <c r="F36">
        <v>4240</v>
      </c>
      <c r="G36">
        <v>3987</v>
      </c>
      <c r="H36">
        <v>0</v>
      </c>
      <c r="I36">
        <v>3987</v>
      </c>
      <c r="J36">
        <v>-3987</v>
      </c>
    </row>
    <row r="37" spans="1:10">
      <c r="A37" t="s">
        <v>673</v>
      </c>
      <c r="B37" t="s">
        <v>316</v>
      </c>
      <c r="C37">
        <v>-1281</v>
      </c>
      <c r="D37">
        <v>16428</v>
      </c>
      <c r="E37">
        <v>-202</v>
      </c>
      <c r="F37">
        <v>16226</v>
      </c>
      <c r="G37">
        <v>15793</v>
      </c>
      <c r="H37">
        <v>0</v>
      </c>
      <c r="I37">
        <v>15793</v>
      </c>
      <c r="J37">
        <v>-848</v>
      </c>
    </row>
    <row r="38" spans="1:10">
      <c r="A38" t="s">
        <v>1078</v>
      </c>
      <c r="B38" t="s">
        <v>213</v>
      </c>
      <c r="C38">
        <v>18</v>
      </c>
      <c r="D38">
        <v>185</v>
      </c>
      <c r="E38">
        <v>-24</v>
      </c>
      <c r="F38">
        <v>161</v>
      </c>
      <c r="G38">
        <v>176</v>
      </c>
      <c r="H38">
        <v>0</v>
      </c>
      <c r="I38">
        <v>176</v>
      </c>
      <c r="J38">
        <v>3</v>
      </c>
    </row>
    <row r="39" spans="1:10">
      <c r="A39" t="s">
        <v>362</v>
      </c>
      <c r="B39" t="s">
        <v>1084</v>
      </c>
      <c r="C39">
        <v>-242</v>
      </c>
      <c r="D39">
        <v>2299</v>
      </c>
      <c r="E39">
        <v>0</v>
      </c>
      <c r="F39">
        <v>2299</v>
      </c>
      <c r="G39">
        <v>2211</v>
      </c>
      <c r="H39">
        <v>0</v>
      </c>
      <c r="I39">
        <v>2211</v>
      </c>
      <c r="J39">
        <v>-154</v>
      </c>
    </row>
    <row r="40" spans="1:10">
      <c r="A40" t="s">
        <v>22</v>
      </c>
      <c r="B40" t="s">
        <v>245</v>
      </c>
      <c r="C40">
        <v>-578</v>
      </c>
      <c r="D40">
        <v>5586</v>
      </c>
      <c r="E40">
        <v>0</v>
      </c>
      <c r="F40">
        <v>5586</v>
      </c>
      <c r="G40">
        <v>5389</v>
      </c>
      <c r="H40">
        <v>0</v>
      </c>
      <c r="I40">
        <v>5389</v>
      </c>
      <c r="J40">
        <v>-381</v>
      </c>
    </row>
    <row r="41" spans="1:10">
      <c r="A41" t="s">
        <v>194</v>
      </c>
      <c r="B41" t="s">
        <v>1025</v>
      </c>
      <c r="C41">
        <v>1</v>
      </c>
      <c r="D41">
        <v>0</v>
      </c>
      <c r="E41">
        <v>0</v>
      </c>
      <c r="F41">
        <v>0</v>
      </c>
      <c r="G41">
        <v>1</v>
      </c>
      <c r="H41">
        <v>0</v>
      </c>
      <c r="I41">
        <v>1</v>
      </c>
      <c r="J41">
        <v>0</v>
      </c>
    </row>
    <row r="42" spans="1:10">
      <c r="A42" t="s">
        <v>676</v>
      </c>
      <c r="B42" t="s">
        <v>683</v>
      </c>
      <c r="C42">
        <v>19</v>
      </c>
      <c r="D42">
        <v>5</v>
      </c>
      <c r="E42">
        <v>0</v>
      </c>
      <c r="F42">
        <v>5</v>
      </c>
      <c r="G42">
        <v>5</v>
      </c>
      <c r="H42">
        <v>0</v>
      </c>
      <c r="I42">
        <v>5</v>
      </c>
      <c r="J42">
        <v>19</v>
      </c>
    </row>
    <row r="43" spans="1:10">
      <c r="A43" t="s">
        <v>515</v>
      </c>
      <c r="B43" t="s">
        <v>479</v>
      </c>
      <c r="C43">
        <v>-223</v>
      </c>
      <c r="D43">
        <v>2111</v>
      </c>
      <c r="E43">
        <v>-20</v>
      </c>
      <c r="F43">
        <v>2091</v>
      </c>
      <c r="G43">
        <v>1972</v>
      </c>
      <c r="H43">
        <v>0</v>
      </c>
      <c r="I43">
        <v>1972</v>
      </c>
      <c r="J43">
        <v>-104</v>
      </c>
    </row>
    <row r="44" spans="1:10">
      <c r="A44" t="s">
        <v>401</v>
      </c>
      <c r="B44" t="s">
        <v>706</v>
      </c>
      <c r="C44">
        <v>0</v>
      </c>
      <c r="D44">
        <v>9078</v>
      </c>
      <c r="E44">
        <v>0</v>
      </c>
      <c r="F44">
        <v>9078</v>
      </c>
      <c r="G44">
        <v>9078</v>
      </c>
      <c r="H44">
        <v>0</v>
      </c>
      <c r="I44">
        <v>9078</v>
      </c>
      <c r="J44">
        <v>0</v>
      </c>
    </row>
    <row r="45" spans="1:10">
      <c r="A45" t="s">
        <v>1099</v>
      </c>
      <c r="B45" t="s">
        <v>1098</v>
      </c>
      <c r="C45">
        <v>-6480</v>
      </c>
      <c r="D45">
        <v>34707</v>
      </c>
      <c r="E45">
        <v>0</v>
      </c>
      <c r="F45">
        <v>34707</v>
      </c>
      <c r="G45">
        <v>28989</v>
      </c>
      <c r="H45">
        <v>0</v>
      </c>
      <c r="I45">
        <v>28989</v>
      </c>
      <c r="J45">
        <v>-762</v>
      </c>
    </row>
    <row r="46" spans="1:10">
      <c r="A46" t="s">
        <v>484</v>
      </c>
      <c r="B46" t="s">
        <v>998</v>
      </c>
      <c r="C46">
        <v>0</v>
      </c>
      <c r="D46">
        <v>4967</v>
      </c>
      <c r="E46">
        <v>-2170</v>
      </c>
      <c r="F46">
        <v>2797</v>
      </c>
      <c r="G46">
        <v>2797</v>
      </c>
      <c r="H46">
        <v>0</v>
      </c>
      <c r="I46">
        <v>2797</v>
      </c>
      <c r="J46">
        <v>0</v>
      </c>
    </row>
    <row r="47" spans="1:10">
      <c r="A47" t="s">
        <v>514</v>
      </c>
      <c r="B47" t="s">
        <v>137</v>
      </c>
      <c r="C47">
        <v>0</v>
      </c>
      <c r="D47">
        <v>30645</v>
      </c>
      <c r="E47">
        <v>0</v>
      </c>
      <c r="F47">
        <v>30645</v>
      </c>
      <c r="G47">
        <v>30668</v>
      </c>
      <c r="H47">
        <v>-23</v>
      </c>
      <c r="I47">
        <v>30645</v>
      </c>
      <c r="J47">
        <v>0</v>
      </c>
    </row>
    <row r="48" spans="1:10">
      <c r="A48" t="s">
        <v>290</v>
      </c>
      <c r="B48" t="s">
        <v>193</v>
      </c>
      <c r="C48">
        <v>0</v>
      </c>
      <c r="D48">
        <v>67773</v>
      </c>
      <c r="E48">
        <v>0</v>
      </c>
      <c r="F48">
        <v>67773</v>
      </c>
      <c r="G48">
        <v>67773</v>
      </c>
      <c r="H48">
        <v>0</v>
      </c>
      <c r="I48">
        <v>67773</v>
      </c>
      <c r="J48">
        <v>0</v>
      </c>
    </row>
    <row r="49" spans="1:10">
      <c r="A49" t="s">
        <v>677</v>
      </c>
      <c r="B49" t="s">
        <v>10</v>
      </c>
      <c r="C49">
        <v>0</v>
      </c>
      <c r="D49">
        <v>2332</v>
      </c>
      <c r="E49">
        <v>-8</v>
      </c>
      <c r="F49">
        <v>2324</v>
      </c>
      <c r="G49">
        <v>2332</v>
      </c>
      <c r="H49">
        <v>-8</v>
      </c>
      <c r="I49">
        <v>2324</v>
      </c>
      <c r="J49">
        <v>0</v>
      </c>
    </row>
    <row r="50" spans="1:10">
      <c r="A50" t="s">
        <v>1054</v>
      </c>
      <c r="B50" t="s">
        <v>173</v>
      </c>
      <c r="C50">
        <v>0</v>
      </c>
      <c r="D50">
        <v>61910</v>
      </c>
      <c r="E50">
        <v>-460</v>
      </c>
      <c r="F50">
        <v>61450</v>
      </c>
      <c r="G50">
        <v>61450</v>
      </c>
      <c r="H50">
        <v>0</v>
      </c>
      <c r="I50">
        <v>61450</v>
      </c>
      <c r="J50">
        <v>0</v>
      </c>
    </row>
    <row r="51" spans="1:10">
      <c r="A51" t="s">
        <v>703</v>
      </c>
      <c r="B51" t="s">
        <v>1074</v>
      </c>
      <c r="C51">
        <v>0</v>
      </c>
      <c r="D51">
        <v>30668</v>
      </c>
      <c r="E51">
        <v>-23</v>
      </c>
      <c r="F51">
        <v>30645</v>
      </c>
      <c r="G51">
        <v>30645</v>
      </c>
      <c r="H51">
        <v>0</v>
      </c>
      <c r="I51">
        <v>30645</v>
      </c>
      <c r="J51">
        <v>0</v>
      </c>
    </row>
    <row r="52" spans="1:10">
      <c r="A52" t="s">
        <v>374</v>
      </c>
      <c r="B52" t="s">
        <v>355</v>
      </c>
      <c r="C52">
        <v>-143</v>
      </c>
      <c r="D52">
        <v>143</v>
      </c>
      <c r="E52">
        <v>0</v>
      </c>
      <c r="F52">
        <v>143</v>
      </c>
      <c r="G52">
        <v>197</v>
      </c>
      <c r="H52">
        <v>0</v>
      </c>
      <c r="I52">
        <v>197</v>
      </c>
      <c r="J52">
        <v>-197</v>
      </c>
    </row>
    <row r="53" spans="1:10">
      <c r="A53" t="s">
        <v>544</v>
      </c>
      <c r="B53" t="s">
        <v>877</v>
      </c>
      <c r="C53">
        <v>-497909</v>
      </c>
      <c r="D53">
        <v>160000</v>
      </c>
      <c r="E53">
        <v>0</v>
      </c>
      <c r="F53">
        <v>160000</v>
      </c>
      <c r="G53">
        <v>0</v>
      </c>
      <c r="H53">
        <v>0</v>
      </c>
      <c r="I53">
        <v>0</v>
      </c>
      <c r="J53">
        <v>-337909</v>
      </c>
    </row>
    <row r="54" spans="1:10">
      <c r="A54" t="s">
        <v>852</v>
      </c>
      <c r="B54" t="s">
        <v>1021</v>
      </c>
      <c r="C54">
        <v>-172608</v>
      </c>
      <c r="D54">
        <v>20670</v>
      </c>
      <c r="E54">
        <v>0</v>
      </c>
      <c r="F54">
        <v>20670</v>
      </c>
      <c r="G54">
        <v>670</v>
      </c>
      <c r="H54">
        <v>0</v>
      </c>
      <c r="I54">
        <v>670</v>
      </c>
      <c r="J54">
        <v>-152608</v>
      </c>
    </row>
    <row r="55" spans="1:10">
      <c r="A55" t="s">
        <v>388</v>
      </c>
      <c r="B55" t="s">
        <v>755</v>
      </c>
      <c r="C55">
        <v>-165970</v>
      </c>
      <c r="D55">
        <v>20000</v>
      </c>
      <c r="E55">
        <v>0</v>
      </c>
      <c r="F55">
        <v>20000</v>
      </c>
      <c r="G55">
        <v>0</v>
      </c>
      <c r="H55">
        <v>0</v>
      </c>
      <c r="I55">
        <v>0</v>
      </c>
      <c r="J55">
        <v>-145970</v>
      </c>
    </row>
    <row r="56" spans="1:10">
      <c r="A56" t="s">
        <v>1083</v>
      </c>
      <c r="B56" t="s">
        <v>37</v>
      </c>
      <c r="C56">
        <v>-664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-664</v>
      </c>
    </row>
    <row r="57" spans="1:10">
      <c r="A57" t="s">
        <v>437</v>
      </c>
      <c r="B57" t="s">
        <v>103</v>
      </c>
      <c r="C57">
        <v>0</v>
      </c>
      <c r="D57">
        <v>66</v>
      </c>
      <c r="E57">
        <v>0</v>
      </c>
      <c r="F57">
        <v>66</v>
      </c>
      <c r="G57">
        <v>66</v>
      </c>
      <c r="H57">
        <v>0</v>
      </c>
      <c r="I57">
        <v>66</v>
      </c>
      <c r="J57">
        <v>0</v>
      </c>
    </row>
    <row r="58" spans="1:10">
      <c r="A58" t="s">
        <v>668</v>
      </c>
      <c r="B58" t="s">
        <v>295</v>
      </c>
      <c r="C58">
        <v>4614</v>
      </c>
      <c r="D58">
        <v>4725</v>
      </c>
      <c r="E58">
        <v>0</v>
      </c>
      <c r="F58">
        <v>4725</v>
      </c>
      <c r="G58">
        <v>5068</v>
      </c>
      <c r="H58">
        <v>0</v>
      </c>
      <c r="I58">
        <v>5068</v>
      </c>
      <c r="J58">
        <v>4271</v>
      </c>
    </row>
    <row r="59" spans="1:10">
      <c r="A59" t="s">
        <v>815</v>
      </c>
      <c r="B59" t="s">
        <v>788</v>
      </c>
      <c r="C59">
        <v>0</v>
      </c>
      <c r="D59">
        <v>184964</v>
      </c>
      <c r="E59">
        <v>-28859</v>
      </c>
      <c r="F59">
        <v>156105</v>
      </c>
      <c r="G59">
        <v>168563</v>
      </c>
      <c r="H59">
        <v>-14458</v>
      </c>
      <c r="I59">
        <v>154105</v>
      </c>
      <c r="J59">
        <v>2000</v>
      </c>
    </row>
    <row r="60" spans="1:10">
      <c r="A60" t="s">
        <v>119</v>
      </c>
      <c r="B60" t="s">
        <v>585</v>
      </c>
      <c r="C60">
        <v>91518</v>
      </c>
      <c r="D60">
        <v>0</v>
      </c>
      <c r="E60">
        <v>0</v>
      </c>
      <c r="F60">
        <v>0</v>
      </c>
      <c r="G60">
        <v>45759</v>
      </c>
      <c r="H60">
        <v>0</v>
      </c>
      <c r="I60">
        <v>45759</v>
      </c>
      <c r="J60">
        <v>45759</v>
      </c>
    </row>
    <row r="61" spans="1:10">
      <c r="A61" t="s">
        <v>315</v>
      </c>
      <c r="B61" t="s">
        <v>9</v>
      </c>
      <c r="C61">
        <v>0</v>
      </c>
      <c r="D61">
        <v>16</v>
      </c>
      <c r="E61">
        <v>0</v>
      </c>
      <c r="F61">
        <v>16</v>
      </c>
      <c r="G61">
        <v>0</v>
      </c>
      <c r="H61">
        <v>0</v>
      </c>
      <c r="I61">
        <v>0</v>
      </c>
      <c r="J61">
        <v>16</v>
      </c>
    </row>
    <row r="62" spans="1:10">
      <c r="A62" t="s">
        <v>334</v>
      </c>
      <c r="B62" t="s">
        <v>64</v>
      </c>
      <c r="C62">
        <v>-5281</v>
      </c>
      <c r="D62">
        <v>0</v>
      </c>
      <c r="E62">
        <v>0</v>
      </c>
      <c r="F62">
        <v>0</v>
      </c>
      <c r="G62">
        <v>7927</v>
      </c>
      <c r="H62">
        <v>0</v>
      </c>
      <c r="I62">
        <v>7927</v>
      </c>
      <c r="J62">
        <v>-13208</v>
      </c>
    </row>
    <row r="63" spans="1:10">
      <c r="A63" t="s">
        <v>237</v>
      </c>
      <c r="B63" t="s">
        <v>109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>
      <c r="A64" t="s">
        <v>182</v>
      </c>
      <c r="B64" t="s">
        <v>950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</row>
    <row r="65" spans="1:10">
      <c r="A65" t="s">
        <v>387</v>
      </c>
      <c r="B65" t="s">
        <v>947</v>
      </c>
      <c r="C65">
        <v>0</v>
      </c>
      <c r="D65">
        <v>9287</v>
      </c>
      <c r="E65">
        <v>0</v>
      </c>
      <c r="F65">
        <v>9287</v>
      </c>
      <c r="G65">
        <v>9287</v>
      </c>
      <c r="H65">
        <v>0</v>
      </c>
      <c r="I65">
        <v>9287</v>
      </c>
      <c r="J65">
        <v>0</v>
      </c>
    </row>
    <row r="66" spans="1:10">
      <c r="A66" t="s">
        <v>60</v>
      </c>
      <c r="B66" t="s">
        <v>478</v>
      </c>
      <c r="C66">
        <v>-6640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-6640</v>
      </c>
    </row>
    <row r="67" spans="1:10">
      <c r="A67" t="s">
        <v>979</v>
      </c>
      <c r="B67" t="s">
        <v>810</v>
      </c>
      <c r="C67">
        <v>-410</v>
      </c>
      <c r="D67">
        <v>0</v>
      </c>
      <c r="E67">
        <v>0</v>
      </c>
      <c r="F67">
        <v>0</v>
      </c>
      <c r="G67">
        <v>254</v>
      </c>
      <c r="H67">
        <v>0</v>
      </c>
      <c r="I67">
        <v>254</v>
      </c>
      <c r="J67">
        <v>-664</v>
      </c>
    </row>
    <row r="68" spans="1:10">
      <c r="A68" t="s">
        <v>490</v>
      </c>
      <c r="B68" t="s">
        <v>345</v>
      </c>
      <c r="C68">
        <v>-7789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-7789</v>
      </c>
    </row>
    <row r="69" spans="1:10">
      <c r="A69" t="s">
        <v>931</v>
      </c>
      <c r="B69" t="s">
        <v>271</v>
      </c>
      <c r="C69">
        <v>0</v>
      </c>
      <c r="D69">
        <v>0</v>
      </c>
      <c r="E69">
        <v>0</v>
      </c>
      <c r="F69">
        <v>0</v>
      </c>
      <c r="G69">
        <v>115667</v>
      </c>
      <c r="H69">
        <v>0</v>
      </c>
      <c r="I69">
        <v>115667</v>
      </c>
      <c r="J69">
        <v>-115667</v>
      </c>
    </row>
    <row r="70" spans="1:10">
      <c r="A70" t="s">
        <v>397</v>
      </c>
      <c r="B70" t="s">
        <v>1024</v>
      </c>
      <c r="C70">
        <v>4888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4888</v>
      </c>
    </row>
    <row r="71" spans="1:10">
      <c r="A71" t="s">
        <v>991</v>
      </c>
      <c r="B71" t="s">
        <v>373</v>
      </c>
      <c r="C71">
        <v>170012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170012</v>
      </c>
    </row>
    <row r="72" spans="1:10">
      <c r="A72" t="s">
        <v>510</v>
      </c>
      <c r="B72" t="s">
        <v>867</v>
      </c>
      <c r="C72">
        <v>499618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499618</v>
      </c>
    </row>
    <row r="73" spans="1:10">
      <c r="A73" t="s">
        <v>937</v>
      </c>
      <c r="B73" t="s">
        <v>1030</v>
      </c>
      <c r="C73">
        <v>14404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14404</v>
      </c>
    </row>
    <row r="74" spans="1:10">
      <c r="A74" t="s">
        <v>286</v>
      </c>
      <c r="B74" t="s">
        <v>859</v>
      </c>
      <c r="C74">
        <v>4093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4093</v>
      </c>
    </row>
    <row r="75" spans="1:10">
      <c r="A75" t="s">
        <v>596</v>
      </c>
      <c r="B75" t="s">
        <v>266</v>
      </c>
      <c r="C75">
        <v>-115921</v>
      </c>
      <c r="D75">
        <v>115921</v>
      </c>
      <c r="E75">
        <v>0</v>
      </c>
      <c r="F75">
        <v>115921</v>
      </c>
      <c r="G75">
        <v>0</v>
      </c>
      <c r="H75">
        <v>0</v>
      </c>
      <c r="I75">
        <v>0</v>
      </c>
      <c r="J75">
        <v>0</v>
      </c>
    </row>
    <row r="76" spans="1:10">
      <c r="A76" t="s">
        <v>623</v>
      </c>
      <c r="B76" t="s">
        <v>416</v>
      </c>
      <c r="C76">
        <v>-68</v>
      </c>
      <c r="D76">
        <v>91</v>
      </c>
      <c r="E76">
        <v>0</v>
      </c>
      <c r="F76">
        <v>91</v>
      </c>
      <c r="G76">
        <v>85</v>
      </c>
      <c r="H76">
        <v>0</v>
      </c>
      <c r="I76">
        <v>85</v>
      </c>
      <c r="J76">
        <v>-62</v>
      </c>
    </row>
    <row r="77" spans="1:10">
      <c r="A77" t="s">
        <v>470</v>
      </c>
      <c r="B77" t="s">
        <v>1079</v>
      </c>
      <c r="C77">
        <v>-159611</v>
      </c>
      <c r="D77">
        <v>163256</v>
      </c>
      <c r="E77">
        <v>0</v>
      </c>
      <c r="F77">
        <v>163256</v>
      </c>
      <c r="G77">
        <v>3645</v>
      </c>
      <c r="H77">
        <v>0</v>
      </c>
      <c r="I77">
        <v>3645</v>
      </c>
      <c r="J77">
        <v>0</v>
      </c>
    </row>
    <row r="78" spans="1:10">
      <c r="A78" t="s">
        <v>956</v>
      </c>
      <c r="B78" t="s">
        <v>95</v>
      </c>
      <c r="C78">
        <v>0</v>
      </c>
      <c r="D78">
        <v>97</v>
      </c>
      <c r="E78">
        <v>0</v>
      </c>
      <c r="F78">
        <v>97</v>
      </c>
      <c r="G78">
        <v>0</v>
      </c>
      <c r="H78">
        <v>0</v>
      </c>
      <c r="I78">
        <v>0</v>
      </c>
      <c r="J78">
        <v>97</v>
      </c>
    </row>
    <row r="79" spans="1:10">
      <c r="A79" t="s">
        <v>1091</v>
      </c>
      <c r="B79" t="s">
        <v>361</v>
      </c>
      <c r="C79">
        <v>0</v>
      </c>
      <c r="D79">
        <v>454</v>
      </c>
      <c r="E79">
        <v>0</v>
      </c>
      <c r="F79">
        <v>454</v>
      </c>
      <c r="G79">
        <v>0</v>
      </c>
      <c r="H79">
        <v>0</v>
      </c>
      <c r="I79">
        <v>0</v>
      </c>
      <c r="J79">
        <v>454</v>
      </c>
    </row>
    <row r="80" spans="1:10">
      <c r="A80" t="s">
        <v>378</v>
      </c>
      <c r="B80" t="s">
        <v>225</v>
      </c>
      <c r="C80">
        <v>0</v>
      </c>
      <c r="D80">
        <v>127</v>
      </c>
      <c r="E80">
        <v>0</v>
      </c>
      <c r="F80">
        <v>127</v>
      </c>
      <c r="G80">
        <v>0</v>
      </c>
      <c r="H80">
        <v>0</v>
      </c>
      <c r="I80">
        <v>0</v>
      </c>
      <c r="J80">
        <v>127</v>
      </c>
    </row>
    <row r="81" spans="1:10">
      <c r="A81" t="s">
        <v>858</v>
      </c>
      <c r="B81" t="s">
        <v>574</v>
      </c>
      <c r="C81">
        <v>0</v>
      </c>
      <c r="D81">
        <v>1899</v>
      </c>
      <c r="E81">
        <v>0</v>
      </c>
      <c r="F81">
        <v>1899</v>
      </c>
      <c r="G81">
        <v>0</v>
      </c>
      <c r="H81">
        <v>0</v>
      </c>
      <c r="I81">
        <v>0</v>
      </c>
      <c r="J81">
        <v>1899</v>
      </c>
    </row>
    <row r="82" spans="1:10">
      <c r="A82" t="s">
        <v>531</v>
      </c>
      <c r="B82" t="s">
        <v>212</v>
      </c>
      <c r="C82">
        <v>0</v>
      </c>
      <c r="D82">
        <v>127</v>
      </c>
      <c r="E82">
        <v>0</v>
      </c>
      <c r="F82">
        <v>127</v>
      </c>
      <c r="G82">
        <v>0</v>
      </c>
      <c r="H82">
        <v>0</v>
      </c>
      <c r="I82">
        <v>0</v>
      </c>
      <c r="J82">
        <v>127</v>
      </c>
    </row>
    <row r="83" spans="1:10">
      <c r="A83" t="s">
        <v>1044</v>
      </c>
      <c r="B83" t="s">
        <v>1113</v>
      </c>
      <c r="C83">
        <v>0</v>
      </c>
      <c r="D83">
        <v>2247</v>
      </c>
      <c r="E83">
        <v>0</v>
      </c>
      <c r="F83">
        <v>2247</v>
      </c>
      <c r="G83">
        <v>0</v>
      </c>
      <c r="H83">
        <v>0</v>
      </c>
      <c r="I83">
        <v>0</v>
      </c>
      <c r="J83">
        <v>2247</v>
      </c>
    </row>
    <row r="84" spans="1:10">
      <c r="A84" t="s">
        <v>568</v>
      </c>
      <c r="B84" t="s">
        <v>178</v>
      </c>
      <c r="C84">
        <v>0</v>
      </c>
      <c r="D84">
        <v>86</v>
      </c>
      <c r="E84">
        <v>0</v>
      </c>
      <c r="F84">
        <v>86</v>
      </c>
      <c r="G84">
        <v>0</v>
      </c>
      <c r="H84">
        <v>0</v>
      </c>
      <c r="I84">
        <v>0</v>
      </c>
      <c r="J84">
        <v>86</v>
      </c>
    </row>
    <row r="85" spans="1:10">
      <c r="A85" t="s">
        <v>1023</v>
      </c>
      <c r="B85" t="s">
        <v>112</v>
      </c>
      <c r="C85">
        <v>0</v>
      </c>
      <c r="D85">
        <v>78</v>
      </c>
      <c r="E85">
        <v>0</v>
      </c>
      <c r="F85">
        <v>78</v>
      </c>
      <c r="G85">
        <v>0</v>
      </c>
      <c r="H85">
        <v>0</v>
      </c>
      <c r="I85">
        <v>0</v>
      </c>
      <c r="J85">
        <v>78</v>
      </c>
    </row>
    <row r="86" spans="1:10">
      <c r="A86" t="s">
        <v>584</v>
      </c>
      <c r="B86" t="s">
        <v>207</v>
      </c>
      <c r="C86">
        <v>0</v>
      </c>
      <c r="D86">
        <v>22619</v>
      </c>
      <c r="E86">
        <v>0</v>
      </c>
      <c r="F86">
        <v>22619</v>
      </c>
      <c r="G86">
        <v>0</v>
      </c>
      <c r="H86">
        <v>0</v>
      </c>
      <c r="I86">
        <v>0</v>
      </c>
      <c r="J86">
        <v>22619</v>
      </c>
    </row>
    <row r="87" spans="1:10">
      <c r="A87" t="s">
        <v>257</v>
      </c>
      <c r="B87" t="s">
        <v>265</v>
      </c>
      <c r="C87">
        <v>0</v>
      </c>
      <c r="D87">
        <v>413</v>
      </c>
      <c r="E87">
        <v>-332</v>
      </c>
      <c r="F87">
        <v>81</v>
      </c>
      <c r="G87">
        <v>0</v>
      </c>
      <c r="H87">
        <v>0</v>
      </c>
      <c r="I87">
        <v>0</v>
      </c>
      <c r="J87">
        <v>81</v>
      </c>
    </row>
    <row r="88" spans="1:10">
      <c r="A88" t="s">
        <v>777</v>
      </c>
      <c r="B88" t="s">
        <v>344</v>
      </c>
      <c r="C88">
        <v>0</v>
      </c>
      <c r="D88">
        <v>378</v>
      </c>
      <c r="E88">
        <v>-98</v>
      </c>
      <c r="F88">
        <v>280</v>
      </c>
      <c r="G88">
        <v>0</v>
      </c>
      <c r="H88">
        <v>0</v>
      </c>
      <c r="I88">
        <v>0</v>
      </c>
      <c r="J88">
        <v>280</v>
      </c>
    </row>
    <row r="89" spans="1:10">
      <c r="A89" t="s">
        <v>840</v>
      </c>
      <c r="B89" t="s">
        <v>152</v>
      </c>
      <c r="C89">
        <v>0</v>
      </c>
      <c r="D89">
        <v>10157</v>
      </c>
      <c r="E89">
        <v>0</v>
      </c>
      <c r="F89">
        <v>10157</v>
      </c>
      <c r="G89">
        <v>0</v>
      </c>
      <c r="H89">
        <v>0</v>
      </c>
      <c r="I89">
        <v>0</v>
      </c>
      <c r="J89">
        <v>10157</v>
      </c>
    </row>
    <row r="90" spans="1:10">
      <c r="A90" t="s">
        <v>657</v>
      </c>
      <c r="B90" t="s">
        <v>88</v>
      </c>
      <c r="C90">
        <v>0</v>
      </c>
      <c r="D90">
        <v>470</v>
      </c>
      <c r="E90">
        <v>0</v>
      </c>
      <c r="F90">
        <v>470</v>
      </c>
      <c r="G90">
        <v>0</v>
      </c>
      <c r="H90">
        <v>0</v>
      </c>
      <c r="I90">
        <v>0</v>
      </c>
      <c r="J90">
        <v>470</v>
      </c>
    </row>
    <row r="91" spans="1:10">
      <c r="A91" t="s">
        <v>224</v>
      </c>
      <c r="B91" t="s">
        <v>675</v>
      </c>
      <c r="C91">
        <v>0</v>
      </c>
      <c r="D91">
        <v>952</v>
      </c>
      <c r="E91">
        <v>0</v>
      </c>
      <c r="F91">
        <v>952</v>
      </c>
      <c r="G91">
        <v>0</v>
      </c>
      <c r="H91">
        <v>0</v>
      </c>
      <c r="I91">
        <v>0</v>
      </c>
      <c r="J91">
        <v>952</v>
      </c>
    </row>
    <row r="92" spans="1:10">
      <c r="A92" t="s">
        <v>892</v>
      </c>
      <c r="B92" t="s">
        <v>1036</v>
      </c>
      <c r="C92">
        <v>0</v>
      </c>
      <c r="D92">
        <v>5314</v>
      </c>
      <c r="E92">
        <v>0</v>
      </c>
      <c r="F92">
        <v>5314</v>
      </c>
      <c r="G92">
        <v>0</v>
      </c>
      <c r="H92">
        <v>0</v>
      </c>
      <c r="I92">
        <v>0</v>
      </c>
      <c r="J92">
        <v>5314</v>
      </c>
    </row>
    <row r="93" spans="1:10">
      <c r="A93" t="s">
        <v>912</v>
      </c>
      <c r="B93" t="s">
        <v>656</v>
      </c>
      <c r="C93">
        <v>0</v>
      </c>
      <c r="D93">
        <v>1830</v>
      </c>
      <c r="E93">
        <v>0</v>
      </c>
      <c r="F93">
        <v>1830</v>
      </c>
      <c r="G93">
        <v>0</v>
      </c>
      <c r="H93">
        <v>0</v>
      </c>
      <c r="I93">
        <v>0</v>
      </c>
      <c r="J93">
        <v>1830</v>
      </c>
    </row>
    <row r="94" spans="1:10">
      <c r="A94" t="s">
        <v>223</v>
      </c>
      <c r="B94" t="s">
        <v>349</v>
      </c>
      <c r="C94">
        <v>0</v>
      </c>
      <c r="D94">
        <v>257583</v>
      </c>
      <c r="E94">
        <v>-10201</v>
      </c>
      <c r="F94">
        <v>247382</v>
      </c>
      <c r="G94">
        <v>0</v>
      </c>
      <c r="H94">
        <v>0</v>
      </c>
      <c r="I94">
        <v>0</v>
      </c>
      <c r="J94">
        <v>247382</v>
      </c>
    </row>
    <row r="95" spans="1:10">
      <c r="A95" t="s">
        <v>131</v>
      </c>
      <c r="B95" t="s">
        <v>1112</v>
      </c>
      <c r="C95">
        <v>0</v>
      </c>
      <c r="D95">
        <v>168563</v>
      </c>
      <c r="E95">
        <v>-14458</v>
      </c>
      <c r="F95">
        <v>154105</v>
      </c>
      <c r="G95">
        <v>0</v>
      </c>
      <c r="H95">
        <v>0</v>
      </c>
      <c r="I95">
        <v>0</v>
      </c>
      <c r="J95">
        <v>154105</v>
      </c>
    </row>
    <row r="96" spans="1:10">
      <c r="A96" t="s">
        <v>839</v>
      </c>
      <c r="B96" t="s">
        <v>767</v>
      </c>
      <c r="C96">
        <v>0</v>
      </c>
      <c r="D96">
        <v>26444</v>
      </c>
      <c r="E96">
        <v>-52</v>
      </c>
      <c r="F96">
        <v>26392</v>
      </c>
      <c r="G96">
        <v>0</v>
      </c>
      <c r="H96">
        <v>0</v>
      </c>
      <c r="I96">
        <v>0</v>
      </c>
      <c r="J96">
        <v>26392</v>
      </c>
    </row>
    <row r="97" spans="1:10">
      <c r="A97" t="s">
        <v>186</v>
      </c>
      <c r="B97" t="s">
        <v>776</v>
      </c>
      <c r="C97">
        <v>0</v>
      </c>
      <c r="D97">
        <v>28893</v>
      </c>
      <c r="E97">
        <v>0</v>
      </c>
      <c r="F97">
        <v>28893</v>
      </c>
      <c r="G97">
        <v>0</v>
      </c>
      <c r="H97">
        <v>0</v>
      </c>
      <c r="I97">
        <v>0</v>
      </c>
      <c r="J97">
        <v>28893</v>
      </c>
    </row>
    <row r="98" spans="1:10">
      <c r="A98" t="s">
        <v>655</v>
      </c>
      <c r="B98" t="s">
        <v>729</v>
      </c>
      <c r="C98">
        <v>0</v>
      </c>
      <c r="D98">
        <v>58</v>
      </c>
      <c r="E98">
        <v>0</v>
      </c>
      <c r="F98">
        <v>58</v>
      </c>
      <c r="G98">
        <v>0</v>
      </c>
      <c r="H98">
        <v>0</v>
      </c>
      <c r="I98">
        <v>0</v>
      </c>
      <c r="J98">
        <v>58</v>
      </c>
    </row>
    <row r="99" spans="1:10">
      <c r="A99" t="s">
        <v>21</v>
      </c>
      <c r="B99" t="s">
        <v>1013</v>
      </c>
      <c r="C99">
        <v>0</v>
      </c>
      <c r="D99">
        <v>4104</v>
      </c>
      <c r="E99">
        <v>-61</v>
      </c>
      <c r="F99">
        <v>4043</v>
      </c>
      <c r="G99">
        <v>0</v>
      </c>
      <c r="H99">
        <v>0</v>
      </c>
      <c r="I99">
        <v>0</v>
      </c>
      <c r="J99">
        <v>4043</v>
      </c>
    </row>
    <row r="100" spans="1:10">
      <c r="A100" t="s">
        <v>672</v>
      </c>
      <c r="B100" t="s">
        <v>1049</v>
      </c>
      <c r="C100">
        <v>0</v>
      </c>
      <c r="D100">
        <v>48984</v>
      </c>
      <c r="E100">
        <v>-2500</v>
      </c>
      <c r="F100">
        <v>46484</v>
      </c>
      <c r="G100">
        <v>0</v>
      </c>
      <c r="H100">
        <v>0</v>
      </c>
      <c r="I100">
        <v>0</v>
      </c>
      <c r="J100">
        <v>46484</v>
      </c>
    </row>
    <row r="101" spans="1:10">
      <c r="A101" t="s">
        <v>17</v>
      </c>
      <c r="B101" t="s">
        <v>53</v>
      </c>
      <c r="C101">
        <v>0</v>
      </c>
      <c r="D101">
        <v>168</v>
      </c>
      <c r="E101">
        <v>0</v>
      </c>
      <c r="F101">
        <v>168</v>
      </c>
      <c r="G101">
        <v>0</v>
      </c>
      <c r="H101">
        <v>0</v>
      </c>
      <c r="I101">
        <v>0</v>
      </c>
      <c r="J101">
        <v>168</v>
      </c>
    </row>
    <row r="102" spans="1:10">
      <c r="A102" t="s">
        <v>1009</v>
      </c>
      <c r="B102" t="s">
        <v>866</v>
      </c>
      <c r="C102">
        <v>0</v>
      </c>
      <c r="D102">
        <v>2461</v>
      </c>
      <c r="E102">
        <v>0</v>
      </c>
      <c r="F102">
        <v>2461</v>
      </c>
      <c r="G102">
        <v>0</v>
      </c>
      <c r="H102">
        <v>0</v>
      </c>
      <c r="I102">
        <v>0</v>
      </c>
      <c r="J102">
        <v>2461</v>
      </c>
    </row>
    <row r="103" spans="1:10">
      <c r="A103" t="s">
        <v>889</v>
      </c>
      <c r="B103" t="s">
        <v>762</v>
      </c>
      <c r="C103">
        <v>0</v>
      </c>
      <c r="D103">
        <v>378</v>
      </c>
      <c r="E103">
        <v>0</v>
      </c>
      <c r="F103">
        <v>378</v>
      </c>
      <c r="G103">
        <v>0</v>
      </c>
      <c r="H103">
        <v>0</v>
      </c>
      <c r="I103">
        <v>0</v>
      </c>
      <c r="J103">
        <v>378</v>
      </c>
    </row>
    <row r="104" spans="1:10">
      <c r="A104" t="s">
        <v>464</v>
      </c>
      <c r="B104" t="s">
        <v>748</v>
      </c>
      <c r="C104">
        <v>0</v>
      </c>
      <c r="D104">
        <v>35</v>
      </c>
      <c r="E104">
        <v>0</v>
      </c>
      <c r="F104">
        <v>35</v>
      </c>
      <c r="G104">
        <v>0</v>
      </c>
      <c r="H104">
        <v>0</v>
      </c>
      <c r="I104">
        <v>0</v>
      </c>
      <c r="J104">
        <v>35</v>
      </c>
    </row>
    <row r="105" spans="1:10">
      <c r="A105" t="s">
        <v>917</v>
      </c>
      <c r="B105" t="s">
        <v>1076</v>
      </c>
      <c r="C105">
        <v>0</v>
      </c>
      <c r="D105">
        <v>5187</v>
      </c>
      <c r="E105">
        <v>0</v>
      </c>
      <c r="F105">
        <v>5187</v>
      </c>
      <c r="G105">
        <v>0</v>
      </c>
      <c r="H105">
        <v>0</v>
      </c>
      <c r="I105">
        <v>0</v>
      </c>
      <c r="J105">
        <v>5187</v>
      </c>
    </row>
    <row r="106" spans="1:10">
      <c r="A106" t="s">
        <v>301</v>
      </c>
      <c r="B106" t="s">
        <v>550</v>
      </c>
      <c r="C106">
        <v>0</v>
      </c>
      <c r="D106">
        <v>1636</v>
      </c>
      <c r="E106">
        <v>0</v>
      </c>
      <c r="F106">
        <v>1636</v>
      </c>
      <c r="G106">
        <v>0</v>
      </c>
      <c r="H106">
        <v>0</v>
      </c>
      <c r="I106">
        <v>0</v>
      </c>
      <c r="J106">
        <v>1636</v>
      </c>
    </row>
    <row r="107" spans="1:10">
      <c r="A107" t="s">
        <v>928</v>
      </c>
      <c r="B107" t="s">
        <v>412</v>
      </c>
      <c r="C107">
        <v>0</v>
      </c>
      <c r="D107">
        <v>11990</v>
      </c>
      <c r="E107">
        <v>0</v>
      </c>
      <c r="F107">
        <v>11990</v>
      </c>
      <c r="G107">
        <v>0</v>
      </c>
      <c r="H107">
        <v>0</v>
      </c>
      <c r="I107">
        <v>0</v>
      </c>
      <c r="J107">
        <v>11990</v>
      </c>
    </row>
    <row r="108" spans="1:10">
      <c r="A108" t="s">
        <v>289</v>
      </c>
      <c r="B108" t="s">
        <v>747</v>
      </c>
      <c r="C108">
        <v>0</v>
      </c>
      <c r="D108">
        <v>2843</v>
      </c>
      <c r="E108">
        <v>-17</v>
      </c>
      <c r="F108">
        <v>2826</v>
      </c>
      <c r="G108">
        <v>0</v>
      </c>
      <c r="H108">
        <v>0</v>
      </c>
      <c r="I108">
        <v>0</v>
      </c>
      <c r="J108">
        <v>2826</v>
      </c>
    </row>
    <row r="109" spans="1:10">
      <c r="A109" t="s">
        <v>172</v>
      </c>
      <c r="B109" t="s">
        <v>1053</v>
      </c>
      <c r="C109">
        <v>0</v>
      </c>
      <c r="D109">
        <v>10158</v>
      </c>
      <c r="E109">
        <v>0</v>
      </c>
      <c r="F109">
        <v>10158</v>
      </c>
      <c r="G109">
        <v>0</v>
      </c>
      <c r="H109">
        <v>0</v>
      </c>
      <c r="I109">
        <v>0</v>
      </c>
      <c r="J109">
        <v>10158</v>
      </c>
    </row>
    <row r="110" spans="1:10">
      <c r="A110" t="s">
        <v>799</v>
      </c>
      <c r="B110" t="s">
        <v>1082</v>
      </c>
      <c r="C110">
        <v>0</v>
      </c>
      <c r="D110">
        <v>45759</v>
      </c>
      <c r="E110">
        <v>0</v>
      </c>
      <c r="F110">
        <v>45759</v>
      </c>
      <c r="G110">
        <v>0</v>
      </c>
      <c r="H110">
        <v>0</v>
      </c>
      <c r="I110">
        <v>0</v>
      </c>
      <c r="J110">
        <v>45759</v>
      </c>
    </row>
    <row r="111" spans="1:10">
      <c r="A111" t="s">
        <v>325</v>
      </c>
      <c r="B111" t="s">
        <v>16</v>
      </c>
      <c r="C111">
        <v>0</v>
      </c>
      <c r="D111">
        <v>1</v>
      </c>
      <c r="E111">
        <v>0</v>
      </c>
      <c r="F111">
        <v>1</v>
      </c>
      <c r="G111">
        <v>0</v>
      </c>
      <c r="H111">
        <v>0</v>
      </c>
      <c r="I111">
        <v>0</v>
      </c>
      <c r="J111">
        <v>1</v>
      </c>
    </row>
    <row r="112" spans="1:10">
      <c r="A112" t="s">
        <v>354</v>
      </c>
      <c r="B112" t="s">
        <v>927</v>
      </c>
      <c r="C112">
        <v>0</v>
      </c>
      <c r="D112">
        <v>15793</v>
      </c>
      <c r="E112">
        <v>0</v>
      </c>
      <c r="F112">
        <v>15793</v>
      </c>
      <c r="G112">
        <v>0</v>
      </c>
      <c r="H112">
        <v>0</v>
      </c>
      <c r="I112">
        <v>0</v>
      </c>
      <c r="J112">
        <v>15793</v>
      </c>
    </row>
    <row r="113" spans="1:10">
      <c r="A113" t="s">
        <v>549</v>
      </c>
      <c r="B113" t="s">
        <v>56</v>
      </c>
      <c r="C113">
        <v>0</v>
      </c>
      <c r="D113">
        <v>102</v>
      </c>
      <c r="E113">
        <v>0</v>
      </c>
      <c r="F113">
        <v>102</v>
      </c>
      <c r="G113">
        <v>0</v>
      </c>
      <c r="H113">
        <v>0</v>
      </c>
      <c r="I113">
        <v>0</v>
      </c>
      <c r="J113">
        <v>102</v>
      </c>
    </row>
    <row r="114" spans="1:10">
      <c r="A114" t="s">
        <v>1106</v>
      </c>
      <c r="B114" t="s">
        <v>702</v>
      </c>
      <c r="C114">
        <v>0</v>
      </c>
      <c r="D114">
        <v>1872</v>
      </c>
      <c r="E114">
        <v>0</v>
      </c>
      <c r="F114">
        <v>1872</v>
      </c>
      <c r="G114">
        <v>0</v>
      </c>
      <c r="H114">
        <v>0</v>
      </c>
      <c r="I114">
        <v>0</v>
      </c>
      <c r="J114">
        <v>1872</v>
      </c>
    </row>
    <row r="115" spans="1:10">
      <c r="A115" t="s">
        <v>779</v>
      </c>
      <c r="B115" t="s">
        <v>561</v>
      </c>
      <c r="C115">
        <v>0</v>
      </c>
      <c r="D115">
        <v>3646</v>
      </c>
      <c r="E115">
        <v>0</v>
      </c>
      <c r="F115">
        <v>3646</v>
      </c>
      <c r="G115">
        <v>0</v>
      </c>
      <c r="H115">
        <v>0</v>
      </c>
      <c r="I115">
        <v>0</v>
      </c>
      <c r="J115">
        <v>3646</v>
      </c>
    </row>
    <row r="116" spans="1:10">
      <c r="A116" t="s">
        <v>1043</v>
      </c>
      <c r="B116" t="s">
        <v>477</v>
      </c>
      <c r="C116">
        <v>0</v>
      </c>
      <c r="D116">
        <v>36</v>
      </c>
      <c r="E116">
        <v>0</v>
      </c>
      <c r="F116">
        <v>36</v>
      </c>
      <c r="G116">
        <v>0</v>
      </c>
      <c r="H116">
        <v>0</v>
      </c>
      <c r="I116">
        <v>0</v>
      </c>
      <c r="J116">
        <v>36</v>
      </c>
    </row>
    <row r="117" spans="1:10">
      <c r="A117" t="s">
        <v>990</v>
      </c>
      <c r="B117" t="s">
        <v>660</v>
      </c>
      <c r="C117">
        <v>0</v>
      </c>
      <c r="D117">
        <v>85</v>
      </c>
      <c r="E117">
        <v>0</v>
      </c>
      <c r="F117">
        <v>85</v>
      </c>
      <c r="G117">
        <v>0</v>
      </c>
      <c r="H117">
        <v>0</v>
      </c>
      <c r="I117">
        <v>0</v>
      </c>
      <c r="J117">
        <v>85</v>
      </c>
    </row>
    <row r="118" spans="1:10">
      <c r="A118" t="s">
        <v>396</v>
      </c>
      <c r="B118" t="s">
        <v>926</v>
      </c>
      <c r="C118">
        <v>0</v>
      </c>
      <c r="D118">
        <v>409</v>
      </c>
      <c r="E118">
        <v>0</v>
      </c>
      <c r="F118">
        <v>409</v>
      </c>
      <c r="G118">
        <v>0</v>
      </c>
      <c r="H118">
        <v>0</v>
      </c>
      <c r="I118">
        <v>0</v>
      </c>
      <c r="J118">
        <v>409</v>
      </c>
    </row>
    <row r="119" spans="1:10">
      <c r="A119" t="s">
        <v>244</v>
      </c>
      <c r="B119" t="s">
        <v>960</v>
      </c>
      <c r="C119">
        <v>0</v>
      </c>
      <c r="D119">
        <v>197</v>
      </c>
      <c r="E119">
        <v>0</v>
      </c>
      <c r="F119">
        <v>197</v>
      </c>
      <c r="G119">
        <v>0</v>
      </c>
      <c r="H119">
        <v>0</v>
      </c>
      <c r="I119">
        <v>0</v>
      </c>
      <c r="J119">
        <v>197</v>
      </c>
    </row>
    <row r="120" spans="1:10">
      <c r="A120" t="s">
        <v>823</v>
      </c>
      <c r="B120" t="s">
        <v>492</v>
      </c>
      <c r="C120">
        <v>0</v>
      </c>
      <c r="D120">
        <v>10</v>
      </c>
      <c r="E120">
        <v>0</v>
      </c>
      <c r="F120">
        <v>10</v>
      </c>
      <c r="G120">
        <v>0</v>
      </c>
      <c r="H120">
        <v>0</v>
      </c>
      <c r="I120">
        <v>0</v>
      </c>
      <c r="J120">
        <v>10</v>
      </c>
    </row>
    <row r="121" spans="1:10">
      <c r="A121" t="s">
        <v>108</v>
      </c>
      <c r="B121" t="s">
        <v>368</v>
      </c>
      <c r="C121">
        <v>0</v>
      </c>
      <c r="D121">
        <v>1189</v>
      </c>
      <c r="E121">
        <v>-50</v>
      </c>
      <c r="F121">
        <v>1139</v>
      </c>
      <c r="G121">
        <v>0</v>
      </c>
      <c r="H121">
        <v>0</v>
      </c>
      <c r="I121">
        <v>0</v>
      </c>
      <c r="J121">
        <v>1139</v>
      </c>
    </row>
    <row r="122" spans="1:10">
      <c r="A122" t="s">
        <v>1029</v>
      </c>
      <c r="B122" t="s">
        <v>456</v>
      </c>
      <c r="C122">
        <v>0</v>
      </c>
      <c r="D122">
        <v>66</v>
      </c>
      <c r="E122">
        <v>0</v>
      </c>
      <c r="F122">
        <v>66</v>
      </c>
      <c r="G122">
        <v>0</v>
      </c>
      <c r="H122">
        <v>0</v>
      </c>
      <c r="I122">
        <v>0</v>
      </c>
      <c r="J122">
        <v>66</v>
      </c>
    </row>
    <row r="123" spans="1:10">
      <c r="A123" t="s">
        <v>47</v>
      </c>
      <c r="B123" t="s">
        <v>281</v>
      </c>
      <c r="C123">
        <v>0</v>
      </c>
      <c r="D123">
        <v>212</v>
      </c>
      <c r="E123">
        <v>0</v>
      </c>
      <c r="F123">
        <v>212</v>
      </c>
      <c r="G123">
        <v>0</v>
      </c>
      <c r="H123">
        <v>0</v>
      </c>
      <c r="I123">
        <v>0</v>
      </c>
      <c r="J123">
        <v>212</v>
      </c>
    </row>
    <row r="124" spans="1:10">
      <c r="A124" t="s">
        <v>593</v>
      </c>
      <c r="B124" t="s">
        <v>187</v>
      </c>
      <c r="C124">
        <v>0</v>
      </c>
      <c r="D124">
        <v>7927</v>
      </c>
      <c r="E124">
        <v>0</v>
      </c>
      <c r="F124">
        <v>7927</v>
      </c>
      <c r="G124">
        <v>0</v>
      </c>
      <c r="H124">
        <v>0</v>
      </c>
      <c r="I124">
        <v>0</v>
      </c>
      <c r="J124">
        <v>7927</v>
      </c>
    </row>
    <row r="125" spans="1:10">
      <c r="A125" t="s">
        <v>15</v>
      </c>
      <c r="B125" t="s">
        <v>925</v>
      </c>
      <c r="C125">
        <v>0</v>
      </c>
      <c r="D125">
        <v>3</v>
      </c>
      <c r="E125">
        <v>0</v>
      </c>
      <c r="F125">
        <v>3</v>
      </c>
      <c r="G125">
        <v>0</v>
      </c>
      <c r="H125">
        <v>0</v>
      </c>
      <c r="I125">
        <v>0</v>
      </c>
      <c r="J125">
        <v>3</v>
      </c>
    </row>
    <row r="126" spans="1:10">
      <c r="A126" t="s">
        <v>820</v>
      </c>
      <c r="B126" t="s">
        <v>539</v>
      </c>
      <c r="C126">
        <v>0</v>
      </c>
      <c r="D126">
        <v>21999</v>
      </c>
      <c r="E126">
        <v>0</v>
      </c>
      <c r="F126">
        <v>21999</v>
      </c>
      <c r="G126">
        <v>0</v>
      </c>
      <c r="H126">
        <v>0</v>
      </c>
      <c r="I126">
        <v>0</v>
      </c>
      <c r="J126">
        <v>21999</v>
      </c>
    </row>
    <row r="127" spans="1:10">
      <c r="A127" t="s">
        <v>1022</v>
      </c>
      <c r="B127" t="s">
        <v>1097</v>
      </c>
      <c r="C127">
        <v>0</v>
      </c>
      <c r="D127">
        <v>3773</v>
      </c>
      <c r="E127">
        <v>0</v>
      </c>
      <c r="F127">
        <v>3773</v>
      </c>
      <c r="G127">
        <v>0</v>
      </c>
      <c r="H127">
        <v>0</v>
      </c>
      <c r="I127">
        <v>0</v>
      </c>
      <c r="J127">
        <v>3773</v>
      </c>
    </row>
    <row r="128" spans="1:10">
      <c r="A128" t="s">
        <v>372</v>
      </c>
      <c r="B128" t="s">
        <v>310</v>
      </c>
      <c r="C128">
        <v>0</v>
      </c>
      <c r="D128">
        <v>7266</v>
      </c>
      <c r="E128">
        <v>0</v>
      </c>
      <c r="F128">
        <v>7266</v>
      </c>
      <c r="G128">
        <v>0</v>
      </c>
      <c r="H128">
        <v>0</v>
      </c>
      <c r="I128">
        <v>0</v>
      </c>
      <c r="J128">
        <v>7266</v>
      </c>
    </row>
    <row r="129" spans="1:10">
      <c r="A129" t="s">
        <v>451</v>
      </c>
      <c r="B129" t="s">
        <v>615</v>
      </c>
      <c r="C129">
        <v>0</v>
      </c>
      <c r="D129">
        <v>6024</v>
      </c>
      <c r="E129">
        <v>0</v>
      </c>
      <c r="F129">
        <v>6024</v>
      </c>
      <c r="G129">
        <v>0</v>
      </c>
      <c r="H129">
        <v>0</v>
      </c>
      <c r="I129">
        <v>0</v>
      </c>
      <c r="J129">
        <v>6024</v>
      </c>
    </row>
    <row r="130" spans="1:10">
      <c r="A130" t="s">
        <v>463</v>
      </c>
      <c r="B130" t="s">
        <v>924</v>
      </c>
      <c r="C130">
        <v>0</v>
      </c>
      <c r="D130">
        <v>3884</v>
      </c>
      <c r="E130">
        <v>0</v>
      </c>
      <c r="F130">
        <v>3884</v>
      </c>
      <c r="G130">
        <v>0</v>
      </c>
      <c r="H130">
        <v>0</v>
      </c>
      <c r="I130">
        <v>0</v>
      </c>
      <c r="J130">
        <v>3884</v>
      </c>
    </row>
    <row r="131" spans="1:10">
      <c r="A131" t="s">
        <v>300</v>
      </c>
      <c r="B131" t="s">
        <v>543</v>
      </c>
      <c r="C131">
        <v>0</v>
      </c>
      <c r="D131">
        <v>19</v>
      </c>
      <c r="E131">
        <v>0</v>
      </c>
      <c r="F131">
        <v>19</v>
      </c>
      <c r="G131">
        <v>0</v>
      </c>
      <c r="H131">
        <v>0</v>
      </c>
      <c r="I131">
        <v>0</v>
      </c>
      <c r="J131">
        <v>19</v>
      </c>
    </row>
    <row r="132" spans="1:10">
      <c r="A132" t="s">
        <v>611</v>
      </c>
      <c r="B132" t="s">
        <v>773</v>
      </c>
      <c r="C132">
        <v>0</v>
      </c>
      <c r="D132">
        <v>837</v>
      </c>
      <c r="E132">
        <v>0</v>
      </c>
      <c r="F132">
        <v>837</v>
      </c>
      <c r="G132">
        <v>0</v>
      </c>
      <c r="H132">
        <v>0</v>
      </c>
      <c r="I132">
        <v>0</v>
      </c>
      <c r="J132">
        <v>837</v>
      </c>
    </row>
    <row r="133" spans="1:10">
      <c r="A133" t="s">
        <v>1033</v>
      </c>
      <c r="B133" t="s">
        <v>1008</v>
      </c>
      <c r="C133">
        <v>0</v>
      </c>
      <c r="D133">
        <v>6</v>
      </c>
      <c r="E133">
        <v>0</v>
      </c>
      <c r="F133">
        <v>6</v>
      </c>
      <c r="G133">
        <v>0</v>
      </c>
      <c r="H133">
        <v>0</v>
      </c>
      <c r="I133">
        <v>0</v>
      </c>
      <c r="J133">
        <v>6</v>
      </c>
    </row>
    <row r="134" spans="1:10">
      <c r="A134" t="s">
        <v>367</v>
      </c>
      <c r="B134" t="s">
        <v>243</v>
      </c>
      <c r="C134">
        <v>0</v>
      </c>
      <c r="D134">
        <v>0</v>
      </c>
      <c r="E134">
        <v>0</v>
      </c>
      <c r="F134">
        <v>0</v>
      </c>
      <c r="G134">
        <v>222365</v>
      </c>
      <c r="H134">
        <v>0</v>
      </c>
      <c r="I134">
        <v>222365</v>
      </c>
      <c r="J134">
        <v>-222365</v>
      </c>
    </row>
    <row r="135" spans="1:10">
      <c r="A135" t="s">
        <v>965</v>
      </c>
      <c r="B135" t="s">
        <v>405</v>
      </c>
      <c r="C135">
        <v>0</v>
      </c>
      <c r="D135">
        <v>0</v>
      </c>
      <c r="E135">
        <v>0</v>
      </c>
      <c r="F135">
        <v>0</v>
      </c>
      <c r="G135">
        <v>10126</v>
      </c>
      <c r="H135">
        <v>0</v>
      </c>
      <c r="I135">
        <v>10126</v>
      </c>
      <c r="J135">
        <v>-10126</v>
      </c>
    </row>
    <row r="136" spans="1:10">
      <c r="A136" t="s">
        <v>333</v>
      </c>
      <c r="B136" t="s">
        <v>567</v>
      </c>
      <c r="C136">
        <v>0</v>
      </c>
      <c r="D136">
        <v>0</v>
      </c>
      <c r="E136">
        <v>0</v>
      </c>
      <c r="F136">
        <v>0</v>
      </c>
      <c r="G136">
        <v>3700</v>
      </c>
      <c r="H136">
        <v>0</v>
      </c>
      <c r="I136">
        <v>3700</v>
      </c>
      <c r="J136">
        <v>-3700</v>
      </c>
    </row>
    <row r="137" spans="1:10">
      <c r="A137" t="s">
        <v>1059</v>
      </c>
      <c r="B137" t="s">
        <v>230</v>
      </c>
      <c r="C137">
        <v>0</v>
      </c>
      <c r="D137">
        <v>0</v>
      </c>
      <c r="E137">
        <v>0</v>
      </c>
      <c r="F137">
        <v>0</v>
      </c>
      <c r="G137">
        <v>395878</v>
      </c>
      <c r="H137">
        <v>-12177</v>
      </c>
      <c r="I137">
        <v>383701</v>
      </c>
      <c r="J137">
        <v>-383701</v>
      </c>
    </row>
    <row r="138" spans="1:10">
      <c r="A138" t="s">
        <v>455</v>
      </c>
      <c r="B138" t="s">
        <v>159</v>
      </c>
      <c r="C138">
        <v>0</v>
      </c>
      <c r="D138">
        <v>0</v>
      </c>
      <c r="E138">
        <v>0</v>
      </c>
      <c r="F138">
        <v>0</v>
      </c>
      <c r="G138">
        <v>105975</v>
      </c>
      <c r="H138">
        <v>0</v>
      </c>
      <c r="I138">
        <v>105975</v>
      </c>
      <c r="J138">
        <v>-105975</v>
      </c>
    </row>
    <row r="139" spans="1:10">
      <c r="A139" t="s">
        <v>916</v>
      </c>
      <c r="B139" t="s">
        <v>955</v>
      </c>
      <c r="C139">
        <v>0</v>
      </c>
      <c r="D139">
        <v>0</v>
      </c>
      <c r="E139">
        <v>0</v>
      </c>
      <c r="F139">
        <v>0</v>
      </c>
      <c r="G139">
        <v>1</v>
      </c>
      <c r="H139">
        <v>0</v>
      </c>
      <c r="I139">
        <v>1</v>
      </c>
      <c r="J139">
        <v>-1</v>
      </c>
    </row>
    <row r="140" spans="1:10">
      <c r="A140" t="s">
        <v>888</v>
      </c>
      <c r="B140" t="s">
        <v>782</v>
      </c>
      <c r="C140">
        <v>0</v>
      </c>
      <c r="D140">
        <v>0</v>
      </c>
      <c r="E140">
        <v>0</v>
      </c>
      <c r="F140">
        <v>0</v>
      </c>
      <c r="G140">
        <v>583</v>
      </c>
      <c r="H140">
        <v>0</v>
      </c>
      <c r="I140">
        <v>583</v>
      </c>
      <c r="J140">
        <v>-583</v>
      </c>
    </row>
    <row r="141" spans="1:10">
      <c r="A141" t="s">
        <v>635</v>
      </c>
      <c r="B141" t="s">
        <v>27</v>
      </c>
      <c r="C141">
        <v>0</v>
      </c>
      <c r="D141">
        <v>0</v>
      </c>
      <c r="E141">
        <v>0</v>
      </c>
      <c r="F141">
        <v>0</v>
      </c>
      <c r="G141">
        <v>24</v>
      </c>
      <c r="H141">
        <v>0</v>
      </c>
      <c r="I141">
        <v>24</v>
      </c>
      <c r="J141">
        <v>-24</v>
      </c>
    </row>
    <row r="142" spans="1:10">
      <c r="A142" t="s">
        <v>819</v>
      </c>
      <c r="B142" t="s">
        <v>294</v>
      </c>
      <c r="C142">
        <v>0</v>
      </c>
      <c r="D142">
        <v>0</v>
      </c>
      <c r="E142">
        <v>0</v>
      </c>
      <c r="F142">
        <v>0</v>
      </c>
      <c r="G142">
        <v>19</v>
      </c>
      <c r="H142">
        <v>0</v>
      </c>
      <c r="I142">
        <v>19</v>
      </c>
      <c r="J142">
        <v>-19</v>
      </c>
    </row>
    <row r="143" spans="1:10">
      <c r="A143" t="s">
        <v>222</v>
      </c>
      <c r="B143" t="s">
        <v>734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</row>
  </sheetData>
  <sheetProtection sheet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46"/>
  <sheetViews>
    <sheetView workbookViewId="0"/>
  </sheetViews>
  <sheetFormatPr defaultRowHeight="15"/>
  <cols>
    <col min="1" max="1" width="6.85546875" style="75" customWidth="1"/>
    <col min="2" max="2" width="40.42578125" style="75" customWidth="1"/>
    <col min="3" max="3" width="8" style="75" customWidth="1"/>
    <col min="4" max="4" width="10.140625" style="75" customWidth="1"/>
    <col min="5" max="5" width="11.28515625" style="75" customWidth="1"/>
    <col min="6" max="6" width="11" style="75" customWidth="1"/>
    <col min="7" max="7" width="8.42578125" style="75" customWidth="1"/>
    <col min="8" max="8" width="9.5703125" style="75" customWidth="1"/>
    <col min="9" max="9" width="9.28515625" style="75" customWidth="1"/>
    <col min="10" max="10" width="8" style="75" customWidth="1"/>
    <col min="11" max="16384" width="9.140625" style="75"/>
  </cols>
  <sheetData>
    <row r="1" spans="1:10">
      <c r="A1" s="75" t="s">
        <v>1050</v>
      </c>
      <c r="B1" s="75" t="s">
        <v>495</v>
      </c>
      <c r="C1" s="75" t="s">
        <v>115</v>
      </c>
      <c r="D1" s="75" t="s">
        <v>342</v>
      </c>
      <c r="E1" s="75" t="s">
        <v>763</v>
      </c>
      <c r="F1" s="75" t="s">
        <v>938</v>
      </c>
      <c r="G1" s="75" t="s">
        <v>951</v>
      </c>
      <c r="H1" s="75" t="s">
        <v>434</v>
      </c>
      <c r="I1" s="75" t="s">
        <v>140</v>
      </c>
      <c r="J1" s="75" t="s">
        <v>575</v>
      </c>
    </row>
    <row r="2" spans="1:10">
      <c r="A2" s="75" t="s">
        <v>709</v>
      </c>
      <c r="B2" s="75" t="s">
        <v>214</v>
      </c>
      <c r="C2" s="75">
        <v>29691</v>
      </c>
      <c r="D2" s="75">
        <v>0</v>
      </c>
      <c r="E2" s="75">
        <v>0</v>
      </c>
      <c r="F2" s="75">
        <v>0</v>
      </c>
      <c r="G2" s="75">
        <v>0</v>
      </c>
      <c r="H2" s="75">
        <v>0</v>
      </c>
      <c r="I2" s="75">
        <v>0</v>
      </c>
      <c r="J2" s="75">
        <v>29691</v>
      </c>
    </row>
    <row r="3" spans="1:10">
      <c r="A3" s="75" t="s">
        <v>149</v>
      </c>
      <c r="B3" s="75" t="s">
        <v>816</v>
      </c>
      <c r="C3" s="75">
        <v>85381</v>
      </c>
      <c r="D3" s="75">
        <v>0</v>
      </c>
      <c r="E3" s="75">
        <v>0</v>
      </c>
      <c r="F3" s="75">
        <v>0</v>
      </c>
      <c r="G3" s="75">
        <v>0</v>
      </c>
      <c r="H3" s="75">
        <v>0</v>
      </c>
      <c r="I3" s="75">
        <v>0</v>
      </c>
      <c r="J3" s="75">
        <v>85381</v>
      </c>
    </row>
    <row r="4" spans="1:10">
      <c r="A4" s="75" t="s">
        <v>535</v>
      </c>
      <c r="B4" s="75" t="s">
        <v>11</v>
      </c>
      <c r="C4" s="75">
        <v>195557</v>
      </c>
      <c r="D4" s="75">
        <v>0</v>
      </c>
      <c r="E4" s="75">
        <v>0</v>
      </c>
      <c r="F4" s="75">
        <v>0</v>
      </c>
      <c r="G4" s="75">
        <v>128320</v>
      </c>
      <c r="H4" s="75">
        <v>0</v>
      </c>
      <c r="I4" s="75">
        <v>128320</v>
      </c>
      <c r="J4" s="75">
        <v>67237</v>
      </c>
    </row>
    <row r="5" spans="1:10">
      <c r="A5" s="75" t="s">
        <v>894</v>
      </c>
      <c r="B5" s="75" t="s">
        <v>44</v>
      </c>
      <c r="C5" s="75">
        <v>7150</v>
      </c>
      <c r="D5" s="75">
        <v>0</v>
      </c>
      <c r="E5" s="75">
        <v>0</v>
      </c>
      <c r="F5" s="75">
        <v>0</v>
      </c>
      <c r="G5" s="75">
        <v>0</v>
      </c>
      <c r="H5" s="75">
        <v>0</v>
      </c>
      <c r="I5" s="75">
        <v>0</v>
      </c>
      <c r="J5" s="75">
        <v>7150</v>
      </c>
    </row>
    <row r="6" spans="1:10">
      <c r="A6" s="75" t="s">
        <v>781</v>
      </c>
      <c r="B6" s="75" t="s">
        <v>624</v>
      </c>
      <c r="C6" s="75">
        <v>11909</v>
      </c>
      <c r="D6" s="75">
        <v>3641</v>
      </c>
      <c r="E6" s="75">
        <v>0</v>
      </c>
      <c r="F6" s="75">
        <v>3641</v>
      </c>
      <c r="G6" s="75">
        <v>0</v>
      </c>
      <c r="H6" s="75">
        <v>0</v>
      </c>
      <c r="I6" s="75">
        <v>0</v>
      </c>
      <c r="J6" s="75">
        <v>15550</v>
      </c>
    </row>
    <row r="7" spans="1:10">
      <c r="A7" s="75" t="s">
        <v>735</v>
      </c>
      <c r="B7" s="75" t="s">
        <v>30</v>
      </c>
      <c r="C7" s="75">
        <v>0</v>
      </c>
      <c r="D7" s="75">
        <v>3641</v>
      </c>
      <c r="E7" s="75">
        <v>0</v>
      </c>
      <c r="F7" s="75">
        <v>3641</v>
      </c>
      <c r="G7" s="75">
        <v>3641</v>
      </c>
      <c r="H7" s="75">
        <v>0</v>
      </c>
      <c r="I7" s="75">
        <v>3641</v>
      </c>
      <c r="J7" s="75">
        <v>0</v>
      </c>
    </row>
    <row r="8" spans="1:10">
      <c r="A8" s="75" t="s">
        <v>551</v>
      </c>
      <c r="B8" s="75" t="s">
        <v>403</v>
      </c>
      <c r="C8" s="75">
        <v>-7814</v>
      </c>
      <c r="D8" s="75">
        <v>0</v>
      </c>
      <c r="E8" s="75">
        <v>0</v>
      </c>
      <c r="F8" s="75">
        <v>0</v>
      </c>
      <c r="G8" s="75">
        <v>6024</v>
      </c>
      <c r="H8" s="75">
        <v>0</v>
      </c>
      <c r="I8" s="75">
        <v>6024</v>
      </c>
      <c r="J8" s="75">
        <v>-13838</v>
      </c>
    </row>
    <row r="9" spans="1:10">
      <c r="A9" s="75" t="s">
        <v>296</v>
      </c>
      <c r="B9" s="75" t="s">
        <v>1064</v>
      </c>
      <c r="C9" s="75">
        <v>-8539</v>
      </c>
      <c r="D9" s="75">
        <v>0</v>
      </c>
      <c r="E9" s="75">
        <v>0</v>
      </c>
      <c r="F9" s="75">
        <v>0</v>
      </c>
      <c r="G9" s="75">
        <v>4270</v>
      </c>
      <c r="H9" s="75">
        <v>0</v>
      </c>
      <c r="I9" s="75">
        <v>4270</v>
      </c>
      <c r="J9" s="75">
        <v>-12809</v>
      </c>
    </row>
    <row r="10" spans="1:10">
      <c r="A10" s="75" t="s">
        <v>132</v>
      </c>
      <c r="B10" s="75" t="s">
        <v>398</v>
      </c>
      <c r="C10" s="75">
        <v>-148726</v>
      </c>
      <c r="D10" s="75">
        <v>128320</v>
      </c>
      <c r="E10" s="75">
        <v>0</v>
      </c>
      <c r="F10" s="75">
        <v>128320</v>
      </c>
      <c r="G10" s="75">
        <v>38465</v>
      </c>
      <c r="H10" s="75">
        <v>0</v>
      </c>
      <c r="I10" s="75">
        <v>38465</v>
      </c>
      <c r="J10" s="75">
        <v>-58871</v>
      </c>
    </row>
    <row r="11" spans="1:10">
      <c r="A11" s="75" t="s">
        <v>780</v>
      </c>
      <c r="B11" s="75" t="s">
        <v>1072</v>
      </c>
      <c r="C11" s="75">
        <v>-2487</v>
      </c>
      <c r="D11" s="75">
        <v>0</v>
      </c>
      <c r="E11" s="75">
        <v>0</v>
      </c>
      <c r="F11" s="75">
        <v>0</v>
      </c>
      <c r="G11" s="75">
        <v>1194</v>
      </c>
      <c r="H11" s="75">
        <v>0</v>
      </c>
      <c r="I11" s="75">
        <v>1194</v>
      </c>
      <c r="J11" s="75">
        <v>-3681</v>
      </c>
    </row>
    <row r="12" spans="1:10">
      <c r="A12" s="75" t="s">
        <v>893</v>
      </c>
      <c r="B12" s="75" t="s">
        <v>640</v>
      </c>
      <c r="C12" s="75">
        <v>-5861</v>
      </c>
      <c r="D12" s="75">
        <v>0</v>
      </c>
      <c r="E12" s="75">
        <v>0</v>
      </c>
      <c r="F12" s="75">
        <v>0</v>
      </c>
      <c r="G12" s="75">
        <v>5619</v>
      </c>
      <c r="H12" s="75">
        <v>0</v>
      </c>
      <c r="I12" s="75">
        <v>5619</v>
      </c>
      <c r="J12" s="75">
        <v>-11480</v>
      </c>
    </row>
    <row r="13" spans="1:10">
      <c r="A13" s="75" t="s">
        <v>778</v>
      </c>
      <c r="B13" s="75" t="s">
        <v>68</v>
      </c>
      <c r="C13" s="75">
        <v>463</v>
      </c>
      <c r="D13" s="75">
        <v>76992</v>
      </c>
      <c r="E13" s="75">
        <v>0</v>
      </c>
      <c r="F13" s="75">
        <v>76992</v>
      </c>
      <c r="G13" s="75">
        <v>68283</v>
      </c>
      <c r="H13" s="75">
        <v>0</v>
      </c>
      <c r="I13" s="75">
        <v>68283</v>
      </c>
      <c r="J13" s="75">
        <v>9172</v>
      </c>
    </row>
    <row r="14" spans="1:10">
      <c r="A14" s="75" t="s">
        <v>1037</v>
      </c>
      <c r="B14" s="75" t="s">
        <v>661</v>
      </c>
      <c r="C14" s="75">
        <v>159</v>
      </c>
      <c r="D14" s="75">
        <v>681</v>
      </c>
      <c r="E14" s="75">
        <v>0</v>
      </c>
      <c r="F14" s="75">
        <v>681</v>
      </c>
      <c r="G14" s="75">
        <v>684</v>
      </c>
      <c r="H14" s="75">
        <v>0</v>
      </c>
      <c r="I14" s="75">
        <v>684</v>
      </c>
      <c r="J14" s="75">
        <v>156</v>
      </c>
    </row>
    <row r="15" spans="1:10">
      <c r="A15" s="75" t="s">
        <v>282</v>
      </c>
      <c r="B15" s="75" t="s">
        <v>1041</v>
      </c>
      <c r="C15" s="75">
        <v>109</v>
      </c>
      <c r="D15" s="75">
        <v>0</v>
      </c>
      <c r="E15" s="75">
        <v>0</v>
      </c>
      <c r="F15" s="75">
        <v>0</v>
      </c>
      <c r="G15" s="75">
        <v>45</v>
      </c>
      <c r="H15" s="75">
        <v>0</v>
      </c>
      <c r="I15" s="75">
        <v>45</v>
      </c>
      <c r="J15" s="75">
        <v>64</v>
      </c>
    </row>
    <row r="16" spans="1:10">
      <c r="A16" s="75" t="s">
        <v>1107</v>
      </c>
      <c r="B16" s="75" t="s">
        <v>1092</v>
      </c>
      <c r="C16" s="75">
        <v>706</v>
      </c>
      <c r="D16" s="75">
        <v>38</v>
      </c>
      <c r="E16" s="75">
        <v>0</v>
      </c>
      <c r="F16" s="75">
        <v>38</v>
      </c>
      <c r="G16" s="75">
        <v>36</v>
      </c>
      <c r="H16" s="75">
        <v>0</v>
      </c>
      <c r="I16" s="75">
        <v>36</v>
      </c>
      <c r="J16" s="75">
        <v>708</v>
      </c>
    </row>
    <row r="17" spans="1:10">
      <c r="A17" s="75" t="s">
        <v>402</v>
      </c>
      <c r="B17" s="75" t="s">
        <v>794</v>
      </c>
      <c r="C17" s="75">
        <v>3825</v>
      </c>
      <c r="D17" s="75">
        <v>950330</v>
      </c>
      <c r="E17" s="75">
        <v>0</v>
      </c>
      <c r="F17" s="75">
        <v>950330</v>
      </c>
      <c r="G17" s="75">
        <v>926588</v>
      </c>
      <c r="H17" s="75">
        <v>0</v>
      </c>
      <c r="I17" s="75">
        <v>926588</v>
      </c>
      <c r="J17" s="75">
        <v>27567</v>
      </c>
    </row>
    <row r="18" spans="1:10">
      <c r="A18" s="75" t="s">
        <v>96</v>
      </c>
      <c r="B18" s="75" t="s">
        <v>120</v>
      </c>
      <c r="C18" s="75">
        <v>0</v>
      </c>
      <c r="D18" s="75">
        <v>612</v>
      </c>
      <c r="E18" s="75">
        <v>0</v>
      </c>
      <c r="F18" s="75">
        <v>612</v>
      </c>
      <c r="G18" s="75">
        <v>612</v>
      </c>
      <c r="H18" s="75">
        <v>0</v>
      </c>
      <c r="I18" s="75">
        <v>612</v>
      </c>
      <c r="J18" s="75">
        <v>0</v>
      </c>
    </row>
    <row r="19" spans="1:10">
      <c r="A19" s="75" t="s">
        <v>138</v>
      </c>
      <c r="B19" s="75" t="s">
        <v>507</v>
      </c>
      <c r="C19" s="75">
        <v>105295</v>
      </c>
      <c r="D19" s="75">
        <v>993574</v>
      </c>
      <c r="E19" s="75">
        <v>-5931</v>
      </c>
      <c r="F19" s="75">
        <v>987643</v>
      </c>
      <c r="G19" s="75">
        <v>871185</v>
      </c>
      <c r="H19" s="75">
        <v>-2</v>
      </c>
      <c r="I19" s="75">
        <v>871183</v>
      </c>
      <c r="J19" s="75">
        <v>221755</v>
      </c>
    </row>
    <row r="20" spans="1:10">
      <c r="A20" s="75" t="s">
        <v>231</v>
      </c>
      <c r="B20" s="75" t="s">
        <v>433</v>
      </c>
      <c r="C20" s="75">
        <v>0</v>
      </c>
      <c r="D20" s="75">
        <v>90055</v>
      </c>
      <c r="E20" s="75">
        <v>0</v>
      </c>
      <c r="F20" s="75">
        <v>90055</v>
      </c>
      <c r="G20" s="75">
        <v>20560</v>
      </c>
      <c r="H20" s="75">
        <v>0</v>
      </c>
      <c r="I20" s="75">
        <v>20560</v>
      </c>
      <c r="J20" s="75">
        <v>69495</v>
      </c>
    </row>
    <row r="21" spans="1:10">
      <c r="A21" s="75" t="s">
        <v>1085</v>
      </c>
      <c r="B21" s="75" t="s">
        <v>834</v>
      </c>
      <c r="C21" s="75">
        <v>13904</v>
      </c>
      <c r="D21" s="75">
        <v>72778</v>
      </c>
      <c r="E21" s="75">
        <v>0</v>
      </c>
      <c r="F21" s="75">
        <v>72778</v>
      </c>
      <c r="G21" s="75">
        <v>74309</v>
      </c>
      <c r="H21" s="75">
        <v>-555</v>
      </c>
      <c r="I21" s="75">
        <v>73754</v>
      </c>
      <c r="J21" s="75">
        <v>12928</v>
      </c>
    </row>
    <row r="22" spans="1:10">
      <c r="A22" s="75" t="s">
        <v>860</v>
      </c>
      <c r="B22" s="75" t="s">
        <v>1063</v>
      </c>
      <c r="C22" s="75">
        <v>28995</v>
      </c>
      <c r="D22" s="75">
        <v>0</v>
      </c>
      <c r="E22" s="75">
        <v>0</v>
      </c>
      <c r="F22" s="75">
        <v>0</v>
      </c>
      <c r="G22" s="75">
        <v>2573</v>
      </c>
      <c r="H22" s="75">
        <v>0</v>
      </c>
      <c r="I22" s="75">
        <v>2573</v>
      </c>
      <c r="J22" s="75">
        <v>26422</v>
      </c>
    </row>
    <row r="23" spans="1:10">
      <c r="A23" s="75" t="s">
        <v>525</v>
      </c>
      <c r="B23" s="75" t="s">
        <v>29</v>
      </c>
      <c r="C23" s="75">
        <v>14799</v>
      </c>
      <c r="D23" s="75">
        <v>0</v>
      </c>
      <c r="E23" s="75">
        <v>0</v>
      </c>
      <c r="F23" s="75">
        <v>0</v>
      </c>
      <c r="G23" s="75">
        <v>3215</v>
      </c>
      <c r="H23" s="75">
        <v>0</v>
      </c>
      <c r="I23" s="75">
        <v>3215</v>
      </c>
      <c r="J23" s="75">
        <v>11584</v>
      </c>
    </row>
    <row r="24" spans="1:10">
      <c r="A24" s="75" t="s">
        <v>341</v>
      </c>
      <c r="B24" s="75" t="s">
        <v>302</v>
      </c>
      <c r="C24" s="75">
        <v>0</v>
      </c>
      <c r="D24" s="75">
        <v>88169</v>
      </c>
      <c r="E24" s="75">
        <v>-10715</v>
      </c>
      <c r="F24" s="75">
        <v>77454</v>
      </c>
      <c r="G24" s="75">
        <v>73923</v>
      </c>
      <c r="H24" s="75">
        <v>-5000</v>
      </c>
      <c r="I24" s="75">
        <v>68923</v>
      </c>
      <c r="J24" s="75">
        <v>8531</v>
      </c>
    </row>
    <row r="25" spans="1:10">
      <c r="A25" s="75" t="s">
        <v>957</v>
      </c>
      <c r="B25" s="75" t="s">
        <v>534</v>
      </c>
      <c r="C25" s="75">
        <v>30</v>
      </c>
      <c r="D25" s="75">
        <v>45237</v>
      </c>
      <c r="E25" s="75">
        <v>-16373</v>
      </c>
      <c r="F25" s="75">
        <v>28864</v>
      </c>
      <c r="G25" s="75">
        <v>43601</v>
      </c>
      <c r="H25" s="75">
        <v>-15020</v>
      </c>
      <c r="I25" s="75">
        <v>28581</v>
      </c>
      <c r="J25" s="75">
        <v>313</v>
      </c>
    </row>
    <row r="26" spans="1:10">
      <c r="A26" s="75" t="s">
        <v>1055</v>
      </c>
      <c r="B26" s="75" t="s">
        <v>864</v>
      </c>
      <c r="C26" s="75">
        <v>-15873</v>
      </c>
      <c r="D26" s="75">
        <v>210282</v>
      </c>
      <c r="E26" s="75">
        <v>0</v>
      </c>
      <c r="F26" s="75">
        <v>210282</v>
      </c>
      <c r="G26" s="75">
        <v>212107</v>
      </c>
      <c r="H26" s="75">
        <v>-1688</v>
      </c>
      <c r="I26" s="75">
        <v>210419</v>
      </c>
      <c r="J26" s="75">
        <v>-16010</v>
      </c>
    </row>
    <row r="27" spans="1:10">
      <c r="A27" s="75" t="s">
        <v>326</v>
      </c>
      <c r="B27" s="75" t="s">
        <v>649</v>
      </c>
      <c r="C27" s="75">
        <v>0</v>
      </c>
      <c r="D27" s="75">
        <v>5481</v>
      </c>
      <c r="E27" s="75">
        <v>0</v>
      </c>
      <c r="F27" s="75">
        <v>5481</v>
      </c>
      <c r="G27" s="75">
        <v>5481</v>
      </c>
      <c r="H27" s="75">
        <v>0</v>
      </c>
      <c r="I27" s="75">
        <v>5481</v>
      </c>
      <c r="J27" s="75">
        <v>0</v>
      </c>
    </row>
    <row r="28" spans="1:10">
      <c r="A28" s="75" t="s">
        <v>961</v>
      </c>
      <c r="B28" s="75" t="s">
        <v>910</v>
      </c>
      <c r="C28" s="75">
        <v>0</v>
      </c>
      <c r="D28" s="75">
        <v>209999</v>
      </c>
      <c r="E28" s="75">
        <v>0</v>
      </c>
      <c r="F28" s="75">
        <v>209999</v>
      </c>
      <c r="G28" s="75">
        <v>211048</v>
      </c>
      <c r="H28" s="75">
        <v>-1049</v>
      </c>
      <c r="I28" s="75">
        <v>209999</v>
      </c>
      <c r="J28" s="75">
        <v>0</v>
      </c>
    </row>
    <row r="29" spans="1:10">
      <c r="A29" s="75" t="s">
        <v>569</v>
      </c>
      <c r="B29" s="75" t="s">
        <v>985</v>
      </c>
      <c r="C29" s="75">
        <v>-130867</v>
      </c>
      <c r="D29" s="75">
        <v>389443</v>
      </c>
      <c r="E29" s="75">
        <v>0</v>
      </c>
      <c r="F29" s="75">
        <v>389443</v>
      </c>
      <c r="G29" s="75">
        <v>356103</v>
      </c>
      <c r="H29" s="75">
        <v>-4777</v>
      </c>
      <c r="I29" s="75">
        <v>351326</v>
      </c>
      <c r="J29" s="75">
        <v>-92750</v>
      </c>
    </row>
    <row r="30" spans="1:10">
      <c r="A30" s="75" t="s">
        <v>704</v>
      </c>
      <c r="B30" s="75" t="s">
        <v>890</v>
      </c>
      <c r="C30" s="75">
        <v>-806</v>
      </c>
      <c r="D30" s="75">
        <v>627</v>
      </c>
      <c r="E30" s="75">
        <v>0</v>
      </c>
      <c r="F30" s="75">
        <v>627</v>
      </c>
      <c r="G30" s="75">
        <v>95</v>
      </c>
      <c r="H30" s="75">
        <v>-14</v>
      </c>
      <c r="I30" s="75">
        <v>81</v>
      </c>
      <c r="J30" s="75">
        <v>-260</v>
      </c>
    </row>
    <row r="31" spans="1:10">
      <c r="A31" s="75" t="s">
        <v>0</v>
      </c>
      <c r="B31" s="75" t="s">
        <v>533</v>
      </c>
      <c r="C31" s="75">
        <v>0</v>
      </c>
      <c r="D31" s="75">
        <v>159754</v>
      </c>
      <c r="E31" s="75">
        <v>-902</v>
      </c>
      <c r="F31" s="75">
        <v>158852</v>
      </c>
      <c r="G31" s="75">
        <v>175868</v>
      </c>
      <c r="H31" s="75">
        <v>-17016</v>
      </c>
      <c r="I31" s="75">
        <v>158852</v>
      </c>
      <c r="J31" s="75">
        <v>0</v>
      </c>
    </row>
    <row r="32" spans="1:10">
      <c r="A32" s="75" t="s">
        <v>726</v>
      </c>
      <c r="B32" s="75" t="s">
        <v>749</v>
      </c>
      <c r="C32" s="75">
        <v>0</v>
      </c>
      <c r="D32" s="75">
        <v>53273</v>
      </c>
      <c r="E32" s="75">
        <v>0</v>
      </c>
      <c r="F32" s="75">
        <v>53273</v>
      </c>
      <c r="G32" s="75">
        <v>88307</v>
      </c>
      <c r="H32" s="75">
        <v>-10715</v>
      </c>
      <c r="I32" s="75">
        <v>77592</v>
      </c>
      <c r="J32" s="75">
        <v>-24319</v>
      </c>
    </row>
    <row r="33" spans="1:10">
      <c r="A33" s="75" t="s">
        <v>246</v>
      </c>
      <c r="B33" s="75" t="s">
        <v>722</v>
      </c>
      <c r="C33" s="75">
        <v>0</v>
      </c>
      <c r="D33" s="75">
        <v>42461</v>
      </c>
      <c r="E33" s="75">
        <v>-13722</v>
      </c>
      <c r="F33" s="75">
        <v>28739</v>
      </c>
      <c r="G33" s="75">
        <v>47037</v>
      </c>
      <c r="H33" s="75">
        <v>-16373</v>
      </c>
      <c r="I33" s="75">
        <v>30664</v>
      </c>
      <c r="J33" s="75">
        <v>-1925</v>
      </c>
    </row>
    <row r="34" spans="1:10">
      <c r="A34" s="75" t="s">
        <v>249</v>
      </c>
      <c r="B34" s="75" t="s">
        <v>82</v>
      </c>
      <c r="C34" s="75">
        <v>-888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-888</v>
      </c>
    </row>
    <row r="35" spans="1:10">
      <c r="A35" s="75" t="s">
        <v>516</v>
      </c>
      <c r="B35" s="75" t="s">
        <v>113</v>
      </c>
      <c r="C35" s="75">
        <v>-251</v>
      </c>
      <c r="D35" s="75">
        <v>251</v>
      </c>
      <c r="E35" s="75">
        <v>0</v>
      </c>
      <c r="F35" s="75">
        <v>251</v>
      </c>
      <c r="G35" s="75">
        <v>4452</v>
      </c>
      <c r="H35" s="75">
        <v>-212</v>
      </c>
      <c r="I35" s="75">
        <v>4240</v>
      </c>
      <c r="J35" s="75">
        <v>-4240</v>
      </c>
    </row>
    <row r="36" spans="1:10">
      <c r="A36" s="75" t="s">
        <v>673</v>
      </c>
      <c r="B36" s="75" t="s">
        <v>316</v>
      </c>
      <c r="C36" s="75">
        <v>-1300</v>
      </c>
      <c r="D36" s="75">
        <v>20551</v>
      </c>
      <c r="E36" s="75">
        <v>0</v>
      </c>
      <c r="F36" s="75">
        <v>20551</v>
      </c>
      <c r="G36" s="75">
        <v>20532</v>
      </c>
      <c r="H36" s="75">
        <v>0</v>
      </c>
      <c r="I36" s="75">
        <v>20532</v>
      </c>
      <c r="J36" s="75">
        <v>-1281</v>
      </c>
    </row>
    <row r="37" spans="1:10">
      <c r="A37" s="75" t="s">
        <v>1078</v>
      </c>
      <c r="B37" s="75" t="s">
        <v>213</v>
      </c>
      <c r="C37" s="75">
        <v>15</v>
      </c>
      <c r="D37" s="75">
        <v>200</v>
      </c>
      <c r="E37" s="75">
        <v>0</v>
      </c>
      <c r="F37" s="75">
        <v>200</v>
      </c>
      <c r="G37" s="75">
        <v>198</v>
      </c>
      <c r="H37" s="75">
        <v>0</v>
      </c>
      <c r="I37" s="75">
        <v>198</v>
      </c>
      <c r="J37" s="75">
        <v>17</v>
      </c>
    </row>
    <row r="38" spans="1:10">
      <c r="A38" s="75" t="s">
        <v>448</v>
      </c>
      <c r="B38" s="75" t="s">
        <v>827</v>
      </c>
      <c r="C38" s="75">
        <v>0</v>
      </c>
      <c r="D38" s="75">
        <v>13</v>
      </c>
      <c r="E38" s="75">
        <v>0</v>
      </c>
      <c r="F38" s="75">
        <v>13</v>
      </c>
      <c r="G38" s="75">
        <v>13</v>
      </c>
      <c r="H38" s="75">
        <v>0</v>
      </c>
      <c r="I38" s="75">
        <v>13</v>
      </c>
      <c r="J38" s="75">
        <v>0</v>
      </c>
    </row>
    <row r="39" spans="1:10">
      <c r="A39" s="75" t="s">
        <v>876</v>
      </c>
      <c r="B39" s="75" t="s">
        <v>1069</v>
      </c>
      <c r="C39" s="75">
        <v>-242</v>
      </c>
      <c r="D39" s="75">
        <v>242</v>
      </c>
      <c r="E39" s="75">
        <v>0</v>
      </c>
      <c r="F39" s="75">
        <v>242</v>
      </c>
      <c r="G39" s="75">
        <v>0</v>
      </c>
      <c r="H39" s="75">
        <v>0</v>
      </c>
      <c r="I39" s="75">
        <v>0</v>
      </c>
      <c r="J39" s="75">
        <v>0</v>
      </c>
    </row>
    <row r="40" spans="1:10">
      <c r="A40" s="75" t="s">
        <v>362</v>
      </c>
      <c r="B40" s="75" t="s">
        <v>1084</v>
      </c>
      <c r="C40" s="75">
        <v>0</v>
      </c>
      <c r="D40" s="75">
        <v>2617</v>
      </c>
      <c r="E40" s="75">
        <v>0</v>
      </c>
      <c r="F40" s="75">
        <v>2617</v>
      </c>
      <c r="G40" s="75">
        <v>3027</v>
      </c>
      <c r="H40" s="75">
        <v>-168</v>
      </c>
      <c r="I40" s="75">
        <v>2859</v>
      </c>
      <c r="J40" s="75">
        <v>-242</v>
      </c>
    </row>
    <row r="41" spans="1:10">
      <c r="A41" s="75" t="s">
        <v>22</v>
      </c>
      <c r="B41" s="75" t="s">
        <v>245</v>
      </c>
      <c r="C41" s="75">
        <v>-578</v>
      </c>
      <c r="D41" s="75">
        <v>6840</v>
      </c>
      <c r="E41" s="75">
        <v>0</v>
      </c>
      <c r="F41" s="75">
        <v>6840</v>
      </c>
      <c r="G41" s="75">
        <v>7371</v>
      </c>
      <c r="H41" s="75">
        <v>-530</v>
      </c>
      <c r="I41" s="75">
        <v>6841</v>
      </c>
      <c r="J41" s="75">
        <v>-579</v>
      </c>
    </row>
    <row r="42" spans="1:10">
      <c r="A42" s="75" t="s">
        <v>194</v>
      </c>
      <c r="B42" s="75" t="s">
        <v>1025</v>
      </c>
      <c r="C42" s="75">
        <v>20</v>
      </c>
      <c r="D42" s="75">
        <v>1</v>
      </c>
      <c r="E42" s="75">
        <v>0</v>
      </c>
      <c r="F42" s="75">
        <v>1</v>
      </c>
      <c r="G42" s="75">
        <v>20</v>
      </c>
      <c r="H42" s="75">
        <v>0</v>
      </c>
      <c r="I42" s="75">
        <v>20</v>
      </c>
      <c r="J42" s="75">
        <v>1</v>
      </c>
    </row>
    <row r="43" spans="1:10">
      <c r="A43" s="75" t="s">
        <v>676</v>
      </c>
      <c r="B43" s="75" t="s">
        <v>683</v>
      </c>
      <c r="C43" s="75">
        <v>19</v>
      </c>
      <c r="D43" s="75">
        <v>1</v>
      </c>
      <c r="E43" s="75">
        <v>0</v>
      </c>
      <c r="F43" s="75">
        <v>1</v>
      </c>
      <c r="G43" s="75">
        <v>1</v>
      </c>
      <c r="H43" s="75">
        <v>0</v>
      </c>
      <c r="I43" s="75">
        <v>1</v>
      </c>
      <c r="J43" s="75">
        <v>19</v>
      </c>
    </row>
    <row r="44" spans="1:10">
      <c r="A44" s="75" t="s">
        <v>515</v>
      </c>
      <c r="B44" s="75" t="s">
        <v>479</v>
      </c>
      <c r="C44" s="75">
        <v>-202</v>
      </c>
      <c r="D44" s="75">
        <v>2636</v>
      </c>
      <c r="E44" s="75">
        <v>0</v>
      </c>
      <c r="F44" s="75">
        <v>2636</v>
      </c>
      <c r="G44" s="75">
        <v>2657</v>
      </c>
      <c r="H44" s="75">
        <v>0</v>
      </c>
      <c r="I44" s="75">
        <v>2657</v>
      </c>
      <c r="J44" s="75">
        <v>-223</v>
      </c>
    </row>
    <row r="45" spans="1:10">
      <c r="A45" s="75" t="s">
        <v>401</v>
      </c>
      <c r="B45" s="75" t="s">
        <v>706</v>
      </c>
      <c r="C45" s="75">
        <v>0</v>
      </c>
      <c r="D45" s="75">
        <v>19966</v>
      </c>
      <c r="E45" s="75">
        <v>0</v>
      </c>
      <c r="F45" s="75">
        <v>19966</v>
      </c>
      <c r="G45" s="75">
        <v>19966</v>
      </c>
      <c r="H45" s="75">
        <v>0</v>
      </c>
      <c r="I45" s="75">
        <v>19966</v>
      </c>
      <c r="J45" s="75">
        <v>0</v>
      </c>
    </row>
    <row r="46" spans="1:10">
      <c r="A46" s="75" t="s">
        <v>1099</v>
      </c>
      <c r="B46" s="75" t="s">
        <v>1098</v>
      </c>
      <c r="C46" s="75">
        <v>-5778</v>
      </c>
      <c r="D46" s="75">
        <v>51139</v>
      </c>
      <c r="E46" s="75">
        <v>0</v>
      </c>
      <c r="F46" s="75">
        <v>51139</v>
      </c>
      <c r="G46" s="75">
        <v>54521</v>
      </c>
      <c r="H46" s="75">
        <v>-2681</v>
      </c>
      <c r="I46" s="75">
        <v>51840</v>
      </c>
      <c r="J46" s="75">
        <v>-6479</v>
      </c>
    </row>
    <row r="47" spans="1:10">
      <c r="A47" s="75" t="s">
        <v>75</v>
      </c>
      <c r="B47" s="75" t="s">
        <v>59</v>
      </c>
      <c r="C47" s="75">
        <v>0</v>
      </c>
      <c r="D47" s="75">
        <v>65747</v>
      </c>
      <c r="E47" s="75">
        <v>0</v>
      </c>
      <c r="F47" s="75">
        <v>65747</v>
      </c>
      <c r="G47" s="75">
        <v>66548</v>
      </c>
      <c r="H47" s="75">
        <v>-801</v>
      </c>
      <c r="I47" s="75">
        <v>65747</v>
      </c>
      <c r="J47" s="75">
        <v>0</v>
      </c>
    </row>
    <row r="48" spans="1:10">
      <c r="A48" s="75" t="s">
        <v>171</v>
      </c>
      <c r="B48" s="75" t="s">
        <v>268</v>
      </c>
      <c r="C48" s="75">
        <v>0</v>
      </c>
      <c r="D48" s="75">
        <v>88916</v>
      </c>
      <c r="E48" s="75">
        <v>0</v>
      </c>
      <c r="F48" s="75">
        <v>88916</v>
      </c>
      <c r="G48" s="75">
        <v>88916</v>
      </c>
      <c r="H48" s="75">
        <v>0</v>
      </c>
      <c r="I48" s="75">
        <v>88916</v>
      </c>
      <c r="J48" s="75">
        <v>0</v>
      </c>
    </row>
    <row r="49" spans="1:10">
      <c r="A49" s="75" t="s">
        <v>677</v>
      </c>
      <c r="B49" s="75" t="s">
        <v>10</v>
      </c>
      <c r="C49" s="75">
        <v>0</v>
      </c>
      <c r="D49" s="75">
        <v>54953</v>
      </c>
      <c r="E49" s="75">
        <v>-405</v>
      </c>
      <c r="F49" s="75">
        <v>54548</v>
      </c>
      <c r="G49" s="75">
        <v>54548</v>
      </c>
      <c r="H49" s="75">
        <v>0</v>
      </c>
      <c r="I49" s="75">
        <v>54548</v>
      </c>
      <c r="J49" s="75">
        <v>0</v>
      </c>
    </row>
    <row r="50" spans="1:10">
      <c r="A50" s="75" t="s">
        <v>1101</v>
      </c>
      <c r="B50" s="75" t="s">
        <v>936</v>
      </c>
      <c r="C50" s="75">
        <v>0</v>
      </c>
      <c r="D50" s="75">
        <v>66548</v>
      </c>
      <c r="E50" s="75">
        <v>-801</v>
      </c>
      <c r="F50" s="75">
        <v>65747</v>
      </c>
      <c r="G50" s="75">
        <v>65747</v>
      </c>
      <c r="H50" s="75">
        <v>0</v>
      </c>
      <c r="I50" s="75">
        <v>65747</v>
      </c>
      <c r="J50" s="75">
        <v>0</v>
      </c>
    </row>
    <row r="51" spans="1:10">
      <c r="A51" s="75" t="s">
        <v>374</v>
      </c>
      <c r="B51" s="75" t="s">
        <v>355</v>
      </c>
      <c r="C51" s="75">
        <v>-143</v>
      </c>
      <c r="D51" s="75">
        <v>143</v>
      </c>
      <c r="E51" s="75">
        <v>0</v>
      </c>
      <c r="F51" s="75">
        <v>143</v>
      </c>
      <c r="G51" s="75">
        <v>143</v>
      </c>
      <c r="H51" s="75">
        <v>0</v>
      </c>
      <c r="I51" s="75">
        <v>143</v>
      </c>
      <c r="J51" s="75">
        <v>-143</v>
      </c>
    </row>
    <row r="52" spans="1:10">
      <c r="A52" s="75" t="s">
        <v>544</v>
      </c>
      <c r="B52" s="75" t="s">
        <v>1048</v>
      </c>
      <c r="C52" s="75">
        <v>-497909</v>
      </c>
      <c r="D52" s="75">
        <v>0</v>
      </c>
      <c r="E52" s="75">
        <v>0</v>
      </c>
      <c r="F52" s="75">
        <v>0</v>
      </c>
      <c r="G52" s="75">
        <v>0</v>
      </c>
      <c r="H52" s="75">
        <v>0</v>
      </c>
      <c r="I52" s="75">
        <v>0</v>
      </c>
      <c r="J52" s="75">
        <v>-497909</v>
      </c>
    </row>
    <row r="53" spans="1:10">
      <c r="A53" s="75" t="s">
        <v>340</v>
      </c>
      <c r="B53" s="75" t="s">
        <v>322</v>
      </c>
      <c r="C53" s="75">
        <v>0</v>
      </c>
      <c r="D53" s="75">
        <v>6300</v>
      </c>
      <c r="E53" s="75">
        <v>-3000</v>
      </c>
      <c r="F53" s="75">
        <v>3300</v>
      </c>
      <c r="G53" s="75">
        <v>3300</v>
      </c>
      <c r="H53" s="75">
        <v>0</v>
      </c>
      <c r="I53" s="75">
        <v>3300</v>
      </c>
      <c r="J53" s="75">
        <v>0</v>
      </c>
    </row>
    <row r="54" spans="1:10">
      <c r="A54" s="75" t="s">
        <v>852</v>
      </c>
      <c r="B54" s="75" t="s">
        <v>1021</v>
      </c>
      <c r="C54" s="75">
        <v>-172608</v>
      </c>
      <c r="D54" s="75">
        <v>0</v>
      </c>
      <c r="E54" s="75">
        <v>0</v>
      </c>
      <c r="F54" s="75">
        <v>0</v>
      </c>
      <c r="G54" s="75">
        <v>0</v>
      </c>
      <c r="H54" s="75">
        <v>0</v>
      </c>
      <c r="I54" s="75">
        <v>0</v>
      </c>
      <c r="J54" s="75">
        <v>-172608</v>
      </c>
    </row>
    <row r="55" spans="1:10">
      <c r="A55" s="75" t="s">
        <v>388</v>
      </c>
      <c r="B55" s="75" t="s">
        <v>755</v>
      </c>
      <c r="C55" s="75">
        <v>-165970</v>
      </c>
      <c r="D55" s="75">
        <v>0</v>
      </c>
      <c r="E55" s="75">
        <v>0</v>
      </c>
      <c r="F55" s="75">
        <v>0</v>
      </c>
      <c r="G55" s="75">
        <v>0</v>
      </c>
      <c r="H55" s="75">
        <v>0</v>
      </c>
      <c r="I55" s="75">
        <v>0</v>
      </c>
      <c r="J55" s="75">
        <v>-165970</v>
      </c>
    </row>
    <row r="56" spans="1:10">
      <c r="A56" s="75" t="s">
        <v>1083</v>
      </c>
      <c r="B56" s="75" t="s">
        <v>37</v>
      </c>
      <c r="C56" s="75">
        <v>-664</v>
      </c>
      <c r="D56" s="75">
        <v>0</v>
      </c>
      <c r="E56" s="75">
        <v>0</v>
      </c>
      <c r="F56" s="75">
        <v>0</v>
      </c>
      <c r="G56" s="75">
        <v>0</v>
      </c>
      <c r="H56" s="75">
        <v>0</v>
      </c>
      <c r="I56" s="75">
        <v>0</v>
      </c>
      <c r="J56" s="75">
        <v>-664</v>
      </c>
    </row>
    <row r="57" spans="1:10">
      <c r="A57" s="75" t="s">
        <v>437</v>
      </c>
      <c r="B57" s="75" t="s">
        <v>476</v>
      </c>
      <c r="C57" s="75">
        <v>0</v>
      </c>
      <c r="D57" s="75">
        <v>66</v>
      </c>
      <c r="E57" s="75">
        <v>0</v>
      </c>
      <c r="F57" s="75">
        <v>66</v>
      </c>
      <c r="G57" s="75">
        <v>66</v>
      </c>
      <c r="H57" s="75">
        <v>0</v>
      </c>
      <c r="I57" s="75">
        <v>66</v>
      </c>
      <c r="J57" s="75">
        <v>0</v>
      </c>
    </row>
    <row r="58" spans="1:10">
      <c r="A58" s="75" t="s">
        <v>668</v>
      </c>
      <c r="B58" s="75" t="s">
        <v>295</v>
      </c>
      <c r="C58" s="75">
        <v>5281</v>
      </c>
      <c r="D58" s="75">
        <v>17169</v>
      </c>
      <c r="E58" s="75">
        <v>-1313</v>
      </c>
      <c r="F58" s="75">
        <v>15856</v>
      </c>
      <c r="G58" s="75">
        <v>16524</v>
      </c>
      <c r="H58" s="75">
        <v>0</v>
      </c>
      <c r="I58" s="75">
        <v>16524</v>
      </c>
      <c r="J58" s="75">
        <v>4613</v>
      </c>
    </row>
    <row r="59" spans="1:10">
      <c r="A59" s="75" t="s">
        <v>815</v>
      </c>
      <c r="B59" s="75" t="s">
        <v>788</v>
      </c>
      <c r="C59" s="75">
        <v>0</v>
      </c>
      <c r="D59" s="75">
        <v>173204</v>
      </c>
      <c r="E59" s="75">
        <v>-17016</v>
      </c>
      <c r="F59" s="75">
        <v>156188</v>
      </c>
      <c r="G59" s="75">
        <v>164114</v>
      </c>
      <c r="H59" s="75">
        <v>-7926</v>
      </c>
      <c r="I59" s="75">
        <v>156188</v>
      </c>
      <c r="J59" s="75">
        <v>0</v>
      </c>
    </row>
    <row r="60" spans="1:10">
      <c r="A60" s="75" t="s">
        <v>119</v>
      </c>
      <c r="B60" s="75" t="s">
        <v>585</v>
      </c>
      <c r="C60" s="75">
        <v>137277</v>
      </c>
      <c r="D60" s="75">
        <v>0</v>
      </c>
      <c r="E60" s="75">
        <v>0</v>
      </c>
      <c r="F60" s="75">
        <v>0</v>
      </c>
      <c r="G60" s="75">
        <v>45759</v>
      </c>
      <c r="H60" s="75">
        <v>0</v>
      </c>
      <c r="I60" s="75">
        <v>45759</v>
      </c>
      <c r="J60" s="75">
        <v>91518</v>
      </c>
    </row>
    <row r="61" spans="1:10">
      <c r="A61" s="75" t="s">
        <v>1105</v>
      </c>
      <c r="B61" s="75" t="s">
        <v>833</v>
      </c>
      <c r="C61" s="75">
        <v>0</v>
      </c>
      <c r="D61" s="75">
        <v>0</v>
      </c>
      <c r="E61" s="75">
        <v>0</v>
      </c>
      <c r="F61" s="75">
        <v>0</v>
      </c>
      <c r="G61" s="75">
        <v>0</v>
      </c>
      <c r="H61" s="75">
        <v>0</v>
      </c>
      <c r="I61" s="75">
        <v>0</v>
      </c>
      <c r="J61" s="75">
        <v>0</v>
      </c>
    </row>
    <row r="62" spans="1:10">
      <c r="A62" s="75" t="s">
        <v>334</v>
      </c>
      <c r="B62" s="75" t="s">
        <v>64</v>
      </c>
      <c r="C62" s="75">
        <v>0</v>
      </c>
      <c r="D62" s="75">
        <v>0</v>
      </c>
      <c r="E62" s="75">
        <v>0</v>
      </c>
      <c r="F62" s="75">
        <v>0</v>
      </c>
      <c r="G62" s="75">
        <v>5281</v>
      </c>
      <c r="H62" s="75">
        <v>0</v>
      </c>
      <c r="I62" s="75">
        <v>5281</v>
      </c>
      <c r="J62" s="75">
        <v>-5281</v>
      </c>
    </row>
    <row r="63" spans="1:10">
      <c r="A63" s="75" t="s">
        <v>200</v>
      </c>
      <c r="B63" s="75" t="s">
        <v>742</v>
      </c>
      <c r="C63" s="75">
        <v>0</v>
      </c>
      <c r="D63" s="75">
        <v>0</v>
      </c>
      <c r="E63" s="75">
        <v>0</v>
      </c>
      <c r="F63" s="75">
        <v>0</v>
      </c>
      <c r="G63" s="75">
        <v>560</v>
      </c>
      <c r="H63" s="75">
        <v>-560</v>
      </c>
      <c r="I63" s="75">
        <v>0</v>
      </c>
      <c r="J63" s="75">
        <v>0</v>
      </c>
    </row>
    <row r="64" spans="1:10">
      <c r="A64" s="75" t="s">
        <v>237</v>
      </c>
      <c r="B64" s="75" t="s">
        <v>109</v>
      </c>
      <c r="C64" s="75">
        <v>0</v>
      </c>
      <c r="D64" s="75">
        <v>0</v>
      </c>
      <c r="E64" s="75">
        <v>0</v>
      </c>
      <c r="F64" s="75">
        <v>0</v>
      </c>
      <c r="G64" s="75">
        <v>0</v>
      </c>
      <c r="H64" s="75">
        <v>0</v>
      </c>
      <c r="I64" s="75">
        <v>0</v>
      </c>
      <c r="J64" s="75">
        <v>0</v>
      </c>
    </row>
    <row r="65" spans="1:10">
      <c r="A65" s="75" t="s">
        <v>182</v>
      </c>
      <c r="B65" s="75" t="s">
        <v>950</v>
      </c>
      <c r="C65" s="75">
        <v>0</v>
      </c>
      <c r="D65" s="75">
        <v>0</v>
      </c>
      <c r="E65" s="75">
        <v>0</v>
      </c>
      <c r="F65" s="75">
        <v>0</v>
      </c>
      <c r="G65" s="75">
        <v>0</v>
      </c>
      <c r="H65" s="75">
        <v>0</v>
      </c>
      <c r="I65" s="75">
        <v>0</v>
      </c>
      <c r="J65" s="75">
        <v>0</v>
      </c>
    </row>
    <row r="66" spans="1:10">
      <c r="A66" s="75" t="s">
        <v>387</v>
      </c>
      <c r="B66" s="75" t="s">
        <v>947</v>
      </c>
      <c r="C66" s="75">
        <v>0</v>
      </c>
      <c r="D66" s="75">
        <v>20943</v>
      </c>
      <c r="E66" s="75">
        <v>0</v>
      </c>
      <c r="F66" s="75">
        <v>20943</v>
      </c>
      <c r="G66" s="75">
        <v>26373</v>
      </c>
      <c r="H66" s="75">
        <v>-5430</v>
      </c>
      <c r="I66" s="75">
        <v>20943</v>
      </c>
      <c r="J66" s="75">
        <v>0</v>
      </c>
    </row>
    <row r="67" spans="1:10">
      <c r="A67" s="75" t="s">
        <v>60</v>
      </c>
      <c r="B67" s="75" t="s">
        <v>478</v>
      </c>
      <c r="C67" s="75">
        <v>-6640</v>
      </c>
      <c r="D67" s="75">
        <v>0</v>
      </c>
      <c r="E67" s="75">
        <v>0</v>
      </c>
      <c r="F67" s="75">
        <v>0</v>
      </c>
      <c r="G67" s="75">
        <v>0</v>
      </c>
      <c r="H67" s="75">
        <v>0</v>
      </c>
      <c r="I67" s="75">
        <v>0</v>
      </c>
      <c r="J67" s="75">
        <v>-6640</v>
      </c>
    </row>
    <row r="68" spans="1:10">
      <c r="A68" s="75" t="s">
        <v>979</v>
      </c>
      <c r="B68" s="75" t="s">
        <v>810</v>
      </c>
      <c r="C68" s="75">
        <v>-410</v>
      </c>
      <c r="D68" s="75">
        <v>0</v>
      </c>
      <c r="E68" s="75">
        <v>0</v>
      </c>
      <c r="F68" s="75">
        <v>0</v>
      </c>
      <c r="G68" s="75">
        <v>0</v>
      </c>
      <c r="H68" s="75">
        <v>0</v>
      </c>
      <c r="I68" s="75">
        <v>0</v>
      </c>
      <c r="J68" s="75">
        <v>-410</v>
      </c>
    </row>
    <row r="69" spans="1:10">
      <c r="A69" s="75" t="s">
        <v>490</v>
      </c>
      <c r="B69" s="75" t="s">
        <v>345</v>
      </c>
      <c r="C69" s="75">
        <v>-7789</v>
      </c>
      <c r="D69" s="75">
        <v>0</v>
      </c>
      <c r="E69" s="75">
        <v>0</v>
      </c>
      <c r="F69" s="75">
        <v>0</v>
      </c>
      <c r="G69" s="75">
        <v>0</v>
      </c>
      <c r="H69" s="75">
        <v>0</v>
      </c>
      <c r="I69" s="75">
        <v>0</v>
      </c>
      <c r="J69" s="75">
        <v>-7789</v>
      </c>
    </row>
    <row r="70" spans="1:10">
      <c r="A70" s="75" t="s">
        <v>397</v>
      </c>
      <c r="B70" s="75" t="s">
        <v>1024</v>
      </c>
      <c r="C70" s="75">
        <v>4888</v>
      </c>
      <c r="D70" s="75">
        <v>0</v>
      </c>
      <c r="E70" s="75">
        <v>0</v>
      </c>
      <c r="F70" s="75">
        <v>0</v>
      </c>
      <c r="G70" s="75">
        <v>0</v>
      </c>
      <c r="H70" s="75">
        <v>0</v>
      </c>
      <c r="I70" s="75">
        <v>0</v>
      </c>
      <c r="J70" s="75">
        <v>4888</v>
      </c>
    </row>
    <row r="71" spans="1:10">
      <c r="A71" s="75" t="s">
        <v>991</v>
      </c>
      <c r="B71" s="75" t="s">
        <v>373</v>
      </c>
      <c r="C71" s="75">
        <v>170012</v>
      </c>
      <c r="D71" s="75">
        <v>0</v>
      </c>
      <c r="E71" s="75">
        <v>0</v>
      </c>
      <c r="F71" s="75">
        <v>0</v>
      </c>
      <c r="G71" s="75">
        <v>0</v>
      </c>
      <c r="H71" s="75">
        <v>0</v>
      </c>
      <c r="I71" s="75">
        <v>0</v>
      </c>
      <c r="J71" s="75">
        <v>170012</v>
      </c>
    </row>
    <row r="72" spans="1:10">
      <c r="A72" s="75" t="s">
        <v>510</v>
      </c>
      <c r="B72" s="75" t="s">
        <v>867</v>
      </c>
      <c r="C72" s="75">
        <v>499618</v>
      </c>
      <c r="D72" s="75">
        <v>0</v>
      </c>
      <c r="E72" s="75">
        <v>0</v>
      </c>
      <c r="F72" s="75">
        <v>0</v>
      </c>
      <c r="G72" s="75">
        <v>0</v>
      </c>
      <c r="H72" s="75">
        <v>0</v>
      </c>
      <c r="I72" s="75">
        <v>0</v>
      </c>
      <c r="J72" s="75">
        <v>499618</v>
      </c>
    </row>
    <row r="73" spans="1:10">
      <c r="A73" s="75" t="s">
        <v>937</v>
      </c>
      <c r="B73" s="75" t="s">
        <v>1030</v>
      </c>
      <c r="C73" s="75">
        <v>14404</v>
      </c>
      <c r="D73" s="75">
        <v>0</v>
      </c>
      <c r="E73" s="75">
        <v>0</v>
      </c>
      <c r="F73" s="75">
        <v>0</v>
      </c>
      <c r="G73" s="75">
        <v>0</v>
      </c>
      <c r="H73" s="75">
        <v>0</v>
      </c>
      <c r="I73" s="75">
        <v>0</v>
      </c>
      <c r="J73" s="75">
        <v>14404</v>
      </c>
    </row>
    <row r="74" spans="1:10">
      <c r="A74" s="75" t="s">
        <v>286</v>
      </c>
      <c r="B74" s="75" t="s">
        <v>859</v>
      </c>
      <c r="C74" s="75">
        <v>0</v>
      </c>
      <c r="D74" s="75">
        <v>4093</v>
      </c>
      <c r="E74" s="75">
        <v>0</v>
      </c>
      <c r="F74" s="75">
        <v>4093</v>
      </c>
      <c r="G74" s="75">
        <v>0</v>
      </c>
      <c r="H74" s="75">
        <v>0</v>
      </c>
      <c r="I74" s="75">
        <v>0</v>
      </c>
      <c r="J74" s="75">
        <v>4093</v>
      </c>
    </row>
    <row r="75" spans="1:10">
      <c r="A75" s="75" t="s">
        <v>596</v>
      </c>
      <c r="B75" s="75" t="s">
        <v>266</v>
      </c>
      <c r="C75" s="75">
        <v>4093</v>
      </c>
      <c r="D75" s="75">
        <v>0</v>
      </c>
      <c r="E75" s="75">
        <v>0</v>
      </c>
      <c r="F75" s="75">
        <v>0</v>
      </c>
      <c r="G75" s="75">
        <v>4093</v>
      </c>
      <c r="H75" s="75">
        <v>0</v>
      </c>
      <c r="I75" s="75">
        <v>4093</v>
      </c>
      <c r="J75" s="75">
        <v>0</v>
      </c>
    </row>
    <row r="76" spans="1:10">
      <c r="A76" s="75" t="s">
        <v>623</v>
      </c>
      <c r="B76" s="75" t="s">
        <v>416</v>
      </c>
      <c r="C76" s="75">
        <v>-158</v>
      </c>
      <c r="D76" s="75">
        <v>198</v>
      </c>
      <c r="E76" s="75">
        <v>0</v>
      </c>
      <c r="F76" s="75">
        <v>198</v>
      </c>
      <c r="G76" s="75">
        <v>108</v>
      </c>
      <c r="H76" s="75">
        <v>0</v>
      </c>
      <c r="I76" s="75">
        <v>108</v>
      </c>
      <c r="J76" s="75">
        <v>-68</v>
      </c>
    </row>
    <row r="77" spans="1:10">
      <c r="A77" s="75" t="s">
        <v>470</v>
      </c>
      <c r="B77" s="75" t="s">
        <v>1079</v>
      </c>
      <c r="C77" s="75">
        <v>-151097</v>
      </c>
      <c r="D77" s="75">
        <v>0</v>
      </c>
      <c r="E77" s="75">
        <v>0</v>
      </c>
      <c r="F77" s="75">
        <v>0</v>
      </c>
      <c r="G77" s="75">
        <v>8513</v>
      </c>
      <c r="H77" s="75">
        <v>0</v>
      </c>
      <c r="I77" s="75">
        <v>8513</v>
      </c>
      <c r="J77" s="75">
        <v>-159610</v>
      </c>
    </row>
    <row r="78" spans="1:10">
      <c r="A78" s="75" t="s">
        <v>956</v>
      </c>
      <c r="B78" s="75" t="s">
        <v>95</v>
      </c>
      <c r="C78" s="75">
        <v>0</v>
      </c>
      <c r="D78" s="75">
        <v>94</v>
      </c>
      <c r="E78" s="75">
        <v>0</v>
      </c>
      <c r="F78" s="75">
        <v>94</v>
      </c>
      <c r="G78" s="75">
        <v>0</v>
      </c>
      <c r="H78" s="75">
        <v>0</v>
      </c>
      <c r="I78" s="75">
        <v>0</v>
      </c>
      <c r="J78" s="75">
        <v>94</v>
      </c>
    </row>
    <row r="79" spans="1:10">
      <c r="A79" s="75" t="s">
        <v>1091</v>
      </c>
      <c r="B79" s="75" t="s">
        <v>361</v>
      </c>
      <c r="C79" s="75">
        <v>0</v>
      </c>
      <c r="D79" s="75">
        <v>469</v>
      </c>
      <c r="E79" s="75">
        <v>0</v>
      </c>
      <c r="F79" s="75">
        <v>469</v>
      </c>
      <c r="G79" s="75">
        <v>0</v>
      </c>
      <c r="H79" s="75">
        <v>0</v>
      </c>
      <c r="I79" s="75">
        <v>0</v>
      </c>
      <c r="J79" s="75">
        <v>469</v>
      </c>
    </row>
    <row r="80" spans="1:10">
      <c r="A80" s="75" t="s">
        <v>378</v>
      </c>
      <c r="B80" s="75" t="s">
        <v>225</v>
      </c>
      <c r="C80" s="75">
        <v>0</v>
      </c>
      <c r="D80" s="75">
        <v>206</v>
      </c>
      <c r="E80" s="75">
        <v>0</v>
      </c>
      <c r="F80" s="75">
        <v>206</v>
      </c>
      <c r="G80" s="75">
        <v>0</v>
      </c>
      <c r="H80" s="75">
        <v>0</v>
      </c>
      <c r="I80" s="75">
        <v>0</v>
      </c>
      <c r="J80" s="75">
        <v>206</v>
      </c>
    </row>
    <row r="81" spans="1:10">
      <c r="A81" s="75" t="s">
        <v>858</v>
      </c>
      <c r="B81" s="75" t="s">
        <v>574</v>
      </c>
      <c r="C81" s="75">
        <v>0</v>
      </c>
      <c r="D81" s="75">
        <v>2203</v>
      </c>
      <c r="E81" s="75">
        <v>0</v>
      </c>
      <c r="F81" s="75">
        <v>2203</v>
      </c>
      <c r="G81" s="75">
        <v>0</v>
      </c>
      <c r="H81" s="75">
        <v>0</v>
      </c>
      <c r="I81" s="75">
        <v>0</v>
      </c>
      <c r="J81" s="75">
        <v>2203</v>
      </c>
    </row>
    <row r="82" spans="1:10">
      <c r="A82" s="75" t="s">
        <v>531</v>
      </c>
      <c r="B82" s="75" t="s">
        <v>212</v>
      </c>
      <c r="C82" s="75">
        <v>0</v>
      </c>
      <c r="D82" s="75">
        <v>142</v>
      </c>
      <c r="E82" s="75">
        <v>0</v>
      </c>
      <c r="F82" s="75">
        <v>142</v>
      </c>
      <c r="G82" s="75">
        <v>0</v>
      </c>
      <c r="H82" s="75">
        <v>0</v>
      </c>
      <c r="I82" s="75">
        <v>0</v>
      </c>
      <c r="J82" s="75">
        <v>142</v>
      </c>
    </row>
    <row r="83" spans="1:10">
      <c r="A83" s="75" t="s">
        <v>1044</v>
      </c>
      <c r="B83" s="75" t="s">
        <v>1113</v>
      </c>
      <c r="C83" s="75">
        <v>0</v>
      </c>
      <c r="D83" s="75">
        <v>105</v>
      </c>
      <c r="E83" s="75">
        <v>0</v>
      </c>
      <c r="F83" s="75">
        <v>105</v>
      </c>
      <c r="G83" s="75">
        <v>0</v>
      </c>
      <c r="H83" s="75">
        <v>0</v>
      </c>
      <c r="I83" s="75">
        <v>0</v>
      </c>
      <c r="J83" s="75">
        <v>105</v>
      </c>
    </row>
    <row r="84" spans="1:10">
      <c r="A84" s="75" t="s">
        <v>568</v>
      </c>
      <c r="B84" s="75" t="s">
        <v>178</v>
      </c>
      <c r="C84" s="75">
        <v>0</v>
      </c>
      <c r="D84" s="75">
        <v>2797</v>
      </c>
      <c r="E84" s="75">
        <v>0</v>
      </c>
      <c r="F84" s="75">
        <v>2797</v>
      </c>
      <c r="G84" s="75">
        <v>0</v>
      </c>
      <c r="H84" s="75">
        <v>0</v>
      </c>
      <c r="I84" s="75">
        <v>0</v>
      </c>
      <c r="J84" s="75">
        <v>2797</v>
      </c>
    </row>
    <row r="85" spans="1:10">
      <c r="A85" s="75" t="s">
        <v>584</v>
      </c>
      <c r="B85" s="75" t="s">
        <v>207</v>
      </c>
      <c r="C85" s="75">
        <v>0</v>
      </c>
      <c r="D85" s="75">
        <v>20167</v>
      </c>
      <c r="E85" s="75">
        <v>-2300</v>
      </c>
      <c r="F85" s="75">
        <v>17867</v>
      </c>
      <c r="G85" s="75">
        <v>0</v>
      </c>
      <c r="H85" s="75">
        <v>0</v>
      </c>
      <c r="I85" s="75">
        <v>0</v>
      </c>
      <c r="J85" s="75">
        <v>17867</v>
      </c>
    </row>
    <row r="86" spans="1:10">
      <c r="A86" s="75" t="s">
        <v>257</v>
      </c>
      <c r="B86" s="75" t="s">
        <v>265</v>
      </c>
      <c r="C86" s="75">
        <v>0</v>
      </c>
      <c r="D86" s="75">
        <v>465</v>
      </c>
      <c r="E86" s="75">
        <v>-470</v>
      </c>
      <c r="F86" s="75">
        <v>-5</v>
      </c>
      <c r="G86" s="75">
        <v>0</v>
      </c>
      <c r="H86" s="75">
        <v>0</v>
      </c>
      <c r="I86" s="75">
        <v>0</v>
      </c>
      <c r="J86" s="75">
        <v>-5</v>
      </c>
    </row>
    <row r="87" spans="1:10">
      <c r="A87" s="75" t="s">
        <v>777</v>
      </c>
      <c r="B87" s="75" t="s">
        <v>344</v>
      </c>
      <c r="C87" s="75">
        <v>0</v>
      </c>
      <c r="D87" s="75">
        <v>355</v>
      </c>
      <c r="E87" s="75">
        <v>-135</v>
      </c>
      <c r="F87" s="75">
        <v>220</v>
      </c>
      <c r="G87" s="75">
        <v>0</v>
      </c>
      <c r="H87" s="75">
        <v>0</v>
      </c>
      <c r="I87" s="75">
        <v>0</v>
      </c>
      <c r="J87" s="75">
        <v>220</v>
      </c>
    </row>
    <row r="88" spans="1:10">
      <c r="A88" s="75" t="s">
        <v>840</v>
      </c>
      <c r="B88" s="75" t="s">
        <v>152</v>
      </c>
      <c r="C88" s="75">
        <v>0</v>
      </c>
      <c r="D88" s="75">
        <v>7741</v>
      </c>
      <c r="E88" s="75">
        <v>0</v>
      </c>
      <c r="F88" s="75">
        <v>7741</v>
      </c>
      <c r="G88" s="75">
        <v>0</v>
      </c>
      <c r="H88" s="75">
        <v>0</v>
      </c>
      <c r="I88" s="75">
        <v>0</v>
      </c>
      <c r="J88" s="75">
        <v>7741</v>
      </c>
    </row>
    <row r="89" spans="1:10">
      <c r="A89" s="75" t="s">
        <v>657</v>
      </c>
      <c r="B89" s="75" t="s">
        <v>88</v>
      </c>
      <c r="C89" s="75">
        <v>0</v>
      </c>
      <c r="D89" s="75">
        <v>50</v>
      </c>
      <c r="E89" s="75">
        <v>0</v>
      </c>
      <c r="F89" s="75">
        <v>50</v>
      </c>
      <c r="G89" s="75">
        <v>0</v>
      </c>
      <c r="H89" s="75">
        <v>0</v>
      </c>
      <c r="I89" s="75">
        <v>0</v>
      </c>
      <c r="J89" s="75">
        <v>50</v>
      </c>
    </row>
    <row r="90" spans="1:10">
      <c r="A90" s="75" t="s">
        <v>224</v>
      </c>
      <c r="B90" s="75" t="s">
        <v>675</v>
      </c>
      <c r="C90" s="75">
        <v>0</v>
      </c>
      <c r="D90" s="75">
        <v>1143</v>
      </c>
      <c r="E90" s="75">
        <v>0</v>
      </c>
      <c r="F90" s="75">
        <v>1143</v>
      </c>
      <c r="G90" s="75">
        <v>0</v>
      </c>
      <c r="H90" s="75">
        <v>0</v>
      </c>
      <c r="I90" s="75">
        <v>0</v>
      </c>
      <c r="J90" s="75">
        <v>1143</v>
      </c>
    </row>
    <row r="91" spans="1:10">
      <c r="A91" s="75" t="s">
        <v>892</v>
      </c>
      <c r="B91" s="75" t="s">
        <v>1036</v>
      </c>
      <c r="C91" s="75">
        <v>0</v>
      </c>
      <c r="D91" s="75">
        <v>4621</v>
      </c>
      <c r="E91" s="75">
        <v>0</v>
      </c>
      <c r="F91" s="75">
        <v>4621</v>
      </c>
      <c r="G91" s="75">
        <v>0</v>
      </c>
      <c r="H91" s="75">
        <v>0</v>
      </c>
      <c r="I91" s="75">
        <v>0</v>
      </c>
      <c r="J91" s="75">
        <v>4621</v>
      </c>
    </row>
    <row r="92" spans="1:10">
      <c r="A92" s="75" t="s">
        <v>912</v>
      </c>
      <c r="B92" s="75" t="s">
        <v>656</v>
      </c>
      <c r="C92" s="75">
        <v>0</v>
      </c>
      <c r="D92" s="75">
        <v>1619</v>
      </c>
      <c r="E92" s="75">
        <v>0</v>
      </c>
      <c r="F92" s="75">
        <v>1619</v>
      </c>
      <c r="G92" s="75">
        <v>0</v>
      </c>
      <c r="H92" s="75">
        <v>0</v>
      </c>
      <c r="I92" s="75">
        <v>0</v>
      </c>
      <c r="J92" s="75">
        <v>1619</v>
      </c>
    </row>
    <row r="93" spans="1:10">
      <c r="A93" s="75" t="s">
        <v>223</v>
      </c>
      <c r="B93" s="75" t="s">
        <v>349</v>
      </c>
      <c r="C93" s="75">
        <v>0</v>
      </c>
      <c r="D93" s="75">
        <v>340040</v>
      </c>
      <c r="E93" s="75">
        <v>-4217</v>
      </c>
      <c r="F93" s="75">
        <v>335823</v>
      </c>
      <c r="G93" s="75">
        <v>0</v>
      </c>
      <c r="H93" s="75">
        <v>0</v>
      </c>
      <c r="I93" s="75">
        <v>0</v>
      </c>
      <c r="J93" s="75">
        <v>335823</v>
      </c>
    </row>
    <row r="94" spans="1:10">
      <c r="A94" s="75" t="s">
        <v>131</v>
      </c>
      <c r="B94" s="75" t="s">
        <v>1112</v>
      </c>
      <c r="C94" s="75">
        <v>0</v>
      </c>
      <c r="D94" s="75">
        <v>164114</v>
      </c>
      <c r="E94" s="75">
        <v>-7926</v>
      </c>
      <c r="F94" s="75">
        <v>156188</v>
      </c>
      <c r="G94" s="75">
        <v>0</v>
      </c>
      <c r="H94" s="75">
        <v>0</v>
      </c>
      <c r="I94" s="75">
        <v>0</v>
      </c>
      <c r="J94" s="75">
        <v>156188</v>
      </c>
    </row>
    <row r="95" spans="1:10">
      <c r="A95" s="75" t="s">
        <v>839</v>
      </c>
      <c r="B95" s="75" t="s">
        <v>767</v>
      </c>
      <c r="C95" s="75">
        <v>0</v>
      </c>
      <c r="D95" s="75">
        <v>29655</v>
      </c>
      <c r="E95" s="75">
        <v>-245</v>
      </c>
      <c r="F95" s="75">
        <v>29410</v>
      </c>
      <c r="G95" s="75">
        <v>0</v>
      </c>
      <c r="H95" s="75">
        <v>0</v>
      </c>
      <c r="I95" s="75">
        <v>0</v>
      </c>
      <c r="J95" s="75">
        <v>29410</v>
      </c>
    </row>
    <row r="96" spans="1:10">
      <c r="A96" s="75" t="s">
        <v>186</v>
      </c>
      <c r="B96" s="75" t="s">
        <v>776</v>
      </c>
      <c r="C96" s="75">
        <v>0</v>
      </c>
      <c r="D96" s="75">
        <v>31439</v>
      </c>
      <c r="E96" s="75">
        <v>0</v>
      </c>
      <c r="F96" s="75">
        <v>31439</v>
      </c>
      <c r="G96" s="75">
        <v>0</v>
      </c>
      <c r="H96" s="75">
        <v>0</v>
      </c>
      <c r="I96" s="75">
        <v>0</v>
      </c>
      <c r="J96" s="75">
        <v>31439</v>
      </c>
    </row>
    <row r="97" spans="1:10">
      <c r="A97" s="75" t="s">
        <v>655</v>
      </c>
      <c r="B97" s="75" t="s">
        <v>729</v>
      </c>
      <c r="C97" s="75">
        <v>0</v>
      </c>
      <c r="D97" s="75">
        <v>48</v>
      </c>
      <c r="E97" s="75">
        <v>0</v>
      </c>
      <c r="F97" s="75">
        <v>48</v>
      </c>
      <c r="G97" s="75">
        <v>0</v>
      </c>
      <c r="H97" s="75">
        <v>0</v>
      </c>
      <c r="I97" s="75">
        <v>0</v>
      </c>
      <c r="J97" s="75">
        <v>48</v>
      </c>
    </row>
    <row r="98" spans="1:10">
      <c r="A98" s="75" t="s">
        <v>21</v>
      </c>
      <c r="B98" s="75" t="s">
        <v>1013</v>
      </c>
      <c r="C98" s="75">
        <v>0</v>
      </c>
      <c r="D98" s="75">
        <v>5297</v>
      </c>
      <c r="E98" s="75">
        <v>0</v>
      </c>
      <c r="F98" s="75">
        <v>5297</v>
      </c>
      <c r="G98" s="75">
        <v>0</v>
      </c>
      <c r="H98" s="75">
        <v>0</v>
      </c>
      <c r="I98" s="75">
        <v>0</v>
      </c>
      <c r="J98" s="75">
        <v>5297</v>
      </c>
    </row>
    <row r="99" spans="1:10">
      <c r="A99" s="75" t="s">
        <v>672</v>
      </c>
      <c r="B99" s="75" t="s">
        <v>1049</v>
      </c>
      <c r="C99" s="75">
        <v>0</v>
      </c>
      <c r="D99" s="75">
        <v>50620</v>
      </c>
      <c r="E99" s="75">
        <v>-1638</v>
      </c>
      <c r="F99" s="75">
        <v>48982</v>
      </c>
      <c r="G99" s="75">
        <v>0</v>
      </c>
      <c r="H99" s="75">
        <v>0</v>
      </c>
      <c r="I99" s="75">
        <v>0</v>
      </c>
      <c r="J99" s="75">
        <v>48982</v>
      </c>
    </row>
    <row r="100" spans="1:10">
      <c r="A100" s="75" t="s">
        <v>17</v>
      </c>
      <c r="B100" s="75" t="s">
        <v>53</v>
      </c>
      <c r="C100" s="75">
        <v>0</v>
      </c>
      <c r="D100" s="75">
        <v>129</v>
      </c>
      <c r="E100" s="75">
        <v>0</v>
      </c>
      <c r="F100" s="75">
        <v>129</v>
      </c>
      <c r="G100" s="75">
        <v>0</v>
      </c>
      <c r="H100" s="75">
        <v>0</v>
      </c>
      <c r="I100" s="75">
        <v>0</v>
      </c>
      <c r="J100" s="75">
        <v>129</v>
      </c>
    </row>
    <row r="101" spans="1:10">
      <c r="A101" s="75" t="s">
        <v>889</v>
      </c>
      <c r="B101" s="75" t="s">
        <v>762</v>
      </c>
      <c r="C101" s="75">
        <v>0</v>
      </c>
      <c r="D101" s="75">
        <v>1042</v>
      </c>
      <c r="E101" s="75">
        <v>0</v>
      </c>
      <c r="F101" s="75">
        <v>1042</v>
      </c>
      <c r="G101" s="75">
        <v>0</v>
      </c>
      <c r="H101" s="75">
        <v>0</v>
      </c>
      <c r="I101" s="75">
        <v>0</v>
      </c>
      <c r="J101" s="75">
        <v>1042</v>
      </c>
    </row>
    <row r="102" spans="1:10">
      <c r="A102" s="75" t="s">
        <v>464</v>
      </c>
      <c r="B102" s="75" t="s">
        <v>748</v>
      </c>
      <c r="C102" s="75">
        <v>0</v>
      </c>
      <c r="D102" s="75">
        <v>37</v>
      </c>
      <c r="E102" s="75">
        <v>0</v>
      </c>
      <c r="F102" s="75">
        <v>37</v>
      </c>
      <c r="G102" s="75">
        <v>0</v>
      </c>
      <c r="H102" s="75">
        <v>0</v>
      </c>
      <c r="I102" s="75">
        <v>0</v>
      </c>
      <c r="J102" s="75">
        <v>37</v>
      </c>
    </row>
    <row r="103" spans="1:10">
      <c r="A103" s="75" t="s">
        <v>917</v>
      </c>
      <c r="B103" s="75" t="s">
        <v>1073</v>
      </c>
      <c r="C103" s="75">
        <v>0</v>
      </c>
      <c r="D103" s="75">
        <v>4285</v>
      </c>
      <c r="E103" s="75">
        <v>0</v>
      </c>
      <c r="F103" s="75">
        <v>4285</v>
      </c>
      <c r="G103" s="75">
        <v>0</v>
      </c>
      <c r="H103" s="75">
        <v>0</v>
      </c>
      <c r="I103" s="75">
        <v>0</v>
      </c>
      <c r="J103" s="75">
        <v>4285</v>
      </c>
    </row>
    <row r="104" spans="1:10">
      <c r="A104" s="75" t="s">
        <v>301</v>
      </c>
      <c r="B104" s="75" t="s">
        <v>550</v>
      </c>
      <c r="C104" s="75">
        <v>0</v>
      </c>
      <c r="D104" s="75">
        <v>5814</v>
      </c>
      <c r="E104" s="75">
        <v>0</v>
      </c>
      <c r="F104" s="75">
        <v>5814</v>
      </c>
      <c r="G104" s="75">
        <v>0</v>
      </c>
      <c r="H104" s="75">
        <v>0</v>
      </c>
      <c r="I104" s="75">
        <v>0</v>
      </c>
      <c r="J104" s="75">
        <v>5814</v>
      </c>
    </row>
    <row r="105" spans="1:10">
      <c r="A105" s="75" t="s">
        <v>928</v>
      </c>
      <c r="B105" s="75" t="s">
        <v>412</v>
      </c>
      <c r="C105" s="75">
        <v>0</v>
      </c>
      <c r="D105" s="75">
        <v>28416</v>
      </c>
      <c r="E105" s="75">
        <v>0</v>
      </c>
      <c r="F105" s="75">
        <v>28416</v>
      </c>
      <c r="G105" s="75">
        <v>0</v>
      </c>
      <c r="H105" s="75">
        <v>0</v>
      </c>
      <c r="I105" s="75">
        <v>0</v>
      </c>
      <c r="J105" s="75">
        <v>28416</v>
      </c>
    </row>
    <row r="106" spans="1:10">
      <c r="A106" s="75" t="s">
        <v>289</v>
      </c>
      <c r="B106" s="75" t="s">
        <v>747</v>
      </c>
      <c r="C106" s="75">
        <v>0</v>
      </c>
      <c r="D106" s="75">
        <v>2530</v>
      </c>
      <c r="E106" s="75">
        <v>0</v>
      </c>
      <c r="F106" s="75">
        <v>2530</v>
      </c>
      <c r="G106" s="75">
        <v>0</v>
      </c>
      <c r="H106" s="75">
        <v>0</v>
      </c>
      <c r="I106" s="75">
        <v>0</v>
      </c>
      <c r="J106" s="75">
        <v>2530</v>
      </c>
    </row>
    <row r="107" spans="1:10">
      <c r="A107" s="75" t="s">
        <v>172</v>
      </c>
      <c r="B107" s="75" t="s">
        <v>1053</v>
      </c>
      <c r="C107" s="75">
        <v>0</v>
      </c>
      <c r="D107" s="75">
        <v>9793</v>
      </c>
      <c r="E107" s="75">
        <v>0</v>
      </c>
      <c r="F107" s="75">
        <v>9793</v>
      </c>
      <c r="G107" s="75">
        <v>0</v>
      </c>
      <c r="H107" s="75">
        <v>0</v>
      </c>
      <c r="I107" s="75">
        <v>0</v>
      </c>
      <c r="J107" s="75">
        <v>9793</v>
      </c>
    </row>
    <row r="108" spans="1:10">
      <c r="A108" s="75" t="s">
        <v>799</v>
      </c>
      <c r="B108" s="75" t="s">
        <v>1082</v>
      </c>
      <c r="C108" s="75">
        <v>0</v>
      </c>
      <c r="D108" s="75">
        <v>45759</v>
      </c>
      <c r="E108" s="75">
        <v>0</v>
      </c>
      <c r="F108" s="75">
        <v>45759</v>
      </c>
      <c r="G108" s="75">
        <v>0</v>
      </c>
      <c r="H108" s="75">
        <v>0</v>
      </c>
      <c r="I108" s="75">
        <v>0</v>
      </c>
      <c r="J108" s="75">
        <v>45759</v>
      </c>
    </row>
    <row r="109" spans="1:10">
      <c r="A109" s="75" t="s">
        <v>325</v>
      </c>
      <c r="B109" s="75" t="s">
        <v>16</v>
      </c>
      <c r="C109" s="75">
        <v>0</v>
      </c>
      <c r="D109" s="75">
        <v>162</v>
      </c>
      <c r="E109" s="75">
        <v>0</v>
      </c>
      <c r="F109" s="75">
        <v>162</v>
      </c>
      <c r="G109" s="75">
        <v>0</v>
      </c>
      <c r="H109" s="75">
        <v>0</v>
      </c>
      <c r="I109" s="75">
        <v>0</v>
      </c>
      <c r="J109" s="75">
        <v>162</v>
      </c>
    </row>
    <row r="110" spans="1:10">
      <c r="A110" s="75" t="s">
        <v>354</v>
      </c>
      <c r="B110" s="75" t="s">
        <v>927</v>
      </c>
      <c r="C110" s="75">
        <v>0</v>
      </c>
      <c r="D110" s="75">
        <v>20419</v>
      </c>
      <c r="E110" s="75">
        <v>-457</v>
      </c>
      <c r="F110" s="75">
        <v>19962</v>
      </c>
      <c r="G110" s="75">
        <v>0</v>
      </c>
      <c r="H110" s="75">
        <v>0</v>
      </c>
      <c r="I110" s="75">
        <v>0</v>
      </c>
      <c r="J110" s="75">
        <v>19962</v>
      </c>
    </row>
    <row r="111" spans="1:10">
      <c r="A111" s="75" t="s">
        <v>1106</v>
      </c>
      <c r="B111" s="75" t="s">
        <v>702</v>
      </c>
      <c r="C111" s="75">
        <v>0</v>
      </c>
      <c r="D111" s="75">
        <v>2109</v>
      </c>
      <c r="E111" s="75">
        <v>-67</v>
      </c>
      <c r="F111" s="75">
        <v>2042</v>
      </c>
      <c r="G111" s="75">
        <v>0</v>
      </c>
      <c r="H111" s="75">
        <v>0</v>
      </c>
      <c r="I111" s="75">
        <v>0</v>
      </c>
      <c r="J111" s="75">
        <v>2042</v>
      </c>
    </row>
    <row r="112" spans="1:10">
      <c r="A112" s="75" t="s">
        <v>779</v>
      </c>
      <c r="B112" s="75" t="s">
        <v>561</v>
      </c>
      <c r="C112" s="75">
        <v>0</v>
      </c>
      <c r="D112" s="75">
        <v>5024</v>
      </c>
      <c r="E112" s="75">
        <v>0</v>
      </c>
      <c r="F112" s="75">
        <v>5024</v>
      </c>
      <c r="G112" s="75">
        <v>0</v>
      </c>
      <c r="H112" s="75">
        <v>0</v>
      </c>
      <c r="I112" s="75">
        <v>0</v>
      </c>
      <c r="J112" s="75">
        <v>5024</v>
      </c>
    </row>
    <row r="113" spans="1:10">
      <c r="A113" s="75" t="s">
        <v>1043</v>
      </c>
      <c r="B113" s="75" t="s">
        <v>477</v>
      </c>
      <c r="C113" s="75">
        <v>0</v>
      </c>
      <c r="D113" s="75">
        <v>0</v>
      </c>
      <c r="E113" s="75">
        <v>-161</v>
      </c>
      <c r="F113" s="75">
        <v>-161</v>
      </c>
      <c r="G113" s="75">
        <v>0</v>
      </c>
      <c r="H113" s="75">
        <v>0</v>
      </c>
      <c r="I113" s="75">
        <v>0</v>
      </c>
      <c r="J113" s="75">
        <v>-161</v>
      </c>
    </row>
    <row r="114" spans="1:10">
      <c r="A114" s="75" t="s">
        <v>990</v>
      </c>
      <c r="B114" s="75" t="s">
        <v>660</v>
      </c>
      <c r="C114" s="75">
        <v>0</v>
      </c>
      <c r="D114" s="75">
        <v>108</v>
      </c>
      <c r="E114" s="75">
        <v>0</v>
      </c>
      <c r="F114" s="75">
        <v>108</v>
      </c>
      <c r="G114" s="75">
        <v>0</v>
      </c>
      <c r="H114" s="75">
        <v>0</v>
      </c>
      <c r="I114" s="75">
        <v>0</v>
      </c>
      <c r="J114" s="75">
        <v>108</v>
      </c>
    </row>
    <row r="115" spans="1:10">
      <c r="A115" s="75" t="s">
        <v>396</v>
      </c>
      <c r="B115" s="75" t="s">
        <v>926</v>
      </c>
      <c r="C115" s="75">
        <v>0</v>
      </c>
      <c r="D115" s="75">
        <v>396</v>
      </c>
      <c r="E115" s="75">
        <v>0</v>
      </c>
      <c r="F115" s="75">
        <v>396</v>
      </c>
      <c r="G115" s="75">
        <v>0</v>
      </c>
      <c r="H115" s="75">
        <v>0</v>
      </c>
      <c r="I115" s="75">
        <v>0</v>
      </c>
      <c r="J115" s="75">
        <v>396</v>
      </c>
    </row>
    <row r="116" spans="1:10">
      <c r="A116" s="75" t="s">
        <v>244</v>
      </c>
      <c r="B116" s="75" t="s">
        <v>960</v>
      </c>
      <c r="C116" s="75">
        <v>0</v>
      </c>
      <c r="D116" s="75">
        <v>143</v>
      </c>
      <c r="E116" s="75">
        <v>0</v>
      </c>
      <c r="F116" s="75">
        <v>143</v>
      </c>
      <c r="G116" s="75">
        <v>0</v>
      </c>
      <c r="H116" s="75">
        <v>0</v>
      </c>
      <c r="I116" s="75">
        <v>0</v>
      </c>
      <c r="J116" s="75">
        <v>143</v>
      </c>
    </row>
    <row r="117" spans="1:10">
      <c r="A117" s="75" t="s">
        <v>823</v>
      </c>
      <c r="B117" s="75" t="s">
        <v>492</v>
      </c>
      <c r="C117" s="75">
        <v>0</v>
      </c>
      <c r="D117" s="75">
        <v>61</v>
      </c>
      <c r="E117" s="75">
        <v>0</v>
      </c>
      <c r="F117" s="75">
        <v>61</v>
      </c>
      <c r="G117" s="75">
        <v>0</v>
      </c>
      <c r="H117" s="75">
        <v>0</v>
      </c>
      <c r="I117" s="75">
        <v>0</v>
      </c>
      <c r="J117" s="75">
        <v>61</v>
      </c>
    </row>
    <row r="118" spans="1:10">
      <c r="A118" s="75" t="s">
        <v>108</v>
      </c>
      <c r="B118" s="75" t="s">
        <v>368</v>
      </c>
      <c r="C118" s="75">
        <v>0</v>
      </c>
      <c r="D118" s="75">
        <v>2403</v>
      </c>
      <c r="E118" s="75">
        <v>0</v>
      </c>
      <c r="F118" s="75">
        <v>2403</v>
      </c>
      <c r="G118" s="75">
        <v>0</v>
      </c>
      <c r="H118" s="75">
        <v>0</v>
      </c>
      <c r="I118" s="75">
        <v>0</v>
      </c>
      <c r="J118" s="75">
        <v>2403</v>
      </c>
    </row>
    <row r="119" spans="1:10">
      <c r="A119" s="75" t="s">
        <v>855</v>
      </c>
      <c r="B119" s="75" t="s">
        <v>420</v>
      </c>
      <c r="C119" s="75">
        <v>0</v>
      </c>
      <c r="D119" s="75">
        <v>1145</v>
      </c>
      <c r="E119" s="75">
        <v>0</v>
      </c>
      <c r="F119" s="75">
        <v>1145</v>
      </c>
      <c r="G119" s="75">
        <v>0</v>
      </c>
      <c r="H119" s="75">
        <v>0</v>
      </c>
      <c r="I119" s="75">
        <v>0</v>
      </c>
      <c r="J119" s="75">
        <v>1145</v>
      </c>
    </row>
    <row r="120" spans="1:10">
      <c r="A120" s="75" t="s">
        <v>630</v>
      </c>
      <c r="B120" s="75" t="s">
        <v>8</v>
      </c>
      <c r="C120" s="75">
        <v>0</v>
      </c>
      <c r="D120" s="75">
        <v>11724</v>
      </c>
      <c r="E120" s="75">
        <v>0</v>
      </c>
      <c r="F120" s="75">
        <v>11724</v>
      </c>
      <c r="G120" s="75">
        <v>0</v>
      </c>
      <c r="H120" s="75">
        <v>0</v>
      </c>
      <c r="I120" s="75">
        <v>0</v>
      </c>
      <c r="J120" s="75">
        <v>11724</v>
      </c>
    </row>
    <row r="121" spans="1:10">
      <c r="A121" s="75" t="s">
        <v>1029</v>
      </c>
      <c r="B121" s="75" t="s">
        <v>456</v>
      </c>
      <c r="C121" s="75">
        <v>0</v>
      </c>
      <c r="D121" s="75">
        <v>66</v>
      </c>
      <c r="E121" s="75">
        <v>0</v>
      </c>
      <c r="F121" s="75">
        <v>66</v>
      </c>
      <c r="G121" s="75">
        <v>0</v>
      </c>
      <c r="H121" s="75">
        <v>0</v>
      </c>
      <c r="I121" s="75">
        <v>0</v>
      </c>
      <c r="J121" s="75">
        <v>66</v>
      </c>
    </row>
    <row r="122" spans="1:10">
      <c r="A122" s="75" t="s">
        <v>593</v>
      </c>
      <c r="B122" s="75" t="s">
        <v>187</v>
      </c>
      <c r="C122" s="75">
        <v>0</v>
      </c>
      <c r="D122" s="75">
        <v>5281</v>
      </c>
      <c r="E122" s="75">
        <v>0</v>
      </c>
      <c r="F122" s="75">
        <v>5281</v>
      </c>
      <c r="G122" s="75">
        <v>0</v>
      </c>
      <c r="H122" s="75">
        <v>0</v>
      </c>
      <c r="I122" s="75">
        <v>0</v>
      </c>
      <c r="J122" s="75">
        <v>5281</v>
      </c>
    </row>
    <row r="123" spans="1:10">
      <c r="A123" s="75" t="s">
        <v>15</v>
      </c>
      <c r="B123" s="75" t="s">
        <v>925</v>
      </c>
      <c r="C123" s="75">
        <v>0</v>
      </c>
      <c r="D123" s="75">
        <v>2</v>
      </c>
      <c r="E123" s="75">
        <v>0</v>
      </c>
      <c r="F123" s="75">
        <v>2</v>
      </c>
      <c r="G123" s="75">
        <v>0</v>
      </c>
      <c r="H123" s="75">
        <v>0</v>
      </c>
      <c r="I123" s="75">
        <v>0</v>
      </c>
      <c r="J123" s="75">
        <v>2</v>
      </c>
    </row>
    <row r="124" spans="1:10">
      <c r="A124" s="75" t="s">
        <v>820</v>
      </c>
      <c r="B124" s="75" t="s">
        <v>539</v>
      </c>
      <c r="C124" s="75">
        <v>0</v>
      </c>
      <c r="D124" s="75">
        <v>17240</v>
      </c>
      <c r="E124" s="75">
        <v>0</v>
      </c>
      <c r="F124" s="75">
        <v>17240</v>
      </c>
      <c r="G124" s="75">
        <v>0</v>
      </c>
      <c r="H124" s="75">
        <v>0</v>
      </c>
      <c r="I124" s="75">
        <v>0</v>
      </c>
      <c r="J124" s="75">
        <v>17240</v>
      </c>
    </row>
    <row r="125" spans="1:10">
      <c r="A125" s="75" t="s">
        <v>199</v>
      </c>
      <c r="B125" s="75" t="s">
        <v>634</v>
      </c>
      <c r="C125" s="75">
        <v>0</v>
      </c>
      <c r="D125" s="75">
        <v>359</v>
      </c>
      <c r="E125" s="75">
        <v>0</v>
      </c>
      <c r="F125" s="75">
        <v>359</v>
      </c>
      <c r="G125" s="75">
        <v>0</v>
      </c>
      <c r="H125" s="75">
        <v>0</v>
      </c>
      <c r="I125" s="75">
        <v>0</v>
      </c>
      <c r="J125" s="75">
        <v>359</v>
      </c>
    </row>
    <row r="126" spans="1:10">
      <c r="A126" s="75" t="s">
        <v>1022</v>
      </c>
      <c r="B126" s="75" t="s">
        <v>1097</v>
      </c>
      <c r="C126" s="75">
        <v>0</v>
      </c>
      <c r="D126" s="75">
        <v>5619</v>
      </c>
      <c r="E126" s="75">
        <v>0</v>
      </c>
      <c r="F126" s="75">
        <v>5619</v>
      </c>
      <c r="G126" s="75">
        <v>0</v>
      </c>
      <c r="H126" s="75">
        <v>0</v>
      </c>
      <c r="I126" s="75">
        <v>0</v>
      </c>
      <c r="J126" s="75">
        <v>5619</v>
      </c>
    </row>
    <row r="127" spans="1:10">
      <c r="A127" s="75" t="s">
        <v>372</v>
      </c>
      <c r="B127" s="75" t="s">
        <v>310</v>
      </c>
      <c r="C127" s="75">
        <v>0</v>
      </c>
      <c r="D127" s="75">
        <v>32205</v>
      </c>
      <c r="E127" s="75">
        <v>0</v>
      </c>
      <c r="F127" s="75">
        <v>32205</v>
      </c>
      <c r="G127" s="75">
        <v>0</v>
      </c>
      <c r="H127" s="75">
        <v>0</v>
      </c>
      <c r="I127" s="75">
        <v>0</v>
      </c>
      <c r="J127" s="75">
        <v>32205</v>
      </c>
    </row>
    <row r="128" spans="1:10">
      <c r="A128" s="75" t="s">
        <v>451</v>
      </c>
      <c r="B128" s="75" t="s">
        <v>615</v>
      </c>
      <c r="C128" s="75">
        <v>0</v>
      </c>
      <c r="D128" s="75">
        <v>6024</v>
      </c>
      <c r="E128" s="75">
        <v>0</v>
      </c>
      <c r="F128" s="75">
        <v>6024</v>
      </c>
      <c r="G128" s="75">
        <v>0</v>
      </c>
      <c r="H128" s="75">
        <v>0</v>
      </c>
      <c r="I128" s="75">
        <v>0</v>
      </c>
      <c r="J128" s="75">
        <v>6024</v>
      </c>
    </row>
    <row r="129" spans="1:10">
      <c r="A129" s="75" t="s">
        <v>463</v>
      </c>
      <c r="B129" s="75" t="s">
        <v>924</v>
      </c>
      <c r="C129" s="75">
        <v>0</v>
      </c>
      <c r="D129" s="75">
        <v>196</v>
      </c>
      <c r="E129" s="75">
        <v>0</v>
      </c>
      <c r="F129" s="75">
        <v>196</v>
      </c>
      <c r="G129" s="75">
        <v>0</v>
      </c>
      <c r="H129" s="75">
        <v>0</v>
      </c>
      <c r="I129" s="75">
        <v>0</v>
      </c>
      <c r="J129" s="75">
        <v>196</v>
      </c>
    </row>
    <row r="130" spans="1:10">
      <c r="A130" s="75" t="s">
        <v>300</v>
      </c>
      <c r="B130" s="75" t="s">
        <v>543</v>
      </c>
      <c r="C130" s="75">
        <v>0</v>
      </c>
      <c r="D130" s="75">
        <v>8533</v>
      </c>
      <c r="E130" s="75">
        <v>0</v>
      </c>
      <c r="F130" s="75">
        <v>8533</v>
      </c>
      <c r="G130" s="75">
        <v>0</v>
      </c>
      <c r="H130" s="75">
        <v>0</v>
      </c>
      <c r="I130" s="75">
        <v>0</v>
      </c>
      <c r="J130" s="75">
        <v>8533</v>
      </c>
    </row>
    <row r="131" spans="1:10">
      <c r="A131" s="75" t="s">
        <v>611</v>
      </c>
      <c r="B131" s="75" t="s">
        <v>773</v>
      </c>
      <c r="C131" s="75">
        <v>0</v>
      </c>
      <c r="D131" s="75">
        <v>605</v>
      </c>
      <c r="E131" s="75">
        <v>0</v>
      </c>
      <c r="F131" s="75">
        <v>605</v>
      </c>
      <c r="G131" s="75">
        <v>0</v>
      </c>
      <c r="H131" s="75">
        <v>0</v>
      </c>
      <c r="I131" s="75">
        <v>0</v>
      </c>
      <c r="J131" s="75">
        <v>605</v>
      </c>
    </row>
    <row r="132" spans="1:10">
      <c r="A132" s="75" t="s">
        <v>367</v>
      </c>
      <c r="B132" s="75" t="s">
        <v>243</v>
      </c>
      <c r="C132" s="75">
        <v>0</v>
      </c>
      <c r="D132" s="75">
        <v>0</v>
      </c>
      <c r="E132" s="75">
        <v>0</v>
      </c>
      <c r="F132" s="75">
        <v>0</v>
      </c>
      <c r="G132" s="75">
        <v>329667</v>
      </c>
      <c r="H132" s="75">
        <v>0</v>
      </c>
      <c r="I132" s="75">
        <v>329667</v>
      </c>
      <c r="J132" s="75">
        <v>-329667</v>
      </c>
    </row>
    <row r="133" spans="1:10">
      <c r="A133" s="75" t="s">
        <v>560</v>
      </c>
      <c r="B133" s="75" t="s">
        <v>309</v>
      </c>
      <c r="C133" s="75">
        <v>0</v>
      </c>
      <c r="D133" s="75">
        <v>0</v>
      </c>
      <c r="E133" s="75">
        <v>0</v>
      </c>
      <c r="F133" s="75">
        <v>0</v>
      </c>
      <c r="G133" s="75">
        <v>20000</v>
      </c>
      <c r="H133" s="75">
        <v>0</v>
      </c>
      <c r="I133" s="75">
        <v>20000</v>
      </c>
      <c r="J133" s="75">
        <v>-20000</v>
      </c>
    </row>
    <row r="134" spans="1:10">
      <c r="A134" s="75" t="s">
        <v>965</v>
      </c>
      <c r="B134" s="75" t="s">
        <v>405</v>
      </c>
      <c r="C134" s="75">
        <v>0</v>
      </c>
      <c r="D134" s="75">
        <v>0</v>
      </c>
      <c r="E134" s="75">
        <v>0</v>
      </c>
      <c r="F134" s="75">
        <v>0</v>
      </c>
      <c r="G134" s="75">
        <v>9418</v>
      </c>
      <c r="H134" s="75">
        <v>0</v>
      </c>
      <c r="I134" s="75">
        <v>9418</v>
      </c>
      <c r="J134" s="75">
        <v>-9418</v>
      </c>
    </row>
    <row r="135" spans="1:10">
      <c r="A135" s="75" t="s">
        <v>333</v>
      </c>
      <c r="B135" s="75" t="s">
        <v>567</v>
      </c>
      <c r="C135" s="75">
        <v>0</v>
      </c>
      <c r="D135" s="75">
        <v>0</v>
      </c>
      <c r="E135" s="75">
        <v>0</v>
      </c>
      <c r="F135" s="75">
        <v>0</v>
      </c>
      <c r="G135" s="75">
        <v>4200</v>
      </c>
      <c r="H135" s="75">
        <v>0</v>
      </c>
      <c r="I135" s="75">
        <v>4200</v>
      </c>
      <c r="J135" s="75">
        <v>-4200</v>
      </c>
    </row>
    <row r="136" spans="1:10">
      <c r="A136" s="75" t="s">
        <v>1059</v>
      </c>
      <c r="B136" s="75" t="s">
        <v>230</v>
      </c>
      <c r="C136" s="75">
        <v>0</v>
      </c>
      <c r="D136" s="75">
        <v>0</v>
      </c>
      <c r="E136" s="75">
        <v>0</v>
      </c>
      <c r="F136" s="75">
        <v>0</v>
      </c>
      <c r="G136" s="75">
        <v>427169</v>
      </c>
      <c r="H136" s="75">
        <v>-12538</v>
      </c>
      <c r="I136" s="75">
        <v>414631</v>
      </c>
      <c r="J136" s="75">
        <v>-414631</v>
      </c>
    </row>
    <row r="137" spans="1:10">
      <c r="A137" s="75" t="s">
        <v>455</v>
      </c>
      <c r="B137" s="75" t="s">
        <v>159</v>
      </c>
      <c r="C137" s="75">
        <v>0</v>
      </c>
      <c r="D137" s="75">
        <v>0</v>
      </c>
      <c r="E137" s="75">
        <v>0</v>
      </c>
      <c r="F137" s="75">
        <v>0</v>
      </c>
      <c r="G137" s="75">
        <v>125992</v>
      </c>
      <c r="H137" s="75">
        <v>0</v>
      </c>
      <c r="I137" s="75">
        <v>125992</v>
      </c>
      <c r="J137" s="75">
        <v>-125992</v>
      </c>
    </row>
    <row r="138" spans="1:10">
      <c r="A138" s="75" t="s">
        <v>411</v>
      </c>
      <c r="B138" s="75" t="s">
        <v>787</v>
      </c>
      <c r="C138" s="75">
        <v>0</v>
      </c>
      <c r="D138" s="75">
        <v>0</v>
      </c>
      <c r="E138" s="75">
        <v>0</v>
      </c>
      <c r="F138" s="75">
        <v>0</v>
      </c>
      <c r="G138" s="75">
        <v>71055</v>
      </c>
      <c r="H138" s="75">
        <v>0</v>
      </c>
      <c r="I138" s="75">
        <v>71055</v>
      </c>
      <c r="J138" s="75">
        <v>-71055</v>
      </c>
    </row>
    <row r="139" spans="1:10">
      <c r="A139" s="75" t="s">
        <v>26</v>
      </c>
      <c r="B139" s="75" t="s">
        <v>900</v>
      </c>
      <c r="C139" s="75">
        <v>0</v>
      </c>
      <c r="D139" s="75">
        <v>0</v>
      </c>
      <c r="E139" s="75">
        <v>0</v>
      </c>
      <c r="F139" s="75">
        <v>0</v>
      </c>
      <c r="G139" s="75">
        <v>1000</v>
      </c>
      <c r="H139" s="75">
        <v>0</v>
      </c>
      <c r="I139" s="75">
        <v>1000</v>
      </c>
      <c r="J139" s="75">
        <v>-1000</v>
      </c>
    </row>
    <row r="140" spans="1:10">
      <c r="A140" s="75" t="s">
        <v>809</v>
      </c>
      <c r="B140" s="75" t="s">
        <v>905</v>
      </c>
      <c r="C140" s="75">
        <v>0</v>
      </c>
      <c r="D140" s="75">
        <v>0</v>
      </c>
      <c r="E140" s="75">
        <v>0</v>
      </c>
      <c r="F140" s="75">
        <v>0</v>
      </c>
      <c r="G140" s="75">
        <v>6300</v>
      </c>
      <c r="H140" s="75">
        <v>-3000</v>
      </c>
      <c r="I140" s="75">
        <v>3300</v>
      </c>
      <c r="J140" s="75">
        <v>-3300</v>
      </c>
    </row>
    <row r="141" spans="1:10">
      <c r="A141" s="75" t="s">
        <v>916</v>
      </c>
      <c r="B141" s="75" t="s">
        <v>955</v>
      </c>
      <c r="C141" s="75">
        <v>0</v>
      </c>
      <c r="D141" s="75">
        <v>0</v>
      </c>
      <c r="E141" s="75">
        <v>0</v>
      </c>
      <c r="F141" s="75">
        <v>0</v>
      </c>
      <c r="G141" s="75">
        <v>3</v>
      </c>
      <c r="H141" s="75">
        <v>0</v>
      </c>
      <c r="I141" s="75">
        <v>3</v>
      </c>
      <c r="J141" s="75">
        <v>-3</v>
      </c>
    </row>
    <row r="142" spans="1:10">
      <c r="A142" s="75" t="s">
        <v>888</v>
      </c>
      <c r="B142" s="75" t="s">
        <v>782</v>
      </c>
      <c r="C142" s="75">
        <v>0</v>
      </c>
      <c r="D142" s="75">
        <v>0</v>
      </c>
      <c r="E142" s="75">
        <v>0</v>
      </c>
      <c r="F142" s="75">
        <v>0</v>
      </c>
      <c r="G142" s="75">
        <v>1</v>
      </c>
      <c r="H142" s="75">
        <v>0</v>
      </c>
      <c r="I142" s="75">
        <v>1</v>
      </c>
      <c r="J142" s="75">
        <v>-1</v>
      </c>
    </row>
    <row r="143" spans="1:10">
      <c r="A143" s="75" t="s">
        <v>635</v>
      </c>
      <c r="B143" s="75" t="s">
        <v>27</v>
      </c>
      <c r="C143" s="75">
        <v>0</v>
      </c>
      <c r="D143" s="75">
        <v>0</v>
      </c>
      <c r="E143" s="75">
        <v>0</v>
      </c>
      <c r="F143" s="75">
        <v>0</v>
      </c>
      <c r="G143" s="75">
        <v>8</v>
      </c>
      <c r="H143" s="75">
        <v>0</v>
      </c>
      <c r="I143" s="75">
        <v>8</v>
      </c>
      <c r="J143" s="75">
        <v>-8</v>
      </c>
    </row>
    <row r="144" spans="1:10">
      <c r="A144" s="75" t="s">
        <v>819</v>
      </c>
      <c r="B144" s="75" t="s">
        <v>294</v>
      </c>
      <c r="C144" s="75">
        <v>0</v>
      </c>
      <c r="D144" s="75">
        <v>0</v>
      </c>
      <c r="E144" s="75">
        <v>0</v>
      </c>
      <c r="F144" s="75">
        <v>0</v>
      </c>
      <c r="G144" s="75">
        <v>11</v>
      </c>
      <c r="H144" s="75">
        <v>0</v>
      </c>
      <c r="I144" s="75">
        <v>11</v>
      </c>
      <c r="J144" s="75">
        <v>-11</v>
      </c>
    </row>
    <row r="145" spans="1:10">
      <c r="A145" s="75" t="s">
        <v>671</v>
      </c>
      <c r="B145" s="75" t="s">
        <v>118</v>
      </c>
      <c r="C145" s="75">
        <v>0</v>
      </c>
      <c r="D145" s="75">
        <v>0</v>
      </c>
      <c r="E145" s="75">
        <v>0</v>
      </c>
      <c r="F145" s="75">
        <v>0</v>
      </c>
      <c r="G145" s="75">
        <v>38</v>
      </c>
      <c r="H145" s="75">
        <v>0</v>
      </c>
      <c r="I145" s="75">
        <v>38</v>
      </c>
      <c r="J145" s="75">
        <v>-38</v>
      </c>
    </row>
    <row r="146" spans="1:10">
      <c r="A146" s="75" t="s">
        <v>222</v>
      </c>
      <c r="B146" s="75" t="s">
        <v>734</v>
      </c>
      <c r="C146" s="75">
        <v>0</v>
      </c>
      <c r="D146" s="75">
        <v>0</v>
      </c>
      <c r="E146" s="75">
        <v>0</v>
      </c>
      <c r="F146" s="75">
        <v>0</v>
      </c>
      <c r="G146" s="75">
        <v>0</v>
      </c>
      <c r="H146" s="75">
        <v>0</v>
      </c>
      <c r="I146" s="75">
        <v>0</v>
      </c>
      <c r="J146" s="75">
        <v>0</v>
      </c>
    </row>
  </sheetData>
  <sheetProtection sheet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"/>
  <cols>
    <col min="1" max="1" width="5.85546875" customWidth="1"/>
    <col min="2" max="2" width="33.85546875" customWidth="1"/>
    <col min="3" max="3" width="8.42578125" customWidth="1"/>
    <col min="4" max="4" width="9.42578125" customWidth="1"/>
  </cols>
  <sheetData>
    <row r="1" spans="1:4">
      <c r="A1" t="s">
        <v>1050</v>
      </c>
      <c r="B1" t="s">
        <v>495</v>
      </c>
      <c r="C1" t="s">
        <v>589</v>
      </c>
      <c r="D1" t="s">
        <v>442</v>
      </c>
    </row>
    <row r="2" spans="1:4">
      <c r="A2" t="s">
        <v>138</v>
      </c>
      <c r="B2" t="s">
        <v>507</v>
      </c>
      <c r="C2">
        <v>75837</v>
      </c>
      <c r="D2">
        <v>345</v>
      </c>
    </row>
    <row r="3" spans="1:4">
      <c r="A3" t="s">
        <v>231</v>
      </c>
      <c r="B3" t="s">
        <v>433</v>
      </c>
      <c r="C3">
        <v>0</v>
      </c>
      <c r="D3">
        <v>1000</v>
      </c>
    </row>
    <row r="4" spans="1:4">
      <c r="A4" t="s">
        <v>1085</v>
      </c>
      <c r="B4" t="s">
        <v>834</v>
      </c>
      <c r="C4">
        <v>0</v>
      </c>
      <c r="D4">
        <v>12733</v>
      </c>
    </row>
    <row r="5" spans="1:4">
      <c r="A5" t="s">
        <v>860</v>
      </c>
      <c r="B5" t="s">
        <v>1063</v>
      </c>
      <c r="C5">
        <v>0</v>
      </c>
      <c r="D5">
        <v>26422</v>
      </c>
    </row>
    <row r="6" spans="1:4">
      <c r="A6" t="s">
        <v>525</v>
      </c>
      <c r="B6" t="s">
        <v>29</v>
      </c>
      <c r="C6">
        <v>0</v>
      </c>
      <c r="D6">
        <v>11585</v>
      </c>
    </row>
    <row r="7" spans="1:4">
      <c r="A7" t="s">
        <v>1055</v>
      </c>
      <c r="B7" t="s">
        <v>864</v>
      </c>
      <c r="C7">
        <v>-44541</v>
      </c>
      <c r="D7">
        <v>-13294</v>
      </c>
    </row>
    <row r="8" spans="1:4">
      <c r="A8" t="s">
        <v>961</v>
      </c>
      <c r="B8" t="s">
        <v>910</v>
      </c>
      <c r="C8">
        <v>-360</v>
      </c>
      <c r="D8">
        <v>0</v>
      </c>
    </row>
    <row r="9" spans="1:4">
      <c r="A9" t="s">
        <v>569</v>
      </c>
      <c r="B9" t="s">
        <v>985</v>
      </c>
      <c r="C9">
        <v>-25304</v>
      </c>
      <c r="D9">
        <v>-41726</v>
      </c>
    </row>
    <row r="10" spans="1:4">
      <c r="A10" t="s">
        <v>374</v>
      </c>
      <c r="B10" t="s">
        <v>355</v>
      </c>
      <c r="C10">
        <v>-197</v>
      </c>
      <c r="D10">
        <v>0</v>
      </c>
    </row>
  </sheetData>
  <sheetProtection sheet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"/>
  <cols>
    <col min="1" max="1" width="5.85546875" customWidth="1"/>
    <col min="2" max="2" width="33.85546875" customWidth="1"/>
    <col min="3" max="3" width="8.42578125" customWidth="1"/>
    <col min="4" max="4" width="9.42578125" customWidth="1"/>
  </cols>
  <sheetData>
    <row r="1" spans="1:4">
      <c r="A1" t="s">
        <v>1050</v>
      </c>
      <c r="B1" t="s">
        <v>495</v>
      </c>
      <c r="C1" t="s">
        <v>589</v>
      </c>
      <c r="D1" t="s">
        <v>442</v>
      </c>
    </row>
    <row r="2" spans="1:4">
      <c r="A2" t="s">
        <v>138</v>
      </c>
      <c r="B2" t="s">
        <v>507</v>
      </c>
      <c r="C2">
        <v>93145</v>
      </c>
      <c r="D2">
        <v>128610</v>
      </c>
    </row>
    <row r="3" spans="1:4">
      <c r="A3" t="s">
        <v>231</v>
      </c>
      <c r="B3" t="s">
        <v>433</v>
      </c>
      <c r="C3">
        <v>69055</v>
      </c>
      <c r="D3">
        <v>440</v>
      </c>
    </row>
    <row r="4" spans="1:4">
      <c r="A4" t="s">
        <v>1085</v>
      </c>
      <c r="B4" t="s">
        <v>834</v>
      </c>
      <c r="C4">
        <v>0</v>
      </c>
      <c r="D4">
        <v>12929</v>
      </c>
    </row>
    <row r="5" spans="1:4">
      <c r="A5" t="s">
        <v>860</v>
      </c>
      <c r="B5" t="s">
        <v>1063</v>
      </c>
      <c r="C5">
        <v>0</v>
      </c>
      <c r="D5">
        <v>26422</v>
      </c>
    </row>
    <row r="6" spans="1:4">
      <c r="A6" t="s">
        <v>525</v>
      </c>
      <c r="B6" t="s">
        <v>29</v>
      </c>
      <c r="C6">
        <v>0</v>
      </c>
      <c r="D6">
        <v>11585</v>
      </c>
    </row>
    <row r="7" spans="1:4">
      <c r="A7" t="s">
        <v>1055</v>
      </c>
      <c r="B7" t="s">
        <v>864</v>
      </c>
      <c r="C7">
        <v>-14968</v>
      </c>
      <c r="D7">
        <v>-1042</v>
      </c>
    </row>
    <row r="8" spans="1:4">
      <c r="A8" t="s">
        <v>569</v>
      </c>
      <c r="B8" t="s">
        <v>985</v>
      </c>
      <c r="C8">
        <v>-28401</v>
      </c>
      <c r="D8">
        <v>-64349</v>
      </c>
    </row>
    <row r="9" spans="1:4">
      <c r="A9" t="s">
        <v>374</v>
      </c>
      <c r="B9" t="s">
        <v>355</v>
      </c>
      <c r="C9">
        <v>-143</v>
      </c>
      <c r="D9">
        <v>0</v>
      </c>
    </row>
  </sheetData>
  <sheetProtection sheet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F49"/>
  <sheetViews>
    <sheetView workbookViewId="0">
      <selection activeCell="W2" sqref="W2:AD2"/>
    </sheetView>
  </sheetViews>
  <sheetFormatPr defaultRowHeight="15"/>
  <cols>
    <col min="1" max="31" width="2.7109375" customWidth="1"/>
    <col min="32" max="32" width="2.85546875" customWidth="1"/>
  </cols>
  <sheetData>
    <row r="1" spans="1:32" s="11" customFormat="1"/>
    <row r="2" spans="1:32" s="11" customFormat="1">
      <c r="W2" s="142" t="s">
        <v>849</v>
      </c>
      <c r="X2" s="143"/>
      <c r="Y2" s="143"/>
      <c r="Z2" s="143"/>
      <c r="AA2" s="143"/>
      <c r="AB2" s="143"/>
      <c r="AC2" s="143"/>
      <c r="AD2" s="144"/>
    </row>
    <row r="4" spans="1:32" ht="23.25">
      <c r="A4" s="146" t="s">
        <v>100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</row>
    <row r="5" spans="1:32" s="30" customFormat="1" ht="17.25">
      <c r="A5" s="147" t="s">
        <v>87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</row>
    <row r="6" spans="1:32" s="30" customFormat="1" ht="17.25">
      <c r="L6" s="145" t="s">
        <v>220</v>
      </c>
      <c r="M6" s="145"/>
      <c r="N6" s="145"/>
      <c r="O6" s="145"/>
      <c r="P6" s="145"/>
      <c r="Q6" s="148" t="s">
        <v>1318</v>
      </c>
      <c r="R6" s="148"/>
      <c r="S6" s="148"/>
      <c r="T6" s="96">
        <v>2</v>
      </c>
      <c r="U6" s="96">
        <v>0</v>
      </c>
      <c r="V6" s="82">
        <v>1</v>
      </c>
      <c r="W6" s="83">
        <v>3</v>
      </c>
    </row>
    <row r="7" spans="1:32" s="11" customFormat="1">
      <c r="R7" s="81"/>
    </row>
    <row r="8" spans="1:32">
      <c r="H8" s="6"/>
    </row>
    <row r="9" spans="1:32">
      <c r="N9" s="27"/>
      <c r="O9" s="2" t="s">
        <v>41</v>
      </c>
      <c r="P9" s="22" t="s">
        <v>409</v>
      </c>
      <c r="X9" s="27" t="s">
        <v>553</v>
      </c>
      <c r="Y9" s="2" t="s">
        <v>41</v>
      </c>
      <c r="Z9" s="22" t="s">
        <v>897</v>
      </c>
    </row>
    <row r="11" spans="1:32">
      <c r="N11" s="29" t="s">
        <v>270</v>
      </c>
      <c r="Q11" s="29" t="s">
        <v>474</v>
      </c>
      <c r="X11" s="29" t="s">
        <v>270</v>
      </c>
      <c r="AA11" s="29" t="s">
        <v>474</v>
      </c>
    </row>
    <row r="12" spans="1:32">
      <c r="I12" s="29" t="s">
        <v>337</v>
      </c>
      <c r="M12" s="29" t="s">
        <v>188</v>
      </c>
      <c r="N12" s="27">
        <v>0</v>
      </c>
      <c r="O12" s="27">
        <v>1</v>
      </c>
      <c r="P12" s="11"/>
      <c r="Q12" s="27">
        <v>2</v>
      </c>
      <c r="R12" s="27">
        <v>0</v>
      </c>
      <c r="S12" s="27">
        <v>1</v>
      </c>
      <c r="T12" s="27">
        <v>3</v>
      </c>
      <c r="W12" s="29" t="s">
        <v>472</v>
      </c>
      <c r="X12" s="27">
        <v>1</v>
      </c>
      <c r="Y12" s="27">
        <v>2</v>
      </c>
      <c r="Z12" s="11"/>
      <c r="AA12" s="27">
        <v>2</v>
      </c>
      <c r="AB12" s="27">
        <v>0</v>
      </c>
      <c r="AC12" s="27">
        <v>1</v>
      </c>
      <c r="AD12" s="27">
        <v>3</v>
      </c>
    </row>
    <row r="14" spans="1:32">
      <c r="F14" s="29" t="s">
        <v>471</v>
      </c>
      <c r="N14" s="29" t="s">
        <v>270</v>
      </c>
      <c r="Q14" s="29" t="s">
        <v>474</v>
      </c>
      <c r="X14" s="29" t="s">
        <v>270</v>
      </c>
      <c r="AA14" s="29" t="s">
        <v>474</v>
      </c>
    </row>
    <row r="15" spans="1:32">
      <c r="F15" s="29" t="s">
        <v>308</v>
      </c>
      <c r="M15" s="29" t="s">
        <v>188</v>
      </c>
      <c r="N15" s="27">
        <v>0</v>
      </c>
      <c r="O15" s="27">
        <v>1</v>
      </c>
      <c r="P15" s="11"/>
      <c r="Q15" s="27">
        <v>2</v>
      </c>
      <c r="R15" s="27">
        <v>0</v>
      </c>
      <c r="S15" s="27">
        <v>1</v>
      </c>
      <c r="T15" s="27">
        <v>2</v>
      </c>
      <c r="W15" s="29" t="s">
        <v>472</v>
      </c>
      <c r="X15" s="27">
        <v>1</v>
      </c>
      <c r="Y15" s="27">
        <v>2</v>
      </c>
      <c r="Z15" s="11"/>
      <c r="AA15" s="27">
        <v>2</v>
      </c>
      <c r="AB15" s="27">
        <v>0</v>
      </c>
      <c r="AC15" s="27">
        <v>1</v>
      </c>
      <c r="AD15" s="27">
        <v>2</v>
      </c>
    </row>
    <row r="18" spans="1:31" s="3" customFormat="1">
      <c r="A18" s="29" t="s">
        <v>613</v>
      </c>
      <c r="P18" s="29" t="s">
        <v>681</v>
      </c>
      <c r="W18" s="29" t="s">
        <v>681</v>
      </c>
    </row>
    <row r="19" spans="1:31">
      <c r="A19" s="27">
        <v>2</v>
      </c>
      <c r="B19" s="27">
        <v>5</v>
      </c>
      <c r="D19" s="27">
        <v>0</v>
      </c>
      <c r="E19" s="27">
        <v>8</v>
      </c>
      <c r="G19" s="27">
        <v>2</v>
      </c>
      <c r="H19" s="27">
        <v>0</v>
      </c>
      <c r="I19" s="27">
        <v>0</v>
      </c>
      <c r="J19" s="27">
        <v>5</v>
      </c>
      <c r="P19" s="27" t="s">
        <v>553</v>
      </c>
      <c r="Q19" s="2" t="s">
        <v>41</v>
      </c>
      <c r="R19" s="22" t="s">
        <v>940</v>
      </c>
      <c r="W19" s="27" t="s">
        <v>553</v>
      </c>
      <c r="X19" s="2" t="s">
        <v>41</v>
      </c>
      <c r="Y19" s="22" t="s">
        <v>968</v>
      </c>
    </row>
    <row r="20" spans="1:31">
      <c r="P20" s="27"/>
      <c r="Q20" s="2" t="s">
        <v>41</v>
      </c>
      <c r="R20" s="22" t="s">
        <v>329</v>
      </c>
      <c r="W20" s="27"/>
      <c r="X20" s="2" t="s">
        <v>41</v>
      </c>
      <c r="Y20" s="22" t="s">
        <v>708</v>
      </c>
    </row>
    <row r="21" spans="1:31">
      <c r="P21" s="27"/>
      <c r="Q21" s="2" t="s">
        <v>41</v>
      </c>
      <c r="R21" s="22" t="s">
        <v>1125</v>
      </c>
    </row>
    <row r="23" spans="1:31" s="29" customFormat="1" ht="12">
      <c r="A23" s="29" t="s">
        <v>836</v>
      </c>
      <c r="J23" s="29" t="s">
        <v>57</v>
      </c>
      <c r="V23" s="29" t="s">
        <v>558</v>
      </c>
    </row>
    <row r="24" spans="1:31">
      <c r="A24" s="27">
        <v>3</v>
      </c>
      <c r="B24" s="27">
        <v>5</v>
      </c>
      <c r="C24" s="27">
        <v>9</v>
      </c>
      <c r="D24" s="27">
        <v>5</v>
      </c>
      <c r="E24" s="27">
        <v>2</v>
      </c>
      <c r="F24" s="27">
        <v>0</v>
      </c>
      <c r="G24" s="27">
        <v>1</v>
      </c>
      <c r="H24" s="27">
        <v>6</v>
      </c>
      <c r="J24" s="27">
        <v>2</v>
      </c>
      <c r="K24" s="27">
        <v>0</v>
      </c>
      <c r="L24" s="27">
        <v>2</v>
      </c>
      <c r="M24" s="27">
        <v>2</v>
      </c>
      <c r="N24" s="27">
        <v>0</v>
      </c>
      <c r="O24" s="27">
        <v>5</v>
      </c>
      <c r="P24" s="27">
        <v>3</v>
      </c>
      <c r="Q24" s="27">
        <v>2</v>
      </c>
      <c r="R24" s="27">
        <v>8</v>
      </c>
      <c r="S24" s="27">
        <v>6</v>
      </c>
      <c r="T24" s="27"/>
      <c r="V24" s="27">
        <v>7</v>
      </c>
      <c r="W24" s="27">
        <v>7</v>
      </c>
      <c r="X24" s="2" t="s">
        <v>837</v>
      </c>
      <c r="Y24" s="27">
        <v>3</v>
      </c>
      <c r="Z24" s="27">
        <v>9</v>
      </c>
      <c r="AA24" s="2" t="s">
        <v>837</v>
      </c>
      <c r="AB24" s="27">
        <v>0</v>
      </c>
    </row>
    <row r="26" spans="1:31" s="29" customFormat="1" ht="12">
      <c r="A26" s="29" t="s">
        <v>1090</v>
      </c>
    </row>
    <row r="27" spans="1:31" s="11" customFormat="1">
      <c r="A27" s="27" t="s">
        <v>1126</v>
      </c>
      <c r="B27" s="27" t="s">
        <v>1127</v>
      </c>
      <c r="C27" s="27" t="s">
        <v>1128</v>
      </c>
      <c r="D27" s="27" t="s">
        <v>1129</v>
      </c>
      <c r="E27" s="27" t="s">
        <v>1130</v>
      </c>
      <c r="F27" s="27" t="s">
        <v>1131</v>
      </c>
      <c r="G27" s="27" t="s">
        <v>1132</v>
      </c>
      <c r="H27" s="27" t="s">
        <v>1130</v>
      </c>
      <c r="I27" s="27"/>
      <c r="J27" s="27" t="s">
        <v>1133</v>
      </c>
      <c r="K27" s="27" t="s">
        <v>1134</v>
      </c>
      <c r="L27" s="27" t="s">
        <v>1135</v>
      </c>
      <c r="M27" s="27" t="s">
        <v>1136</v>
      </c>
      <c r="N27" s="27"/>
      <c r="O27" s="27" t="s">
        <v>1126</v>
      </c>
      <c r="P27" s="27" t="s">
        <v>837</v>
      </c>
      <c r="Q27" s="27" t="s">
        <v>1133</v>
      </c>
      <c r="R27" s="27" t="s">
        <v>837</v>
      </c>
      <c r="S27" s="27" t="s">
        <v>1128</v>
      </c>
      <c r="T27" s="27" t="s">
        <v>837</v>
      </c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</row>
    <row r="28" spans="1:31" s="11" customFormat="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30" spans="1:31" s="22" customFormat="1" ht="12">
      <c r="A30" s="29" t="s">
        <v>759</v>
      </c>
    </row>
    <row r="31" spans="1:31" s="22" customFormat="1" ht="12">
      <c r="A31" s="22" t="s">
        <v>1020</v>
      </c>
      <c r="X31" s="22" t="s">
        <v>318</v>
      </c>
    </row>
    <row r="32" spans="1:31" s="11" customFormat="1">
      <c r="A32" s="27" t="s">
        <v>1131</v>
      </c>
      <c r="B32" s="27" t="s">
        <v>1128</v>
      </c>
      <c r="C32" s="27" t="s">
        <v>1137</v>
      </c>
      <c r="D32" s="27" t="s">
        <v>1139</v>
      </c>
      <c r="E32" s="27" t="s">
        <v>1132</v>
      </c>
      <c r="F32" s="27" t="s">
        <v>1130</v>
      </c>
      <c r="G32" s="27" t="s">
        <v>1135</v>
      </c>
      <c r="H32" s="27" t="s">
        <v>1126</v>
      </c>
      <c r="I32" s="27" t="s">
        <v>1131</v>
      </c>
      <c r="J32" s="27" t="s">
        <v>1130</v>
      </c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8"/>
      <c r="X32" s="27">
        <v>6</v>
      </c>
      <c r="Y32" s="27">
        <v>5</v>
      </c>
      <c r="Z32" s="27"/>
      <c r="AA32" s="27"/>
      <c r="AB32" s="27"/>
      <c r="AC32" s="27"/>
      <c r="AD32" s="27"/>
      <c r="AE32" s="27"/>
    </row>
    <row r="34" spans="1:31" s="22" customFormat="1" ht="12">
      <c r="A34" s="22" t="s">
        <v>559</v>
      </c>
      <c r="G34" s="22" t="s">
        <v>94</v>
      </c>
    </row>
    <row r="35" spans="1:31">
      <c r="A35" s="27">
        <v>8</v>
      </c>
      <c r="B35" s="27">
        <v>5</v>
      </c>
      <c r="C35" s="27">
        <v>1</v>
      </c>
      <c r="D35" s="27">
        <v>0</v>
      </c>
      <c r="E35" s="27">
        <v>1</v>
      </c>
      <c r="G35" s="27" t="s">
        <v>1138</v>
      </c>
      <c r="H35" s="27" t="s">
        <v>1133</v>
      </c>
      <c r="I35" s="27" t="s">
        <v>1130</v>
      </c>
      <c r="J35" s="27" t="s">
        <v>1136</v>
      </c>
      <c r="K35" s="27" t="s">
        <v>1132</v>
      </c>
      <c r="L35" s="27" t="s">
        <v>1126</v>
      </c>
      <c r="M35" s="27" t="s">
        <v>1127</v>
      </c>
      <c r="N35" s="27" t="s">
        <v>1130</v>
      </c>
      <c r="O35" s="27" t="s">
        <v>1129</v>
      </c>
      <c r="P35" s="27" t="s">
        <v>1130</v>
      </c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7" spans="1:31" s="22" customFormat="1" ht="12">
      <c r="A37" s="22" t="s">
        <v>92</v>
      </c>
      <c r="P37" s="22" t="s">
        <v>844</v>
      </c>
    </row>
    <row r="38" spans="1:31">
      <c r="A38" s="27">
        <v>0</v>
      </c>
      <c r="B38" s="27">
        <v>2</v>
      </c>
      <c r="C38" s="27"/>
      <c r="D38" s="27"/>
      <c r="E38" s="2" t="s">
        <v>192</v>
      </c>
      <c r="F38" s="27">
        <v>2</v>
      </c>
      <c r="G38" s="27">
        <v>0</v>
      </c>
      <c r="H38" s="27">
        <v>2</v>
      </c>
      <c r="I38" s="27">
        <v>7</v>
      </c>
      <c r="J38" s="27">
        <v>5</v>
      </c>
      <c r="K38" s="27">
        <v>5</v>
      </c>
      <c r="L38" s="27">
        <v>3</v>
      </c>
      <c r="M38" s="27">
        <v>7</v>
      </c>
      <c r="P38" s="27"/>
      <c r="Q38" s="27"/>
      <c r="R38" s="27"/>
      <c r="S38" s="27"/>
      <c r="T38" s="2" t="s">
        <v>192</v>
      </c>
      <c r="U38" s="27"/>
      <c r="V38" s="27"/>
      <c r="W38" s="27"/>
      <c r="X38" s="27"/>
      <c r="Y38" s="27"/>
      <c r="Z38" s="27"/>
      <c r="AA38" s="27"/>
      <c r="AB38" s="27"/>
    </row>
    <row r="40" spans="1:31" s="22" customFormat="1" ht="12">
      <c r="A40" s="22" t="s">
        <v>644</v>
      </c>
    </row>
    <row r="41" spans="1:3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</row>
    <row r="43" spans="1:31" ht="15" customHeight="1">
      <c r="A43" s="138" t="s">
        <v>191</v>
      </c>
      <c r="B43" s="139"/>
      <c r="C43" s="139"/>
      <c r="D43" s="139"/>
      <c r="E43" s="139"/>
      <c r="F43" s="139"/>
      <c r="G43" s="140"/>
      <c r="H43" s="126" t="s">
        <v>790</v>
      </c>
      <c r="I43" s="127"/>
      <c r="J43" s="127"/>
      <c r="K43" s="127"/>
      <c r="L43" s="127"/>
      <c r="M43" s="127"/>
      <c r="N43" s="127"/>
      <c r="O43" s="128"/>
      <c r="P43" s="126" t="s">
        <v>838</v>
      </c>
      <c r="Q43" s="127"/>
      <c r="R43" s="127"/>
      <c r="S43" s="127"/>
      <c r="T43" s="127"/>
      <c r="U43" s="127"/>
      <c r="V43" s="127"/>
      <c r="W43" s="128"/>
      <c r="X43" s="126" t="s">
        <v>298</v>
      </c>
      <c r="Y43" s="127"/>
      <c r="Z43" s="127"/>
      <c r="AA43" s="127"/>
      <c r="AB43" s="127"/>
      <c r="AC43" s="127"/>
      <c r="AD43" s="127"/>
      <c r="AE43" s="128"/>
    </row>
    <row r="44" spans="1:31" s="11" customFormat="1">
      <c r="A44" s="132">
        <v>41720</v>
      </c>
      <c r="B44" s="133"/>
      <c r="C44" s="133"/>
      <c r="D44" s="133"/>
      <c r="E44" s="133"/>
      <c r="F44" s="133"/>
      <c r="G44" s="134"/>
      <c r="H44" s="129"/>
      <c r="I44" s="130"/>
      <c r="J44" s="130"/>
      <c r="K44" s="130"/>
      <c r="L44" s="130"/>
      <c r="M44" s="130"/>
      <c r="N44" s="130"/>
      <c r="O44" s="131"/>
      <c r="P44" s="129"/>
      <c r="Q44" s="130"/>
      <c r="R44" s="130"/>
      <c r="S44" s="130"/>
      <c r="T44" s="130"/>
      <c r="U44" s="130"/>
      <c r="V44" s="130"/>
      <c r="W44" s="131"/>
      <c r="X44" s="129"/>
      <c r="Y44" s="130"/>
      <c r="Z44" s="130"/>
      <c r="AA44" s="130"/>
      <c r="AB44" s="130"/>
      <c r="AC44" s="130"/>
      <c r="AD44" s="130"/>
      <c r="AE44" s="131"/>
    </row>
    <row r="45" spans="1:31">
      <c r="A45" s="135"/>
      <c r="B45" s="136"/>
      <c r="C45" s="136"/>
      <c r="D45" s="136"/>
      <c r="E45" s="136"/>
      <c r="F45" s="136"/>
      <c r="G45" s="137"/>
      <c r="H45" s="119"/>
      <c r="I45" s="120"/>
      <c r="J45" s="120"/>
      <c r="K45" s="120"/>
      <c r="L45" s="120"/>
      <c r="M45" s="120"/>
      <c r="N45" s="120"/>
      <c r="O45" s="121"/>
      <c r="P45" s="119"/>
      <c r="Q45" s="120"/>
      <c r="R45" s="120"/>
      <c r="S45" s="120"/>
      <c r="T45" s="120"/>
      <c r="U45" s="120"/>
      <c r="V45" s="120"/>
      <c r="W45" s="121"/>
      <c r="X45" s="119"/>
      <c r="Y45" s="120"/>
      <c r="Z45" s="120"/>
      <c r="AA45" s="120"/>
      <c r="AB45" s="120"/>
      <c r="AC45" s="120"/>
      <c r="AD45" s="120"/>
      <c r="AE45" s="121"/>
    </row>
    <row r="46" spans="1:31">
      <c r="A46" s="138" t="s">
        <v>196</v>
      </c>
      <c r="B46" s="139"/>
      <c r="C46" s="139"/>
      <c r="D46" s="139"/>
      <c r="E46" s="139"/>
      <c r="F46" s="139"/>
      <c r="G46" s="140"/>
      <c r="H46" s="119"/>
      <c r="I46" s="122"/>
      <c r="J46" s="122"/>
      <c r="K46" s="122"/>
      <c r="L46" s="122"/>
      <c r="M46" s="122"/>
      <c r="N46" s="122"/>
      <c r="O46" s="121"/>
      <c r="P46" s="119"/>
      <c r="Q46" s="122"/>
      <c r="R46" s="122"/>
      <c r="S46" s="122"/>
      <c r="T46" s="122"/>
      <c r="U46" s="122"/>
      <c r="V46" s="122"/>
      <c r="W46" s="121"/>
      <c r="X46" s="119"/>
      <c r="Y46" s="122"/>
      <c r="Z46" s="122"/>
      <c r="AA46" s="122"/>
      <c r="AB46" s="122"/>
      <c r="AC46" s="122"/>
      <c r="AD46" s="122"/>
      <c r="AE46" s="121"/>
    </row>
    <row r="47" spans="1:31" s="11" customFormat="1">
      <c r="A47" s="141"/>
      <c r="B47" s="133"/>
      <c r="C47" s="133"/>
      <c r="D47" s="133"/>
      <c r="E47" s="133"/>
      <c r="F47" s="133"/>
      <c r="G47" s="134"/>
      <c r="H47" s="119"/>
      <c r="I47" s="122"/>
      <c r="J47" s="122"/>
      <c r="K47" s="122"/>
      <c r="L47" s="122"/>
      <c r="M47" s="122"/>
      <c r="N47" s="122"/>
      <c r="O47" s="121"/>
      <c r="P47" s="119"/>
      <c r="Q47" s="122"/>
      <c r="R47" s="122"/>
      <c r="S47" s="122"/>
      <c r="T47" s="122"/>
      <c r="U47" s="122"/>
      <c r="V47" s="122"/>
      <c r="W47" s="121"/>
      <c r="X47" s="119"/>
      <c r="Y47" s="122"/>
      <c r="Z47" s="122"/>
      <c r="AA47" s="122"/>
      <c r="AB47" s="122"/>
      <c r="AC47" s="122"/>
      <c r="AD47" s="122"/>
      <c r="AE47" s="121"/>
    </row>
    <row r="48" spans="1:31">
      <c r="A48" s="135"/>
      <c r="B48" s="136"/>
      <c r="C48" s="136"/>
      <c r="D48" s="136"/>
      <c r="E48" s="136"/>
      <c r="F48" s="136"/>
      <c r="G48" s="137"/>
      <c r="H48" s="123"/>
      <c r="I48" s="124"/>
      <c r="J48" s="124"/>
      <c r="K48" s="124"/>
      <c r="L48" s="124"/>
      <c r="M48" s="124"/>
      <c r="N48" s="124"/>
      <c r="O48" s="125"/>
      <c r="P48" s="123"/>
      <c r="Q48" s="124"/>
      <c r="R48" s="124"/>
      <c r="S48" s="124"/>
      <c r="T48" s="124"/>
      <c r="U48" s="124"/>
      <c r="V48" s="124"/>
      <c r="W48" s="125"/>
      <c r="X48" s="123"/>
      <c r="Y48" s="124"/>
      <c r="Z48" s="124"/>
      <c r="AA48" s="124"/>
      <c r="AB48" s="124"/>
      <c r="AC48" s="124"/>
      <c r="AD48" s="124"/>
      <c r="AE48" s="125"/>
    </row>
    <row r="49" spans="1:1">
      <c r="A49" s="22" t="s">
        <v>292</v>
      </c>
    </row>
  </sheetData>
  <mergeCells count="15">
    <mergeCell ref="W2:AD2"/>
    <mergeCell ref="L6:P6"/>
    <mergeCell ref="A4:AF4"/>
    <mergeCell ref="A5:AF5"/>
    <mergeCell ref="Q6:S6"/>
    <mergeCell ref="X45:AE48"/>
    <mergeCell ref="X43:AE44"/>
    <mergeCell ref="A44:G45"/>
    <mergeCell ref="A43:G43"/>
    <mergeCell ref="A46:G46"/>
    <mergeCell ref="A47:G48"/>
    <mergeCell ref="H45:O48"/>
    <mergeCell ref="H43:O44"/>
    <mergeCell ref="P45:W48"/>
    <mergeCell ref="P43:W4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6"/>
  <sheetViews>
    <sheetView topLeftCell="A31" workbookViewId="0">
      <selection activeCell="I48" sqref="I48"/>
    </sheetView>
  </sheetViews>
  <sheetFormatPr defaultRowHeight="15"/>
  <sheetData>
    <row r="1" spans="1:10" s="11" customFormat="1" ht="18.75">
      <c r="B1" s="13" t="s">
        <v>279</v>
      </c>
    </row>
    <row r="2" spans="1:10" s="11" customFormat="1"/>
    <row r="3" spans="1:10" s="11" customFormat="1" ht="15.75">
      <c r="A3" s="12" t="s">
        <v>850</v>
      </c>
    </row>
    <row r="4" spans="1:10" s="11" customFormat="1">
      <c r="B4" s="168" t="s">
        <v>1140</v>
      </c>
      <c r="C4" s="174"/>
      <c r="D4" s="174"/>
      <c r="E4" s="174"/>
      <c r="F4" s="174"/>
      <c r="G4" s="174"/>
      <c r="H4" s="174"/>
      <c r="I4" s="175"/>
      <c r="J4" s="17"/>
    </row>
    <row r="5" spans="1:10" s="11" customFormat="1">
      <c r="B5" s="17" t="s">
        <v>719</v>
      </c>
      <c r="C5" s="17"/>
      <c r="D5" s="164" t="s">
        <v>1141</v>
      </c>
      <c r="E5" s="165"/>
      <c r="F5" s="165"/>
      <c r="G5" s="165"/>
      <c r="H5" s="165"/>
      <c r="I5" s="166"/>
      <c r="J5" s="17"/>
    </row>
    <row r="6" spans="1:10" s="11" customFormat="1">
      <c r="B6" s="17" t="s">
        <v>123</v>
      </c>
      <c r="D6" s="179">
        <v>38559</v>
      </c>
      <c r="E6" s="175"/>
      <c r="F6" s="26"/>
      <c r="G6" s="26"/>
      <c r="H6" s="26"/>
      <c r="I6" s="26"/>
    </row>
    <row r="7" spans="1:10" s="11" customFormat="1">
      <c r="B7" s="17" t="s">
        <v>129</v>
      </c>
      <c r="D7" s="179">
        <v>38589</v>
      </c>
      <c r="E7" s="175"/>
      <c r="F7" s="26"/>
      <c r="G7" s="26"/>
      <c r="H7" s="26"/>
      <c r="I7" s="26"/>
    </row>
    <row r="8" spans="1:10" s="11" customFormat="1">
      <c r="B8" s="17" t="s">
        <v>619</v>
      </c>
      <c r="D8" s="168">
        <v>35952016</v>
      </c>
      <c r="E8" s="175"/>
    </row>
    <row r="9" spans="1:10">
      <c r="B9" s="17" t="s">
        <v>919</v>
      </c>
      <c r="D9" s="168">
        <v>2022053286</v>
      </c>
      <c r="E9" s="175"/>
    </row>
    <row r="10" spans="1:10" s="11" customFormat="1">
      <c r="B10" s="17"/>
    </row>
    <row r="11" spans="1:10" s="11" customFormat="1" ht="15.75">
      <c r="A11" s="12" t="s">
        <v>920</v>
      </c>
      <c r="B11" s="23"/>
      <c r="C11" s="16"/>
      <c r="D11" s="16"/>
      <c r="E11" s="16"/>
      <c r="F11" s="16"/>
      <c r="G11" s="16"/>
      <c r="H11" s="16"/>
      <c r="I11" s="16"/>
    </row>
    <row r="13" spans="1:10">
      <c r="A13" s="151" t="s">
        <v>1142</v>
      </c>
      <c r="B13" s="152"/>
      <c r="C13" s="152"/>
      <c r="D13" s="152"/>
      <c r="E13" s="152"/>
      <c r="F13" s="152"/>
      <c r="G13" s="152"/>
      <c r="H13" s="152"/>
      <c r="I13" s="153"/>
    </row>
    <row r="14" spans="1:10">
      <c r="A14" s="154"/>
      <c r="B14" s="155"/>
      <c r="C14" s="155"/>
      <c r="D14" s="155"/>
      <c r="E14" s="155"/>
      <c r="F14" s="155"/>
      <c r="G14" s="155"/>
      <c r="H14" s="155"/>
      <c r="I14" s="156"/>
    </row>
    <row r="15" spans="1:10">
      <c r="A15" s="154"/>
      <c r="B15" s="155"/>
      <c r="C15" s="155"/>
      <c r="D15" s="155"/>
      <c r="E15" s="155"/>
      <c r="F15" s="155"/>
      <c r="G15" s="155"/>
      <c r="H15" s="155"/>
      <c r="I15" s="156"/>
    </row>
    <row r="16" spans="1:10">
      <c r="A16" s="154"/>
      <c r="B16" s="155"/>
      <c r="C16" s="155"/>
      <c r="D16" s="155"/>
      <c r="E16" s="155"/>
      <c r="F16" s="155"/>
      <c r="G16" s="155"/>
      <c r="H16" s="155"/>
      <c r="I16" s="156"/>
    </row>
    <row r="17" spans="1:9">
      <c r="A17" s="154"/>
      <c r="B17" s="155"/>
      <c r="C17" s="155"/>
      <c r="D17" s="155"/>
      <c r="E17" s="155"/>
      <c r="F17" s="155"/>
      <c r="G17" s="155"/>
      <c r="H17" s="155"/>
      <c r="I17" s="156"/>
    </row>
    <row r="18" spans="1:9">
      <c r="A18" s="157"/>
      <c r="B18" s="158"/>
      <c r="C18" s="158"/>
      <c r="D18" s="158"/>
      <c r="E18" s="158"/>
      <c r="F18" s="158"/>
      <c r="G18" s="158"/>
      <c r="H18" s="158"/>
      <c r="I18" s="159"/>
    </row>
    <row r="20" spans="1:9" s="11" customFormat="1" ht="15.75">
      <c r="A20" s="12" t="s">
        <v>24</v>
      </c>
      <c r="B20" s="23"/>
      <c r="C20" s="16"/>
      <c r="D20" s="16"/>
      <c r="E20" s="16"/>
      <c r="F20" s="16"/>
      <c r="G20" s="16"/>
      <c r="H20" s="16"/>
      <c r="I20" s="16"/>
    </row>
    <row r="22" spans="1:9" ht="15" customHeight="1">
      <c r="A22" s="160" t="s">
        <v>288</v>
      </c>
      <c r="B22" s="161"/>
      <c r="C22" s="161"/>
      <c r="D22" s="161"/>
      <c r="E22" s="162"/>
      <c r="F22" s="163" t="s">
        <v>391</v>
      </c>
      <c r="G22" s="163"/>
      <c r="H22" s="180" t="s">
        <v>320</v>
      </c>
      <c r="I22" s="181"/>
    </row>
    <row r="23" spans="1:9" s="11" customFormat="1" ht="15" customHeight="1">
      <c r="A23" s="164" t="s">
        <v>984</v>
      </c>
      <c r="B23" s="165"/>
      <c r="C23" s="165"/>
      <c r="D23" s="165"/>
      <c r="E23" s="166"/>
      <c r="F23" s="167">
        <v>1</v>
      </c>
      <c r="G23" s="167"/>
      <c r="H23" s="164">
        <v>1</v>
      </c>
      <c r="I23" s="125"/>
    </row>
    <row r="24" spans="1:9" s="11" customFormat="1" ht="30" customHeight="1">
      <c r="A24" s="170" t="s">
        <v>62</v>
      </c>
      <c r="B24" s="171"/>
      <c r="C24" s="171"/>
      <c r="D24" s="171"/>
      <c r="E24" s="172"/>
      <c r="F24" s="173">
        <v>1</v>
      </c>
      <c r="G24" s="173"/>
      <c r="H24" s="168">
        <v>1</v>
      </c>
      <c r="I24" s="169"/>
    </row>
    <row r="25" spans="1:9" s="11" customFormat="1" ht="15" customHeight="1">
      <c r="A25" s="168" t="s">
        <v>1103</v>
      </c>
      <c r="B25" s="174"/>
      <c r="C25" s="174"/>
      <c r="D25" s="174"/>
      <c r="E25" s="175"/>
      <c r="F25" s="173">
        <v>1</v>
      </c>
      <c r="G25" s="173"/>
      <c r="H25" s="168">
        <v>1</v>
      </c>
      <c r="I25" s="169"/>
    </row>
    <row r="27" spans="1:9" s="11" customFormat="1" ht="15.75">
      <c r="A27" s="12" t="s">
        <v>219</v>
      </c>
      <c r="B27" s="23"/>
      <c r="C27" s="16"/>
      <c r="D27" s="16"/>
      <c r="E27" s="16"/>
      <c r="F27" s="16"/>
      <c r="G27" s="16"/>
      <c r="H27" s="16"/>
      <c r="I27" s="16"/>
    </row>
    <row r="29" spans="1:9" ht="30" customHeight="1">
      <c r="A29" s="163" t="s">
        <v>1122</v>
      </c>
      <c r="B29" s="176"/>
      <c r="C29" s="176"/>
      <c r="D29" s="163" t="s">
        <v>588</v>
      </c>
      <c r="E29" s="163"/>
      <c r="F29" s="54" t="s">
        <v>1066</v>
      </c>
      <c r="G29" s="180" t="s">
        <v>351</v>
      </c>
      <c r="H29" s="182"/>
      <c r="I29" s="181"/>
    </row>
    <row r="30" spans="1:9" s="11" customFormat="1" ht="15" customHeight="1">
      <c r="A30" s="177"/>
      <c r="B30" s="178"/>
      <c r="C30" s="178"/>
      <c r="D30" s="177"/>
      <c r="E30" s="178"/>
      <c r="F30" s="53"/>
      <c r="G30" s="164"/>
      <c r="H30" s="124"/>
      <c r="I30" s="125"/>
    </row>
    <row r="31" spans="1:9" s="11" customFormat="1" ht="15" customHeight="1">
      <c r="A31" s="149"/>
      <c r="B31" s="150"/>
      <c r="C31" s="150"/>
      <c r="D31" s="149"/>
      <c r="E31" s="150"/>
      <c r="F31" s="25"/>
      <c r="G31" s="168"/>
      <c r="H31" s="183"/>
      <c r="I31" s="169"/>
    </row>
    <row r="32" spans="1:9" s="11" customFormat="1" ht="15" customHeight="1">
      <c r="A32" s="149"/>
      <c r="B32" s="150"/>
      <c r="C32" s="150"/>
      <c r="D32" s="149"/>
      <c r="E32" s="150"/>
      <c r="F32" s="25"/>
      <c r="G32" s="168"/>
      <c r="H32" s="183"/>
      <c r="I32" s="169"/>
    </row>
    <row r="33" spans="1:10" s="11" customFormat="1" ht="15" customHeight="1">
      <c r="A33" s="149"/>
      <c r="B33" s="150"/>
      <c r="C33" s="150"/>
      <c r="D33" s="149"/>
      <c r="E33" s="150"/>
      <c r="F33" s="25"/>
      <c r="G33" s="184"/>
      <c r="H33" s="183"/>
      <c r="I33" s="169"/>
    </row>
    <row r="34" spans="1:10" s="11" customFormat="1" ht="15" customHeight="1">
      <c r="A34" s="149"/>
      <c r="B34" s="150"/>
      <c r="C34" s="150"/>
      <c r="D34" s="149"/>
      <c r="E34" s="150"/>
      <c r="F34" s="25"/>
      <c r="G34" s="168"/>
      <c r="H34" s="183"/>
      <c r="I34" s="169"/>
    </row>
    <row r="35" spans="1:10" s="11" customFormat="1" ht="15" customHeight="1">
      <c r="A35" s="149"/>
      <c r="B35" s="150"/>
      <c r="C35" s="150"/>
      <c r="D35" s="149"/>
      <c r="E35" s="150"/>
      <c r="F35" s="25"/>
      <c r="G35" s="168"/>
      <c r="H35" s="183"/>
      <c r="I35" s="169"/>
    </row>
    <row r="36" spans="1:10" s="11" customFormat="1" ht="15" customHeight="1">
      <c r="A36" s="149"/>
      <c r="B36" s="150"/>
      <c r="C36" s="150"/>
      <c r="D36" s="149"/>
      <c r="E36" s="150"/>
      <c r="F36" s="25"/>
      <c r="G36" s="168"/>
      <c r="H36" s="183"/>
      <c r="I36" s="169"/>
    </row>
    <row r="37" spans="1:10" s="11" customFormat="1" ht="15" customHeight="1">
      <c r="A37" s="149"/>
      <c r="B37" s="150"/>
      <c r="C37" s="150"/>
      <c r="D37" s="149"/>
      <c r="E37" s="150"/>
      <c r="F37" s="25"/>
      <c r="G37" s="168"/>
      <c r="H37" s="183"/>
      <c r="I37" s="169"/>
    </row>
    <row r="39" spans="1:10" s="11" customFormat="1" ht="15.75">
      <c r="A39" s="12" t="s">
        <v>307</v>
      </c>
      <c r="B39" s="23"/>
      <c r="C39" s="16"/>
      <c r="D39" s="16"/>
      <c r="E39" s="16"/>
      <c r="F39" s="16"/>
      <c r="G39" s="16"/>
      <c r="H39" s="16"/>
      <c r="I39" s="16"/>
    </row>
    <row r="41" spans="1:10" s="11" customFormat="1"/>
    <row r="42" spans="1:10" s="11" customFormat="1">
      <c r="B42" s="17" t="s">
        <v>116</v>
      </c>
      <c r="C42" s="17"/>
      <c r="D42" s="17"/>
      <c r="E42" s="17"/>
      <c r="F42" s="17"/>
      <c r="G42" s="17"/>
      <c r="H42" s="17"/>
      <c r="I42" s="17"/>
      <c r="J42" s="17"/>
    </row>
    <row r="43" spans="1:10" s="11" customFormat="1"/>
    <row r="44" spans="1:10" s="11" customFormat="1"/>
    <row r="46" spans="1:10" s="11" customFormat="1" ht="15.75">
      <c r="A46" s="12" t="s">
        <v>35</v>
      </c>
      <c r="B46" s="23"/>
      <c r="C46" s="16"/>
      <c r="D46" s="16"/>
      <c r="E46" s="16"/>
      <c r="F46" s="16"/>
      <c r="G46" s="16"/>
      <c r="H46" s="16"/>
      <c r="I46" s="84">
        <v>41445</v>
      </c>
    </row>
  </sheetData>
  <mergeCells count="46">
    <mergeCell ref="A37:C37"/>
    <mergeCell ref="D37:E37"/>
    <mergeCell ref="G29:I29"/>
    <mergeCell ref="G30:I30"/>
    <mergeCell ref="G31:I31"/>
    <mergeCell ref="G32:I32"/>
    <mergeCell ref="G33:I33"/>
    <mergeCell ref="G34:I34"/>
    <mergeCell ref="A35:C35"/>
    <mergeCell ref="D35:E35"/>
    <mergeCell ref="G35:I35"/>
    <mergeCell ref="G36:I36"/>
    <mergeCell ref="G37:I37"/>
    <mergeCell ref="D30:E30"/>
    <mergeCell ref="A36:C36"/>
    <mergeCell ref="D36:E36"/>
    <mergeCell ref="B4:I4"/>
    <mergeCell ref="A31:C31"/>
    <mergeCell ref="D31:E31"/>
    <mergeCell ref="A32:C32"/>
    <mergeCell ref="D32:E32"/>
    <mergeCell ref="A29:C29"/>
    <mergeCell ref="D29:E29"/>
    <mergeCell ref="A30:C30"/>
    <mergeCell ref="D5:I5"/>
    <mergeCell ref="D6:E6"/>
    <mergeCell ref="D7:E7"/>
    <mergeCell ref="D8:E8"/>
    <mergeCell ref="D9:E9"/>
    <mergeCell ref="H22:I22"/>
    <mergeCell ref="A34:C34"/>
    <mergeCell ref="D34:E34"/>
    <mergeCell ref="A13:I18"/>
    <mergeCell ref="A22:E22"/>
    <mergeCell ref="F22:G22"/>
    <mergeCell ref="A23:E23"/>
    <mergeCell ref="F23:G23"/>
    <mergeCell ref="H23:I23"/>
    <mergeCell ref="H24:I24"/>
    <mergeCell ref="H25:I25"/>
    <mergeCell ref="A33:C33"/>
    <mergeCell ref="D33:E33"/>
    <mergeCell ref="A24:E24"/>
    <mergeCell ref="F24:G24"/>
    <mergeCell ref="A25:E25"/>
    <mergeCell ref="F25:G2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35</vt:i4>
      </vt:variant>
      <vt:variant>
        <vt:lpstr>Pomenované rozsahy</vt:lpstr>
      </vt:variant>
      <vt:variant>
        <vt:i4>1</vt:i4>
      </vt:variant>
    </vt:vector>
  </HeadingPairs>
  <TitlesOfParts>
    <vt:vector size="36" baseType="lpstr">
      <vt:lpstr>Popis</vt:lpstr>
      <vt:lpstr>Suvaha_BO</vt:lpstr>
      <vt:lpstr>Suvaha_PO</vt:lpstr>
      <vt:lpstr>HK_BO</vt:lpstr>
      <vt:lpstr>HK_PO</vt:lpstr>
      <vt:lpstr>OPO_BO</vt:lpstr>
      <vt:lpstr>OPO_PO</vt:lpstr>
      <vt:lpstr>Uvod</vt:lpstr>
      <vt:lpstr>A.</vt:lpstr>
      <vt:lpstr>B.</vt:lpstr>
      <vt:lpstr>C. D.</vt:lpstr>
      <vt:lpstr>E.</vt:lpstr>
      <vt:lpstr>F. a) 1)</vt:lpstr>
      <vt:lpstr>F. a) 2)</vt:lpstr>
      <vt:lpstr>F. b) - h)</vt:lpstr>
      <vt:lpstr>F. i)</vt:lpstr>
      <vt:lpstr>F. j)</vt:lpstr>
      <vt:lpstr>F. j) - m)</vt:lpstr>
      <vt:lpstr>F.n) - p)</vt:lpstr>
      <vt:lpstr>F.q)</vt:lpstr>
      <vt:lpstr>F.r)</vt:lpstr>
      <vt:lpstr>F.w)-z)</vt:lpstr>
      <vt:lpstr>G.a)-b)</vt:lpstr>
      <vt:lpstr>G.c)-i)</vt:lpstr>
      <vt:lpstr>G.j)-m)</vt:lpstr>
      <vt:lpstr>H.</vt:lpstr>
      <vt:lpstr>I.</vt:lpstr>
      <vt:lpstr>J.</vt:lpstr>
      <vt:lpstr>K.</vt:lpstr>
      <vt:lpstr>L.</vt:lpstr>
      <vt:lpstr>M.</vt:lpstr>
      <vt:lpstr>N.</vt:lpstr>
      <vt:lpstr>O.</vt:lpstr>
      <vt:lpstr>P.</vt:lpstr>
      <vt:lpstr>Hárok1</vt:lpstr>
      <vt:lpstr>E.!Oblasť_tlače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Štrocholec Dušan</dc:creator>
  <cp:lastModifiedBy>Katka</cp:lastModifiedBy>
  <cp:lastPrinted>2014-03-22T10:50:16Z</cp:lastPrinted>
  <dcterms:created xsi:type="dcterms:W3CDTF">2011-12-30T16:41:12Z</dcterms:created>
  <dcterms:modified xsi:type="dcterms:W3CDTF">2014-03-22T11:13:10Z</dcterms:modified>
</cp:coreProperties>
</file>