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ThisWorkbook" defaultThemeVersion="124226"/>
  <bookViews>
    <workbookView xWindow="120" yWindow="480" windowWidth="15120" windowHeight="7515" tabRatio="775" activeTab="1"/>
  </bookViews>
  <sheets>
    <sheet name="VYSVETLIVKY" sheetId="51" r:id="rId1"/>
    <sheet name="1" sheetId="1" r:id="rId2"/>
    <sheet name="2" sheetId="5" r:id="rId3"/>
    <sheet name="4" sheetId="7" r:id="rId4"/>
    <sheet name="6" sheetId="9" r:id="rId5"/>
    <sheet name="11" sheetId="14" r:id="rId6"/>
    <sheet name="14" sheetId="17" r:id="rId7"/>
    <sheet name="15" sheetId="18" r:id="rId8"/>
    <sheet name="17" sheetId="20" r:id="rId9"/>
    <sheet name="22" sheetId="26" r:id="rId10"/>
    <sheet name="23" sheetId="27" r:id="rId11"/>
    <sheet name="24" sheetId="28" r:id="rId12"/>
    <sheet name="25" sheetId="29" r:id="rId13"/>
    <sheet name="26" sheetId="30" r:id="rId14"/>
    <sheet name="32" sheetId="38" r:id="rId15"/>
    <sheet name="33" sheetId="40" r:id="rId16"/>
    <sheet name="36" sheetId="43" r:id="rId17"/>
    <sheet name="37" sheetId="50" r:id="rId18"/>
    <sheet name="Hárok1" sheetId="60" r:id="rId19"/>
    <sheet name="HK" sheetId="64" r:id="rId20"/>
    <sheet name="HKSU" sheetId="73" r:id="rId21"/>
    <sheet name="HKM" sheetId="65" r:id="rId22"/>
    <sheet name="HKSUM" sheetId="74" r:id="rId23"/>
    <sheet name="VZaS" sheetId="66" r:id="rId24"/>
    <sheet name="VZaSM" sheetId="67" r:id="rId25"/>
    <sheet name="SUA" sheetId="68" r:id="rId26"/>
    <sheet name="SUP" sheetId="69" r:id="rId27"/>
    <sheet name="SUAM" sheetId="70" r:id="rId28"/>
    <sheet name="SUPM" sheetId="71" r:id="rId29"/>
    <sheet name="Info" sheetId="72" r:id="rId30"/>
  </sheets>
  <definedNames>
    <definedName name="_xlnm.Print_Area" localSheetId="5">'11'!$A$1:$F$40</definedName>
    <definedName name="_xlnm.Print_Area" localSheetId="6">'14'!$A$1:$F$38</definedName>
    <definedName name="_xlnm.Print_Area" localSheetId="7">'15'!$A$1:$D$40</definedName>
    <definedName name="_xlnm.Print_Area" localSheetId="8">'17'!$A$1:$C$46</definedName>
    <definedName name="_xlnm.Print_Area" localSheetId="2">'2'!$A$1:$I$25,'2'!$A$27:$I$54</definedName>
    <definedName name="_xlnm.Print_Area" localSheetId="9">'22'!$A$1:$B$41</definedName>
    <definedName name="_xlnm.Print_Area" localSheetId="10">'23'!$A$1:$H$43</definedName>
    <definedName name="_xlnm.Print_Area" localSheetId="11">'24'!$A$1:$C$45</definedName>
    <definedName name="_xlnm.Print_Area" localSheetId="12">'25'!$A$1:$C$35</definedName>
    <definedName name="_xlnm.Print_Area" localSheetId="13">'26'!$A$1:$C$45</definedName>
    <definedName name="_xlnm.Print_Area" localSheetId="14">'32'!$A$1:$F$41</definedName>
    <definedName name="_xlnm.Print_Area" localSheetId="15">'33'!$A$1:$C$45</definedName>
    <definedName name="_xlnm.Print_Area" localSheetId="16">'36'!$A$1:$J$26</definedName>
    <definedName name="_xlnm.Print_Area" localSheetId="17">'37'!$A$1:$J$44</definedName>
    <definedName name="_xlnm.Print_Area" localSheetId="3">'4'!$A$1:$J$55</definedName>
    <definedName name="_xlnm.Print_Area" localSheetId="4">'6'!$A$1:$J$50</definedName>
    <definedName name="_xlnm.Print_Area" localSheetId="18">Hárok1!$A$1:$G$48</definedName>
    <definedName name="_xlnm.Print_Area" localSheetId="19">HK!$A$1:$C$10</definedName>
    <definedName name="_xlnm.Print_Area" localSheetId="21">HKM!$A$1:$C$10</definedName>
    <definedName name="_xlnm.Print_Area" localSheetId="20">HKSU!$A$1:$C$10</definedName>
    <definedName name="_xlnm.Print_Area" localSheetId="22">HKSUM!$A$1:$C$10</definedName>
    <definedName name="_xlnm.Print_Area" localSheetId="29">Info!$A$1:$F$33</definedName>
    <definedName name="_xlnm.Print_Area" localSheetId="25">SUA!$A$1:$B$10</definedName>
    <definedName name="_xlnm.Print_Area" localSheetId="27">SUAM!$A$1:$B$9</definedName>
    <definedName name="_xlnm.Print_Area" localSheetId="26">SUP!$B$1:$B$10</definedName>
    <definedName name="_xlnm.Print_Area" localSheetId="28">SUPM!$B$1:$B$10</definedName>
    <definedName name="_xlnm.Print_Area" localSheetId="23">VZaS!$B$1:$B$10</definedName>
    <definedName name="_xlnm.Print_Area" localSheetId="24">VZaSM!$B$1:$B$10</definedName>
  </definedNames>
  <calcPr calcId="145621" calcMode="manual"/>
</workbook>
</file>

<file path=xl/calcChain.xml><?xml version="1.0" encoding="utf-8"?>
<calcChain xmlns="http://schemas.openxmlformats.org/spreadsheetml/2006/main">
  <c r="B9" i="43" l="1"/>
  <c r="J16" i="7"/>
  <c r="J12" i="7"/>
  <c r="J13" i="7"/>
  <c r="C16" i="7"/>
  <c r="D18" i="18" l="1"/>
  <c r="D17" i="18"/>
  <c r="D16" i="18"/>
  <c r="D15" i="18"/>
  <c r="D14" i="18"/>
  <c r="D13" i="18"/>
  <c r="D12" i="18"/>
  <c r="D9" i="18"/>
  <c r="D8" i="18"/>
  <c r="D7" i="18"/>
  <c r="D6" i="18"/>
  <c r="D5" i="18"/>
  <c r="D8" i="17" l="1"/>
  <c r="D4" i="17"/>
  <c r="C4" i="17"/>
  <c r="E9" i="17"/>
  <c r="C8" i="17"/>
  <c r="D12" i="27"/>
  <c r="C12" i="27"/>
  <c r="F8" i="17"/>
  <c r="D34" i="27"/>
  <c r="D33" i="27"/>
  <c r="D32" i="27"/>
  <c r="D31" i="27"/>
  <c r="D30" i="27"/>
  <c r="D29" i="27"/>
  <c r="C34" i="27"/>
  <c r="C33" i="27"/>
  <c r="C32" i="27"/>
  <c r="C31" i="27"/>
  <c r="C30" i="27"/>
  <c r="C29" i="27"/>
  <c r="B34" i="27"/>
  <c r="F34" i="27" s="1"/>
  <c r="B33" i="27"/>
  <c r="F33" i="27" s="1"/>
  <c r="B32" i="27"/>
  <c r="F32" i="27" s="1"/>
  <c r="B31" i="27"/>
  <c r="F31" i="27" s="1"/>
  <c r="B30" i="27"/>
  <c r="F30" i="27" s="1"/>
  <c r="B29" i="27"/>
  <c r="D16" i="27"/>
  <c r="D15" i="27"/>
  <c r="D14" i="27"/>
  <c r="D13" i="27"/>
  <c r="D11" i="27"/>
  <c r="C15" i="27"/>
  <c r="C16" i="27"/>
  <c r="C14" i="27"/>
  <c r="C13" i="27"/>
  <c r="C11" i="27"/>
  <c r="B16" i="27"/>
  <c r="F16" i="27" s="1"/>
  <c r="B15" i="27"/>
  <c r="F15" i="27" s="1"/>
  <c r="B14" i="27"/>
  <c r="F14" i="27" s="1"/>
  <c r="B13" i="27"/>
  <c r="F13" i="27" s="1"/>
  <c r="B12" i="27"/>
  <c r="B11" i="27"/>
  <c r="C9" i="17" l="1"/>
  <c r="D9" i="17"/>
  <c r="F12" i="27"/>
  <c r="B8" i="17"/>
  <c r="H20" i="7"/>
  <c r="H19" i="7"/>
  <c r="G14" i="7"/>
  <c r="G13" i="7"/>
  <c r="F14" i="7"/>
  <c r="F13" i="7"/>
  <c r="E14" i="7"/>
  <c r="E13" i="7"/>
  <c r="D14" i="7"/>
  <c r="D13" i="7"/>
  <c r="C14" i="7"/>
  <c r="I8" i="7"/>
  <c r="I7" i="7"/>
  <c r="H8" i="7"/>
  <c r="H7" i="7"/>
  <c r="G8" i="7"/>
  <c r="G7" i="7"/>
  <c r="F8" i="7"/>
  <c r="F7" i="7"/>
  <c r="E8" i="7"/>
  <c r="E7" i="7"/>
  <c r="D8" i="7"/>
  <c r="D7" i="7"/>
  <c r="C8" i="7"/>
  <c r="C7" i="7"/>
  <c r="B8" i="7"/>
  <c r="B7" i="7"/>
  <c r="J47" i="7" l="1"/>
  <c r="J41" i="7"/>
  <c r="C42" i="7"/>
  <c r="D42" i="7"/>
  <c r="E42" i="7"/>
  <c r="F42" i="7"/>
  <c r="G42" i="7"/>
  <c r="J21" i="7"/>
  <c r="J15" i="7"/>
  <c r="I21" i="5"/>
  <c r="I15" i="5"/>
  <c r="C5" i="27" l="1"/>
  <c r="D5" i="27"/>
  <c r="I31" i="9"/>
  <c r="H31" i="9"/>
  <c r="F31" i="9"/>
  <c r="E31" i="9"/>
  <c r="D31" i="9"/>
  <c r="C31" i="9"/>
  <c r="B31" i="9"/>
  <c r="I32" i="9"/>
  <c r="H32" i="9"/>
  <c r="F32" i="9"/>
  <c r="E32" i="9"/>
  <c r="D32" i="9"/>
  <c r="C32" i="9"/>
  <c r="B32" i="9"/>
  <c r="I8" i="9"/>
  <c r="I7" i="9"/>
  <c r="H8" i="9"/>
  <c r="H7" i="9"/>
  <c r="F7" i="9"/>
  <c r="E7" i="9"/>
  <c r="D7" i="9"/>
  <c r="C7" i="9"/>
  <c r="F8" i="9"/>
  <c r="E8" i="9"/>
  <c r="D8" i="9"/>
  <c r="C8" i="9"/>
  <c r="B8" i="9"/>
  <c r="B7" i="9"/>
  <c r="B6" i="9"/>
  <c r="H46" i="7"/>
  <c r="G40" i="7"/>
  <c r="F40" i="7"/>
  <c r="E40" i="7"/>
  <c r="D40" i="7"/>
  <c r="C40" i="7"/>
  <c r="H45" i="7"/>
  <c r="G39" i="7"/>
  <c r="F39" i="7"/>
  <c r="E39" i="7"/>
  <c r="D39" i="7"/>
  <c r="C39" i="7"/>
  <c r="I34" i="7"/>
  <c r="H34" i="7"/>
  <c r="G34" i="7"/>
  <c r="F34" i="7"/>
  <c r="E34" i="7"/>
  <c r="D34" i="7"/>
  <c r="C34" i="7"/>
  <c r="B34" i="7"/>
  <c r="I33" i="7"/>
  <c r="H33" i="7"/>
  <c r="G33" i="7"/>
  <c r="F33" i="7"/>
  <c r="E33" i="7"/>
  <c r="D33" i="7"/>
  <c r="C33" i="7"/>
  <c r="B33" i="7"/>
  <c r="B32" i="7"/>
  <c r="G45" i="5"/>
  <c r="G46" i="5"/>
  <c r="F41" i="5"/>
  <c r="E41" i="5"/>
  <c r="D41" i="5"/>
  <c r="C41" i="5"/>
  <c r="B41" i="5"/>
  <c r="F40" i="5"/>
  <c r="E40" i="5"/>
  <c r="D40" i="5"/>
  <c r="C40" i="5"/>
  <c r="B40" i="5"/>
  <c r="H35" i="5"/>
  <c r="G35" i="5"/>
  <c r="F35" i="5"/>
  <c r="E35" i="5"/>
  <c r="D35" i="5"/>
  <c r="C35" i="5"/>
  <c r="B35" i="5"/>
  <c r="H34" i="5"/>
  <c r="G34" i="5"/>
  <c r="F34" i="5"/>
  <c r="E34" i="5"/>
  <c r="D34" i="5"/>
  <c r="C34" i="5"/>
  <c r="B34" i="5"/>
  <c r="B33" i="5"/>
  <c r="G19" i="5"/>
  <c r="G20" i="5"/>
  <c r="F14" i="5"/>
  <c r="E14" i="5"/>
  <c r="E13" i="5"/>
  <c r="D14" i="5"/>
  <c r="C14" i="5"/>
  <c r="B14" i="5"/>
  <c r="F13" i="5"/>
  <c r="D13" i="5"/>
  <c r="C13" i="5"/>
  <c r="B13" i="5"/>
  <c r="B7" i="5"/>
  <c r="C7" i="5"/>
  <c r="H8" i="5"/>
  <c r="G8" i="5"/>
  <c r="F8" i="5"/>
  <c r="E8" i="5"/>
  <c r="D8" i="5"/>
  <c r="C8" i="5"/>
  <c r="B8" i="5"/>
  <c r="H7" i="5"/>
  <c r="G7" i="5"/>
  <c r="F7" i="5"/>
  <c r="E7" i="5"/>
  <c r="D7" i="5"/>
  <c r="D44" i="50" l="1"/>
  <c r="D43" i="50"/>
  <c r="D41" i="50"/>
  <c r="D40" i="50"/>
  <c r="D39" i="50"/>
  <c r="D38" i="50"/>
  <c r="D37" i="50"/>
  <c r="D36" i="50"/>
  <c r="D35" i="50"/>
  <c r="D34" i="50"/>
  <c r="D33" i="50"/>
  <c r="D32" i="50"/>
  <c r="D31" i="50"/>
  <c r="D30" i="50"/>
  <c r="D29" i="50"/>
  <c r="D28" i="50"/>
  <c r="D27" i="50"/>
  <c r="C44" i="50"/>
  <c r="C43" i="50"/>
  <c r="C41" i="50"/>
  <c r="C40" i="50"/>
  <c r="C39" i="50"/>
  <c r="C38" i="50"/>
  <c r="C37" i="50"/>
  <c r="C36" i="50"/>
  <c r="C35" i="50"/>
  <c r="C34" i="50"/>
  <c r="C33" i="50"/>
  <c r="C32" i="50"/>
  <c r="C31" i="50"/>
  <c r="C30" i="50"/>
  <c r="C29" i="50"/>
  <c r="C28" i="50"/>
  <c r="C27" i="50"/>
  <c r="D5" i="50"/>
  <c r="C5" i="50"/>
  <c r="D22" i="50"/>
  <c r="D21" i="50"/>
  <c r="D19" i="50"/>
  <c r="D18" i="50"/>
  <c r="D17" i="50"/>
  <c r="D16" i="50"/>
  <c r="D15" i="50"/>
  <c r="D14" i="50"/>
  <c r="D13" i="50"/>
  <c r="D12" i="50"/>
  <c r="D11" i="50"/>
  <c r="D10" i="50"/>
  <c r="D9" i="50"/>
  <c r="D8" i="50"/>
  <c r="D6" i="50"/>
  <c r="D7" i="50"/>
  <c r="C22" i="50"/>
  <c r="C21" i="50"/>
  <c r="B20" i="50"/>
  <c r="C19" i="50"/>
  <c r="C18" i="50"/>
  <c r="C17" i="50"/>
  <c r="C16" i="50"/>
  <c r="C15" i="50"/>
  <c r="C14" i="50"/>
  <c r="C13" i="50"/>
  <c r="C12" i="50"/>
  <c r="C11" i="50"/>
  <c r="C10" i="50"/>
  <c r="C9" i="50"/>
  <c r="C8" i="50"/>
  <c r="C7" i="50"/>
  <c r="C6" i="50"/>
  <c r="B5" i="50"/>
  <c r="B7" i="50"/>
  <c r="C8" i="30"/>
  <c r="B8" i="30"/>
  <c r="C4" i="30"/>
  <c r="C7" i="30" s="1"/>
  <c r="B4" i="30"/>
  <c r="B7" i="30" s="1"/>
  <c r="B6" i="5"/>
  <c r="B22" i="26" l="1"/>
  <c r="B18" i="26"/>
  <c r="B4" i="26"/>
  <c r="D9" i="14"/>
  <c r="C9" i="14"/>
  <c r="B9" i="14"/>
  <c r="J42" i="9" l="1"/>
  <c r="J43" i="9"/>
  <c r="J41" i="9"/>
  <c r="J37" i="9"/>
  <c r="J38" i="9"/>
  <c r="J36" i="9"/>
  <c r="J31" i="9"/>
  <c r="J32" i="9"/>
  <c r="J33" i="9"/>
  <c r="J19" i="9"/>
  <c r="J18" i="9"/>
  <c r="J13" i="9"/>
  <c r="J14" i="9"/>
  <c r="J12" i="9"/>
  <c r="J7" i="9"/>
  <c r="J8" i="9"/>
  <c r="J9" i="9"/>
  <c r="J45" i="7"/>
  <c r="J46" i="7"/>
  <c r="J39" i="7"/>
  <c r="J40" i="7"/>
  <c r="J33" i="7"/>
  <c r="J34" i="7"/>
  <c r="J35" i="7"/>
  <c r="J19" i="7"/>
  <c r="J20" i="7"/>
  <c r="J14" i="7"/>
  <c r="J7" i="7"/>
  <c r="J8" i="7"/>
  <c r="J9" i="7"/>
  <c r="B36" i="50" l="1"/>
  <c r="B35" i="50"/>
  <c r="B32" i="50"/>
  <c r="B13" i="50"/>
  <c r="B10" i="50"/>
  <c r="F5" i="38" l="1"/>
  <c r="E5" i="38"/>
  <c r="C5" i="38"/>
  <c r="C9" i="30" l="1"/>
  <c r="F30" i="50"/>
  <c r="F28" i="50"/>
  <c r="B30" i="50"/>
  <c r="B28" i="50"/>
  <c r="B34" i="9"/>
  <c r="H10" i="9"/>
  <c r="H22" i="7"/>
  <c r="I18" i="7"/>
  <c r="I22" i="7"/>
  <c r="G33" i="5"/>
  <c r="C33" i="5"/>
  <c r="E12" i="5"/>
  <c r="E10" i="5"/>
  <c r="C10" i="5"/>
  <c r="E6" i="5"/>
  <c r="B12" i="5" l="1"/>
  <c r="C5" i="20" l="1"/>
  <c r="B5" i="20"/>
  <c r="C7" i="20"/>
  <c r="F39" i="50" l="1"/>
  <c r="C11" i="43" l="1"/>
  <c r="C10" i="43"/>
  <c r="F11" i="43"/>
  <c r="F12" i="38"/>
  <c r="E12" i="38"/>
  <c r="C16" i="29"/>
  <c r="C12" i="29"/>
  <c r="B16" i="29"/>
  <c r="B12" i="29"/>
  <c r="F29" i="27"/>
  <c r="C6" i="20"/>
  <c r="C4" i="20"/>
  <c r="B6" i="20"/>
  <c r="B7" i="20"/>
  <c r="B4" i="20"/>
  <c r="F7" i="17"/>
  <c r="F6" i="17"/>
  <c r="F5" i="17"/>
  <c r="F4" i="17"/>
  <c r="F9" i="17" s="1"/>
  <c r="B7" i="17"/>
  <c r="B6" i="17"/>
  <c r="B5" i="17"/>
  <c r="B4" i="17"/>
  <c r="I44" i="9"/>
  <c r="I17" i="9"/>
  <c r="J17" i="9" s="1"/>
  <c r="I20" i="9"/>
  <c r="I48" i="7"/>
  <c r="H47" i="5"/>
  <c r="H18" i="5"/>
  <c r="H22" i="5"/>
  <c r="B9" i="17" l="1"/>
  <c r="B39" i="50"/>
  <c r="C6" i="40"/>
  <c r="C5" i="40"/>
  <c r="C4" i="40"/>
  <c r="C3" i="40"/>
  <c r="B6" i="40"/>
  <c r="B5" i="40"/>
  <c r="B4" i="40"/>
  <c r="B3" i="40"/>
  <c r="F10" i="38"/>
  <c r="F9" i="38"/>
  <c r="F8" i="38"/>
  <c r="E10" i="38"/>
  <c r="E9" i="38"/>
  <c r="E8" i="38"/>
  <c r="F6" i="38"/>
  <c r="E6" i="38"/>
  <c r="D6" i="38"/>
  <c r="C6" i="38"/>
  <c r="B6" i="38"/>
  <c r="B5" i="38"/>
  <c r="F4" i="38"/>
  <c r="E4" i="38"/>
  <c r="D4" i="38"/>
  <c r="C4" i="38"/>
  <c r="B4" i="38"/>
  <c r="B9" i="30"/>
  <c r="C3" i="30"/>
  <c r="B3" i="30"/>
  <c r="F23" i="27"/>
  <c r="B23" i="27"/>
  <c r="F11" i="27"/>
  <c r="F5" i="27"/>
  <c r="B5" i="27"/>
  <c r="F44" i="50"/>
  <c r="F43" i="50"/>
  <c r="F41" i="50"/>
  <c r="F40" i="50"/>
  <c r="F38" i="50"/>
  <c r="F37" i="50"/>
  <c r="F36" i="50"/>
  <c r="F35" i="50"/>
  <c r="F34" i="50"/>
  <c r="F33" i="50"/>
  <c r="F32" i="50"/>
  <c r="F31" i="50"/>
  <c r="F29" i="50"/>
  <c r="F27" i="50"/>
  <c r="B44" i="50"/>
  <c r="B43" i="50"/>
  <c r="B41" i="50"/>
  <c r="B40" i="50"/>
  <c r="B38" i="50"/>
  <c r="B37" i="50"/>
  <c r="B34" i="50"/>
  <c r="B33" i="50"/>
  <c r="B31" i="50"/>
  <c r="B29" i="50"/>
  <c r="B27" i="50"/>
  <c r="F8" i="50"/>
  <c r="F6" i="50"/>
  <c r="B8" i="50"/>
  <c r="B6" i="50"/>
  <c r="F22" i="50"/>
  <c r="F21" i="50"/>
  <c r="F19" i="50"/>
  <c r="F18" i="50"/>
  <c r="F17" i="50"/>
  <c r="F16" i="50"/>
  <c r="F15" i="50"/>
  <c r="F14" i="50"/>
  <c r="F13" i="50"/>
  <c r="F12" i="50"/>
  <c r="F11" i="50"/>
  <c r="F10" i="50"/>
  <c r="F9" i="50"/>
  <c r="F7" i="50"/>
  <c r="F5" i="50"/>
  <c r="B22" i="50"/>
  <c r="B21" i="50"/>
  <c r="B19" i="50"/>
  <c r="B18" i="50"/>
  <c r="B17" i="50"/>
  <c r="B16" i="50"/>
  <c r="B15" i="50"/>
  <c r="B14" i="50"/>
  <c r="B12" i="50"/>
  <c r="B11" i="50"/>
  <c r="B9" i="50"/>
  <c r="F9" i="14"/>
  <c r="F8" i="14"/>
  <c r="F7" i="14"/>
  <c r="F6" i="14"/>
  <c r="F5" i="14"/>
  <c r="B8" i="14"/>
  <c r="B7" i="14"/>
  <c r="B6" i="14"/>
  <c r="B5" i="14"/>
  <c r="I34" i="9"/>
  <c r="H34" i="9"/>
  <c r="F34" i="9"/>
  <c r="E34" i="9"/>
  <c r="D34" i="9"/>
  <c r="C34" i="9"/>
  <c r="I30" i="9"/>
  <c r="H30" i="9"/>
  <c r="F30" i="9"/>
  <c r="E30" i="9"/>
  <c r="D30" i="9"/>
  <c r="C30" i="9"/>
  <c r="B30" i="9"/>
  <c r="I10" i="9"/>
  <c r="F10" i="9"/>
  <c r="E10" i="9"/>
  <c r="D10" i="9"/>
  <c r="C10" i="9"/>
  <c r="B10" i="9"/>
  <c r="I6" i="9"/>
  <c r="H6" i="9"/>
  <c r="F6" i="9"/>
  <c r="E6" i="9"/>
  <c r="D6" i="9"/>
  <c r="C6" i="9"/>
  <c r="H48" i="7"/>
  <c r="H44" i="7"/>
  <c r="J44" i="7" s="1"/>
  <c r="G38" i="7"/>
  <c r="F38" i="7"/>
  <c r="E38" i="7"/>
  <c r="D38" i="7"/>
  <c r="C38" i="7"/>
  <c r="I36" i="7"/>
  <c r="H36" i="7"/>
  <c r="G36" i="7"/>
  <c r="F36" i="7"/>
  <c r="E36" i="7"/>
  <c r="D36" i="7"/>
  <c r="C36" i="7"/>
  <c r="B36" i="7"/>
  <c r="I32" i="7"/>
  <c r="H32" i="7"/>
  <c r="G32" i="7"/>
  <c r="F32" i="7"/>
  <c r="E32" i="7"/>
  <c r="D32" i="7"/>
  <c r="C32" i="7"/>
  <c r="H18" i="7"/>
  <c r="J18" i="7" s="1"/>
  <c r="J22" i="7" s="1"/>
  <c r="G16" i="7"/>
  <c r="F16" i="7"/>
  <c r="E16" i="7"/>
  <c r="D16" i="7"/>
  <c r="G12" i="7"/>
  <c r="F12" i="7"/>
  <c r="E12" i="7"/>
  <c r="D12" i="7"/>
  <c r="C12" i="7"/>
  <c r="I10" i="7"/>
  <c r="H10" i="7"/>
  <c r="G10" i="7"/>
  <c r="F10" i="7"/>
  <c r="E10" i="7"/>
  <c r="D10" i="7"/>
  <c r="C10" i="7"/>
  <c r="B10" i="7"/>
  <c r="I6" i="7"/>
  <c r="H6" i="7"/>
  <c r="G6" i="7"/>
  <c r="F6" i="7"/>
  <c r="E6" i="7"/>
  <c r="D6" i="7"/>
  <c r="C6" i="7"/>
  <c r="B6" i="7"/>
  <c r="J30" i="9" l="1"/>
  <c r="J6" i="9"/>
  <c r="J6" i="7"/>
  <c r="J10" i="7" s="1"/>
  <c r="J38" i="7"/>
  <c r="J42" i="7" s="1"/>
  <c r="J32" i="7"/>
  <c r="G47" i="5"/>
  <c r="G44" i="5"/>
  <c r="F42" i="5"/>
  <c r="E42" i="5"/>
  <c r="D42" i="5"/>
  <c r="C42" i="5"/>
  <c r="B42" i="5"/>
  <c r="F39" i="5"/>
  <c r="E39" i="5"/>
  <c r="D39" i="5"/>
  <c r="C39" i="5"/>
  <c r="B39" i="5"/>
  <c r="H37" i="5"/>
  <c r="G37" i="5"/>
  <c r="F37" i="5"/>
  <c r="E37" i="5"/>
  <c r="D37" i="5"/>
  <c r="C37" i="5"/>
  <c r="B37" i="5"/>
  <c r="H33" i="5"/>
  <c r="F33" i="5"/>
  <c r="E33" i="5"/>
  <c r="D33" i="5"/>
  <c r="G22" i="5"/>
  <c r="G18" i="5"/>
  <c r="F16" i="5"/>
  <c r="E16" i="5"/>
  <c r="D16" i="5"/>
  <c r="C16" i="5"/>
  <c r="B16" i="5"/>
  <c r="F12" i="5"/>
  <c r="D12" i="5"/>
  <c r="C12" i="5"/>
  <c r="H10" i="5"/>
  <c r="G10" i="5"/>
  <c r="F10" i="5"/>
  <c r="D10" i="5"/>
  <c r="B10" i="5"/>
  <c r="H6" i="5"/>
  <c r="G6" i="5"/>
  <c r="F6" i="5"/>
  <c r="D6" i="5"/>
  <c r="C6" i="5"/>
  <c r="J25" i="7" l="1"/>
  <c r="J24" i="7"/>
  <c r="D5" i="38"/>
  <c r="J39" i="9" l="1"/>
  <c r="J15" i="9"/>
  <c r="J20" i="9"/>
  <c r="J44" i="9"/>
  <c r="J22" i="9"/>
  <c r="J10" i="9"/>
  <c r="J46" i="9"/>
  <c r="J34" i="9"/>
  <c r="J23" i="9" l="1"/>
  <c r="J47" i="9"/>
  <c r="F10" i="43"/>
  <c r="E4" i="43"/>
  <c r="B4" i="43"/>
  <c r="F42" i="50"/>
  <c r="B42" i="50"/>
  <c r="F20" i="50"/>
  <c r="E23" i="27" l="1"/>
  <c r="D23" i="27"/>
  <c r="C23" i="27"/>
  <c r="E29" i="27"/>
  <c r="E11" i="27"/>
  <c r="I46" i="5"/>
  <c r="I45" i="5"/>
  <c r="I44" i="5"/>
  <c r="I41" i="5"/>
  <c r="I40" i="5"/>
  <c r="I39" i="5"/>
  <c r="I36" i="5"/>
  <c r="I35" i="5"/>
  <c r="I34" i="5"/>
  <c r="I33" i="5"/>
  <c r="I47" i="5" l="1"/>
  <c r="I37" i="5"/>
  <c r="I42" i="5"/>
  <c r="I50" i="7" l="1"/>
  <c r="H50" i="7"/>
  <c r="G50" i="7"/>
  <c r="F50" i="7"/>
  <c r="E50" i="7"/>
  <c r="D50" i="7"/>
  <c r="C50" i="7"/>
  <c r="B50" i="7"/>
  <c r="I20" i="5"/>
  <c r="I19" i="5"/>
  <c r="I18" i="5"/>
  <c r="I14" i="5"/>
  <c r="I13" i="5"/>
  <c r="I12" i="5"/>
  <c r="I9" i="5"/>
  <c r="I8" i="5"/>
  <c r="I7" i="5"/>
  <c r="I6" i="5"/>
  <c r="F28" i="27"/>
  <c r="F27" i="27"/>
  <c r="F26" i="27"/>
  <c r="F25" i="27"/>
  <c r="F24" i="27"/>
  <c r="F10" i="27"/>
  <c r="F9" i="27"/>
  <c r="F8" i="27"/>
  <c r="F7" i="27"/>
  <c r="F6" i="27"/>
  <c r="E5" i="27"/>
  <c r="I22" i="5" l="1"/>
  <c r="I16" i="5"/>
  <c r="I10" i="5"/>
  <c r="C51" i="7"/>
  <c r="G51" i="7"/>
  <c r="I24" i="5"/>
  <c r="B51" i="7"/>
  <c r="F51" i="7"/>
  <c r="J36" i="7"/>
  <c r="J48" i="7"/>
  <c r="E51" i="7"/>
  <c r="I51" i="7"/>
  <c r="D51" i="7"/>
  <c r="H51" i="7"/>
  <c r="J50" i="7"/>
  <c r="I49" i="5"/>
  <c r="I50" i="5" l="1"/>
  <c r="I25" i="5"/>
  <c r="J51" i="7"/>
  <c r="C9" i="40"/>
  <c r="B9" i="40"/>
  <c r="B26" i="26"/>
  <c r="B14" i="26"/>
  <c r="C8" i="20"/>
  <c r="B8" i="20"/>
  <c r="C19" i="18"/>
  <c r="B19" i="18"/>
  <c r="C10" i="18"/>
  <c r="B10" i="18"/>
  <c r="F10" i="14"/>
  <c r="F11" i="14"/>
  <c r="C12" i="14"/>
  <c r="D12" i="14"/>
  <c r="E12" i="14"/>
  <c r="B12" i="14"/>
  <c r="F12" i="14" l="1"/>
  <c r="D10" i="18"/>
  <c r="D19" i="18"/>
</calcChain>
</file>

<file path=xl/sharedStrings.xml><?xml version="1.0" encoding="utf-8"?>
<sst xmlns="http://schemas.openxmlformats.org/spreadsheetml/2006/main" count="2724" uniqueCount="1349">
  <si>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</si>
  <si>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</si>
  <si>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</si>
  <si>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</si>
  <si>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</si>
  <si>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</si>
  <si>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</si>
  <si>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Tabuľka č. 1</t>
  </si>
  <si>
    <t>Spolu</t>
  </si>
  <si>
    <t>Tabuľka č. 2</t>
  </si>
  <si>
    <t>x</t>
  </si>
  <si>
    <t>Dlhodobý nehmotný majetok</t>
  </si>
  <si>
    <t>Softvér</t>
  </si>
  <si>
    <t>Goodwill</t>
  </si>
  <si>
    <t>Ostatný DNM</t>
  </si>
  <si>
    <t>Poskytnuté preddavky na DNM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</si>
  <si>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</si>
  <si>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</si>
  <si>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</si>
  <si>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</si>
  <si>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</si>
  <si>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</si>
  <si>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</si>
  <si>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</si>
  <si>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</si>
  <si>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</si>
  <si>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Dlhodobý hmotný majetok</t>
  </si>
  <si>
    <t>Pozemky</t>
  </si>
  <si>
    <t>Stavby</t>
  </si>
  <si>
    <t>Samostatné hnuteľné veci a súbory hnuteľných vecí</t>
  </si>
  <si>
    <t>Základné stádo a ťažné zvieratá</t>
  </si>
  <si>
    <t>Ostatný DHM</t>
  </si>
  <si>
    <t>Poskytnuté preddavky na DHM</t>
  </si>
  <si>
    <t>Podielové CP a podiely v DÚJ</t>
  </si>
  <si>
    <t>Ostatné dlhodobé CP a podiely</t>
  </si>
  <si>
    <t>Ostatný DFM</t>
  </si>
  <si>
    <t>Pôžičky s dobou splatnosti najviac jeden rok</t>
  </si>
  <si>
    <t>Dlhodobý finančný majetok</t>
  </si>
  <si>
    <t>Hodnota</t>
  </si>
  <si>
    <t>Zásoby</t>
  </si>
  <si>
    <t>Stav  OP na začiatku účtovného obdobia</t>
  </si>
  <si>
    <t>Stav OP na konci účtovného obdobia</t>
  </si>
  <si>
    <t>Materiál</t>
  </si>
  <si>
    <t>Výrobky</t>
  </si>
  <si>
    <t xml:space="preserve">Zvieratá </t>
  </si>
  <si>
    <t>Tovar</t>
  </si>
  <si>
    <t>Nehnuteľnosť na predaj</t>
  </si>
  <si>
    <t>Zásoby spolu</t>
  </si>
  <si>
    <t>Nedokončená výroba a polotovary vlastnej výroby</t>
  </si>
  <si>
    <t>Pohľadávky</t>
  </si>
  <si>
    <t>Stav OP na začiatku účtovného obdobia</t>
  </si>
  <si>
    <t>Tvorba</t>
  </si>
  <si>
    <t xml:space="preserve">Pohľadávky z obchodného styku 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</si>
  <si>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</si>
  <si>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</si>
  <si>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</si>
  <si>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</si>
  <si>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</si>
  <si>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</si>
  <si>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</si>
  <si>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</si>
  <si>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</si>
  <si>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</si>
  <si>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</si>
  <si>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</si>
  <si>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</si>
  <si>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</si>
  <si>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</si>
  <si>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</si>
  <si>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</si>
  <si>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</si>
  <si>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</si>
  <si>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</si>
  <si>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</si>
  <si>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</si>
  <si>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</si>
  <si>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</si>
  <si>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</si>
  <si>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</si>
  <si>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</si>
  <si>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</si>
  <si>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</si>
  <si>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</si>
  <si>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</si>
  <si>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</si>
  <si>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</si>
  <si>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</si>
  <si>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</si>
  <si>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</si>
  <si>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</si>
  <si>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</si>
  <si>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</si>
  <si>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Použitie</t>
  </si>
  <si>
    <t>Zrušenie</t>
  </si>
  <si>
    <t>Dlhodobé rezervy, z toho:</t>
  </si>
  <si>
    <t>Krátkodobé rezervy, z toho:</t>
  </si>
  <si>
    <t>Záväzky po lehote splatnosti</t>
  </si>
  <si>
    <t>Krátkodobé záväzky spolu</t>
  </si>
  <si>
    <t>Záväzky so zostatkovou dobou splatnosti jeden rok až päť rokov</t>
  </si>
  <si>
    <t>Záväzky so zostatkovou dobou splatnosti nad päť rokov</t>
  </si>
  <si>
    <t>Dlhodobé záväzky spolu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</si>
  <si>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</si>
  <si>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</si>
  <si>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</si>
  <si>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</si>
  <si>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</si>
  <si>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</si>
  <si>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</si>
  <si>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</si>
  <si>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</si>
  <si>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zníženie nákladov</t>
  </si>
  <si>
    <t>Zaúčtovaná do vlastného imania</t>
  </si>
  <si>
    <t>Odložený daňový záväzok</t>
  </si>
  <si>
    <t>Zmena odloženého daňového záväzku</t>
  </si>
  <si>
    <t>Zaúčtovaná ako náklad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</si>
  <si>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</si>
  <si>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</si>
  <si>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</si>
  <si>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</si>
  <si>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</si>
  <si>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</si>
  <si>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</si>
  <si>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</si>
  <si>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</si>
  <si>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</si>
  <si>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</si>
  <si>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</si>
  <si>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</si>
  <si>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</si>
  <si>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</si>
  <si>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</si>
  <si>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</si>
  <si>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</si>
  <si>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</si>
  <si>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</si>
  <si>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</si>
  <si>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</si>
  <si>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</si>
  <si>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</si>
  <si>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</si>
  <si>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</si>
  <si>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</si>
  <si>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</si>
  <si>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</si>
  <si>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</si>
  <si>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</si>
  <si>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</si>
  <si>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</si>
  <si>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</si>
  <si>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Kód druhu obchodu</t>
  </si>
  <si>
    <t>Stav na konci účtovného obdobia</t>
  </si>
  <si>
    <t>Základné imanie</t>
  </si>
  <si>
    <t>Vlastné akcie a vlastné obchodné podiely</t>
  </si>
  <si>
    <t>Emisné ážio</t>
  </si>
  <si>
    <t>Ostatné kapitálové fondy</t>
  </si>
  <si>
    <t>Zákonný rezervný fond (nedeliteľný fond) z kapitálových vkladov</t>
  </si>
  <si>
    <t>Oceňovacie rozdiely z kapitálových účastín</t>
  </si>
  <si>
    <t>Zákonný rezervný fond</t>
  </si>
  <si>
    <t>Nedeliteľný fond</t>
  </si>
  <si>
    <t>Štatutárne fondy a ostatné fondy</t>
  </si>
  <si>
    <t>Nerozdelený zisk minulých rokov</t>
  </si>
  <si>
    <t>Ostatné položky vlastného imania</t>
  </si>
  <si>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</si>
  <si>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</si>
  <si>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</si>
  <si>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</si>
  <si>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</si>
  <si>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</si>
  <si>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</si>
  <si>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</si>
  <si>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</si>
  <si>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</si>
  <si>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</si>
  <si>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</si>
  <si>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</si>
  <si>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</si>
  <si>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</si>
  <si>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</si>
  <si>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</si>
  <si>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</si>
  <si>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</si>
  <si>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</si>
  <si>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</si>
  <si>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</si>
  <si>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</si>
  <si>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</si>
  <si>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</si>
  <si>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</si>
  <si>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</si>
  <si>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</si>
  <si>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</si>
  <si>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</si>
  <si>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</si>
  <si>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</si>
  <si>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</si>
  <si>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</si>
  <si>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</si>
  <si>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</si>
  <si>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Aktivované náklady na vývoj</t>
  </si>
  <si>
    <t>Oceniteľné práva</t>
  </si>
  <si>
    <t>Obstarávaný DNM</t>
  </si>
  <si>
    <t>Pestovateľské celky 
trvalých porastov</t>
  </si>
  <si>
    <t>Obstarávaný DHM</t>
  </si>
  <si>
    <t>Obstarávaný  DFM</t>
  </si>
  <si>
    <t>Poskytnuté preddavky na DFM</t>
  </si>
  <si>
    <t>Tvorba OP</t>
  </si>
  <si>
    <t>Tvorba 
OP</t>
  </si>
  <si>
    <t>Zúčtovanie OP z dôvodu vyradenia majetku 
z účtovníctva</t>
  </si>
  <si>
    <t>Poskytnuté preddavky 
na zásoby</t>
  </si>
  <si>
    <t>Zúčtovanie OP z dôvodu zániku opodstat-
nenosti</t>
  </si>
  <si>
    <t>Položka vlastného imania</t>
  </si>
  <si>
    <t>Zmena základného imania</t>
  </si>
  <si>
    <t>Pohľadávky za upísané vlastné imanie</t>
  </si>
  <si>
    <t>Oceňovacie rozdiely z precenenia pri zlúčení, splynutí a rozdelení</t>
  </si>
  <si>
    <t>Neuhradená strata minulých rokov</t>
  </si>
  <si>
    <t>Výsledok hospodárenia bežného účtovného obdobia</t>
  </si>
  <si>
    <t>Účet 491 – Vlastné imanie fyzickej osoby – podnikateľa</t>
  </si>
  <si>
    <t>Stav 
na začiatku účtovného obdobia</t>
  </si>
  <si>
    <t>Záväzky so zostatkovou dobou splatnosti 
do jedného roka vrátane</t>
  </si>
  <si>
    <t>Nedokončená výroba a polotovary vlastnej výroby</t>
  </si>
  <si>
    <t>Bezprostred- 
ne predchádza-
júce účtovné obdobie</t>
  </si>
  <si>
    <t>Pôžičky ÚJ 
v kons. celku</t>
  </si>
  <si>
    <t>Podielové CP a podiely 
v spoločnosti
s podstatným
vplyvom</t>
  </si>
  <si>
    <t>GL,PS,013,MD-D</t>
  </si>
  <si>
    <t>BS,015,B</t>
  </si>
  <si>
    <t>BS,110,S</t>
  </si>
  <si>
    <t>IS,020,S</t>
  </si>
  <si>
    <t>B,K,N,M</t>
  </si>
  <si>
    <t>S,M</t>
  </si>
  <si>
    <t>PS,Z,CO</t>
  </si>
  <si>
    <t>Označenie</t>
  </si>
  <si>
    <t>A K T Í V A</t>
  </si>
  <si>
    <t>Zaokrúhlené
(brutto)</t>
  </si>
  <si>
    <t>Zaokrúhlené
(korekcia)</t>
  </si>
  <si>
    <t>Zaokrúhlené
(netto)</t>
  </si>
  <si>
    <t>Zaokrúhlené
(minulé)</t>
  </si>
  <si>
    <t>P A S Í V A</t>
  </si>
  <si>
    <t>Zaokrúhlené
(sledované)</t>
  </si>
  <si>
    <t>T E X T</t>
  </si>
  <si>
    <t>Účet</t>
  </si>
  <si>
    <t>Názov účtu</t>
  </si>
  <si>
    <t>Oceňovacie rozdiely z precenenia majetku a záväzkov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</si>
  <si>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</si>
  <si>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</si>
  <si>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</si>
  <si>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</si>
  <si>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</si>
  <si>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</si>
  <si>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</si>
  <si>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</si>
  <si>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</si>
  <si>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</si>
  <si>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Číslo 
riad.</t>
  </si>
  <si>
    <t>Skutočnosť v účtovnom 
období sledovanom</t>
  </si>
  <si>
    <t>Skutočnosť v účtovnom
období minulom</t>
  </si>
  <si>
    <t>Brutto v bežnom
účtovnom období</t>
  </si>
  <si>
    <t>Korekcia v bežnom
účtovnom období</t>
  </si>
  <si>
    <t>Netto v bežnom
účtovnom období</t>
  </si>
  <si>
    <t>Netto v minulom
účtovnom období</t>
  </si>
  <si>
    <t>Stav v bežnom
účtovnom období</t>
  </si>
  <si>
    <t>Stav v minulom
účtovnom období</t>
  </si>
  <si>
    <t>Popis</t>
  </si>
  <si>
    <t>Syntetický účet</t>
  </si>
  <si>
    <t>Názov syntetického účtu</t>
  </si>
  <si>
    <t>2. Informácie k časti F. písm. a) prílohy č. 3 o dlhodobom nehmotnom majetku</t>
  </si>
  <si>
    <t>4.  Informácie k časti F. písm. a) prílohy č. 3 o dlhodobom hmotnom majetku</t>
  </si>
  <si>
    <t>6. Informácie k časti F. písm. j) prílohy č. 3 o  dlhodobom finančnom majetku</t>
  </si>
  <si>
    <t>11. Informácie k časti F. písm. o) prílohy č. 3 o opravných položkách k zásobám</t>
  </si>
  <si>
    <t>14. Informácie k časti F. písm. r) prílohy č. 3 o vývoji opravnej položky  k pohľadávkam</t>
  </si>
  <si>
    <t>15. Informácie k časti F. písm. s) prílohy č. 3 o  vekovej štruktúre pohľadávok</t>
  </si>
  <si>
    <t>17. Informácie k časti F. písm. w)  prílohy č. 3 o krátkodobom finančnom majetku</t>
  </si>
  <si>
    <t xml:space="preserve">22. Informácie k časti G. písm. a) tretiemu bodu prílohy č. 3 o rozdelení účtovného zisku alebo o vysporiadaní účtovnej straty </t>
  </si>
  <si>
    <t>23. Informácie k časti G. písm. b) prílohy č. 3 o rezervách</t>
  </si>
  <si>
    <t>24. Informácie k časti G. písm. c) a d) prílohy č. 3 o záväzkoch</t>
  </si>
  <si>
    <t>26. Informácie k časti G. písm. g) prílohy č. 3 o záväzkoch zo sociálneho fondu</t>
  </si>
  <si>
    <t>25. Informácie k časti F. písm. v) a časti G. písm. f) prílohy č. 3 o odloženej daňovej pohľadávke alebo o odloženom daňovom záväzku</t>
  </si>
  <si>
    <t>32. Informácie k časti H. písm. b) prílohy č. 3 o zmene stavu vnútroorganizačných zásob</t>
  </si>
  <si>
    <t>33. Informácie k časti H. písm. g)  prílohy č. 3 o čistom obrate</t>
  </si>
  <si>
    <t>36. Informácie k časti J.  písm. f) a g) prílohy č. 3 o daniach z príjmov</t>
  </si>
  <si>
    <t>37. Informácie k časti P.  prílohy č. 3 o zmenách vlastného imania</t>
  </si>
  <si>
    <t>na dovolenku</t>
  </si>
  <si>
    <t>ostatné</t>
  </si>
  <si>
    <t>na nevyfaktúrované služby</t>
  </si>
  <si>
    <t>na odmeny</t>
  </si>
  <si>
    <t>na vernostný systém</t>
  </si>
  <si>
    <t>013100</t>
  </si>
  <si>
    <t>Software</t>
  </si>
  <si>
    <t>021100</t>
  </si>
  <si>
    <t>022200</t>
  </si>
  <si>
    <t>Kancelárska technika</t>
  </si>
  <si>
    <t>022300</t>
  </si>
  <si>
    <t>Inventár</t>
  </si>
  <si>
    <t>022500</t>
  </si>
  <si>
    <t>Ostatný samostatne hnuteľný majetok</t>
  </si>
  <si>
    <t>029100</t>
  </si>
  <si>
    <t>Ostatný dlhodobý hmotný majetok</t>
  </si>
  <si>
    <t>073100</t>
  </si>
  <si>
    <t>Oprávky k software</t>
  </si>
  <si>
    <t>081100</t>
  </si>
  <si>
    <t>Oprávky k stavbám</t>
  </si>
  <si>
    <t>082200</t>
  </si>
  <si>
    <t>Oprávky kanc. technika</t>
  </si>
  <si>
    <t>082300</t>
  </si>
  <si>
    <t>Oprávky k inventáru</t>
  </si>
  <si>
    <t>082500</t>
  </si>
  <si>
    <t>Oprávky k ostat. hnut. majetku</t>
  </si>
  <si>
    <t>089100</t>
  </si>
  <si>
    <t>Oprávky k ostatnému dlhodobému hmotnému majetku</t>
  </si>
  <si>
    <t>092100</t>
  </si>
  <si>
    <t xml:space="preserve">Opravná položka k DHM - stavby </t>
  </si>
  <si>
    <t>111100</t>
  </si>
  <si>
    <t>Obstaranie materiálu</t>
  </si>
  <si>
    <t>112400</t>
  </si>
  <si>
    <t>Materiál na sklade-vzorky</t>
  </si>
  <si>
    <t>131100</t>
  </si>
  <si>
    <t>Obstaranie tovaru</t>
  </si>
  <si>
    <t>131200</t>
  </si>
  <si>
    <t>Obstaranie tovaru - cenový rozdiel</t>
  </si>
  <si>
    <t>132100</t>
  </si>
  <si>
    <t>Tovar na sklade a v predajniach</t>
  </si>
  <si>
    <t>139100</t>
  </si>
  <si>
    <t>Tovar na ceste</t>
  </si>
  <si>
    <t>196100</t>
  </si>
  <si>
    <t>Opravná položka k tovaru</t>
  </si>
  <si>
    <t>196200</t>
  </si>
  <si>
    <t>Opravná položka k tovaru-pred expiráciou</t>
  </si>
  <si>
    <t>211400</t>
  </si>
  <si>
    <t>POKLADNICA OFFICE</t>
  </si>
  <si>
    <t>211500</t>
  </si>
  <si>
    <t>POKLADNICA LEKÁREŇ</t>
  </si>
  <si>
    <t>213600</t>
  </si>
  <si>
    <t>Ceniny - stravné lístky  3,30 EUR</t>
  </si>
  <si>
    <t>221100</t>
  </si>
  <si>
    <t>Bankové účty - bežný</t>
  </si>
  <si>
    <t>221810</t>
  </si>
  <si>
    <t>Uni Credit Bank Slovakia</t>
  </si>
  <si>
    <t>261200</t>
  </si>
  <si>
    <t>Odvod tržieb - RP</t>
  </si>
  <si>
    <t>311100</t>
  </si>
  <si>
    <t>Odberatelia</t>
  </si>
  <si>
    <t>311200</t>
  </si>
  <si>
    <t>Pohľadávky - podnik v skupine</t>
  </si>
  <si>
    <t>311300</t>
  </si>
  <si>
    <t>Pohľadávky - dcérska spoločnosť</t>
  </si>
  <si>
    <t>311400</t>
  </si>
  <si>
    <t>Pohľadávky - skupina MIRAKL</t>
  </si>
  <si>
    <t>311500</t>
  </si>
  <si>
    <t>Pohľadávky-lekárne v skupine Dr.Max Holding</t>
  </si>
  <si>
    <t>314100</t>
  </si>
  <si>
    <t>Poskytnuté preddavky</t>
  </si>
  <si>
    <t>314300</t>
  </si>
  <si>
    <t>Kaucie - za nájomné</t>
  </si>
  <si>
    <t>315110</t>
  </si>
  <si>
    <t>Pohľadávky - refakturácie voči dcer.spoločnostiam</t>
  </si>
  <si>
    <t>315122</t>
  </si>
  <si>
    <t>Pohľadávky - za predaj OP</t>
  </si>
  <si>
    <t>315700</t>
  </si>
  <si>
    <t>Platby kreditnou kartou</t>
  </si>
  <si>
    <t>315701</t>
  </si>
  <si>
    <t>Platby poukážkami</t>
  </si>
  <si>
    <t>315710</t>
  </si>
  <si>
    <t>Pohľadávky - vernostný systém</t>
  </si>
  <si>
    <t>321100</t>
  </si>
  <si>
    <t>Dodávatelia</t>
  </si>
  <si>
    <t>321110</t>
  </si>
  <si>
    <t>Dodávatelia zahraničie</t>
  </si>
  <si>
    <t>321300</t>
  </si>
  <si>
    <t>Dodávatelia dcérske firmy</t>
  </si>
  <si>
    <t>321400</t>
  </si>
  <si>
    <t>Dodávatelia -skupina Mirakl</t>
  </si>
  <si>
    <t>321500</t>
  </si>
  <si>
    <t>Dodávatelia-lekárne v skupine Dr.Max Holding</t>
  </si>
  <si>
    <t>323100</t>
  </si>
  <si>
    <t>Rezerva na dovolenky</t>
  </si>
  <si>
    <t>323210</t>
  </si>
  <si>
    <t>Rezerva na nevyfakturované služby a dodávky</t>
  </si>
  <si>
    <t>323230</t>
  </si>
  <si>
    <t>Rezerva na odmeny</t>
  </si>
  <si>
    <t>323240</t>
  </si>
  <si>
    <t>Rezerva na vernostný systém</t>
  </si>
  <si>
    <t>325200</t>
  </si>
  <si>
    <t>Ostatné záväzky</t>
  </si>
  <si>
    <t>326100</t>
  </si>
  <si>
    <t>Nevyfakturované dodávky</t>
  </si>
  <si>
    <t>331100</t>
  </si>
  <si>
    <t>Zamestnanci</t>
  </si>
  <si>
    <t>335600</t>
  </si>
  <si>
    <t>Stravné lístky</t>
  </si>
  <si>
    <t>335900</t>
  </si>
  <si>
    <t>Pohľadávky voči zamestnancom</t>
  </si>
  <si>
    <t>336100</t>
  </si>
  <si>
    <t>VŠZP</t>
  </si>
  <si>
    <t>336300</t>
  </si>
  <si>
    <t>VZP Dôvera</t>
  </si>
  <si>
    <t>336500</t>
  </si>
  <si>
    <t>Sociálna poisťovňa</t>
  </si>
  <si>
    <t>342100</t>
  </si>
  <si>
    <t>Daň zo závislej činnosti</t>
  </si>
  <si>
    <t>343110</t>
  </si>
  <si>
    <t>Výstup 10%</t>
  </si>
  <si>
    <t>343112</t>
  </si>
  <si>
    <t>Výstup 20%</t>
  </si>
  <si>
    <t>343210</t>
  </si>
  <si>
    <t>Vstup 10% - má nárok</t>
  </si>
  <si>
    <t>343214</t>
  </si>
  <si>
    <t>Vstup 10% - koeficient</t>
  </si>
  <si>
    <t>343216</t>
  </si>
  <si>
    <t>Vstup 20% - má nárok</t>
  </si>
  <si>
    <t>343218</t>
  </si>
  <si>
    <t>Vstup 20% - koeficient</t>
  </si>
  <si>
    <t>343300</t>
  </si>
  <si>
    <t>Daňová povinnosť/Odpočet</t>
  </si>
  <si>
    <t>345200</t>
  </si>
  <si>
    <t>Ostatné dane a poplatky</t>
  </si>
  <si>
    <t>361100</t>
  </si>
  <si>
    <t>Záväzky v rámci skupiny MIRAKL - istina</t>
  </si>
  <si>
    <t>361110</t>
  </si>
  <si>
    <t>Záväzky v rámci skupiny MIRAKL - úrok</t>
  </si>
  <si>
    <t>361500</t>
  </si>
  <si>
    <t>Záväzok - CASH POOLING / Tatrabanka</t>
  </si>
  <si>
    <t>361600</t>
  </si>
  <si>
    <t>Záväzok-CASH POOLING</t>
  </si>
  <si>
    <t>378600</t>
  </si>
  <si>
    <t>Iné pohľadávky - zdravotné poisťovne</t>
  </si>
  <si>
    <t>379600</t>
  </si>
  <si>
    <t>Iné záväzky - zdravotné poisťovne</t>
  </si>
  <si>
    <t>379701</t>
  </si>
  <si>
    <t>Iné záväzky - straty z V.O.S. 90%</t>
  </si>
  <si>
    <t>379999</t>
  </si>
  <si>
    <t>Neidentifikovaná položka</t>
  </si>
  <si>
    <t>381100</t>
  </si>
  <si>
    <t>Náklady budúcich období</t>
  </si>
  <si>
    <t>385100</t>
  </si>
  <si>
    <t>Príjmy budúcich období</t>
  </si>
  <si>
    <t>385300</t>
  </si>
  <si>
    <t>Príjmy budúcich období - Marketing</t>
  </si>
  <si>
    <t>391200</t>
  </si>
  <si>
    <t>Opravná položka - zdrav. poisťovne k 378-600</t>
  </si>
  <si>
    <t>395100</t>
  </si>
  <si>
    <t>Vnútorné zúčtovanie</t>
  </si>
  <si>
    <t>411100</t>
  </si>
  <si>
    <t>429010</t>
  </si>
  <si>
    <t>Neuhradená strata 2010</t>
  </si>
  <si>
    <t>429011</t>
  </si>
  <si>
    <t>Neuhradená strata 2011</t>
  </si>
  <si>
    <t>429012</t>
  </si>
  <si>
    <t>Neuhradená strata 2012</t>
  </si>
  <si>
    <t>431100</t>
  </si>
  <si>
    <t>Výsledok hospodárenia v schvaľovaní</t>
  </si>
  <si>
    <t>472100</t>
  </si>
  <si>
    <t>Záväzky zo sociálneho fondu</t>
  </si>
  <si>
    <t>472200</t>
  </si>
  <si>
    <t>Sociálny fond - čerpanie na SL</t>
  </si>
  <si>
    <t>472300</t>
  </si>
  <si>
    <t>Sociálny fond - čerpanie na ostatné</t>
  </si>
  <si>
    <t>481200</t>
  </si>
  <si>
    <t>Odložená daň. pohľadávka</t>
  </si>
  <si>
    <t>501200</t>
  </si>
  <si>
    <t>Kancelárske potreby</t>
  </si>
  <si>
    <t>501220</t>
  </si>
  <si>
    <t>IT materiál (cartrige, CD, klávesnice, myši a i.)</t>
  </si>
  <si>
    <t>501355</t>
  </si>
  <si>
    <t>Spotreba PHM - HOOPERS</t>
  </si>
  <si>
    <t>501400</t>
  </si>
  <si>
    <t>Drobný hmotný majetok</t>
  </si>
  <si>
    <t>501500</t>
  </si>
  <si>
    <t>Čistiace a hygienické potreby</t>
  </si>
  <si>
    <t>501510</t>
  </si>
  <si>
    <t>Čistiace a hyg.potreby-prací prášok podľa smernice</t>
  </si>
  <si>
    <t>501550</t>
  </si>
  <si>
    <t>Spotreba materiálu - MARKETING</t>
  </si>
  <si>
    <t>501560</t>
  </si>
  <si>
    <t>Letáky Dr.MAX - MARKETING</t>
  </si>
  <si>
    <t>501570</t>
  </si>
  <si>
    <t>Spotreba vzoriek Dr.MAX</t>
  </si>
  <si>
    <t>501700</t>
  </si>
  <si>
    <t>Použitie tovaru a materialu na prop. a zlos.akcie</t>
  </si>
  <si>
    <t>501800</t>
  </si>
  <si>
    <t>Spotrebný materiál</t>
  </si>
  <si>
    <t>501803</t>
  </si>
  <si>
    <t>Spotrebný materiál - obaloviny (Z. o odpadoch)</t>
  </si>
  <si>
    <t>501804</t>
  </si>
  <si>
    <t>Spotrebný materiál - auta - HOOPERS</t>
  </si>
  <si>
    <t>501900</t>
  </si>
  <si>
    <t>Ostatná spotreba - nedaňový náklad</t>
  </si>
  <si>
    <t>502100</t>
  </si>
  <si>
    <t>Spotreba el. energie</t>
  </si>
  <si>
    <t>502300</t>
  </si>
  <si>
    <t>Spotreba vody</t>
  </si>
  <si>
    <t>504100</t>
  </si>
  <si>
    <t>Predaný tovar /lekárne/</t>
  </si>
  <si>
    <t>504201</t>
  </si>
  <si>
    <t>Predaný tovar  - OTC</t>
  </si>
  <si>
    <t>504202</t>
  </si>
  <si>
    <t>Predaný tovar  - privátna značka</t>
  </si>
  <si>
    <t>504205</t>
  </si>
  <si>
    <t>Predaný tovar - v rámci skupiny Dr. Max</t>
  </si>
  <si>
    <t>504300</t>
  </si>
  <si>
    <t>Skonto zľava-Bonus</t>
  </si>
  <si>
    <t>504306</t>
  </si>
  <si>
    <t>Skonto zľava-Bonus PHOENIX - Rx</t>
  </si>
  <si>
    <t>504307</t>
  </si>
  <si>
    <t>Skonto zľava-Bonus PHOENIX - OTC</t>
  </si>
  <si>
    <t>504308</t>
  </si>
  <si>
    <t>Skonto zľava-Bonus UNIPHARMA  - Rx</t>
  </si>
  <si>
    <t>504309</t>
  </si>
  <si>
    <t>Skonto zľava-Bonus UNIPHARMA - OTC</t>
  </si>
  <si>
    <t>504310</t>
  </si>
  <si>
    <t>Skonto zľava-Bonus PHARMOS - Rx</t>
  </si>
  <si>
    <t>504311</t>
  </si>
  <si>
    <t>Skonto zľava-Bonus PHARMOS - OTC</t>
  </si>
  <si>
    <t>504600</t>
  </si>
  <si>
    <t>Prirodzené úbytky zásob</t>
  </si>
  <si>
    <t>505100</t>
  </si>
  <si>
    <t>Tvorba a zúčtovanie OP k zásobám</t>
  </si>
  <si>
    <t>505200</t>
  </si>
  <si>
    <t>Tvorba a zúčtovanie OP k zásobám-pred expiráciou</t>
  </si>
  <si>
    <t>511302</t>
  </si>
  <si>
    <t xml:space="preserve">Opravy a údržba kanc. techniky (IT) - mimo plán </t>
  </si>
  <si>
    <t>513900</t>
  </si>
  <si>
    <t>Náklady na reprezentáciu</t>
  </si>
  <si>
    <t>518100</t>
  </si>
  <si>
    <t>Telef. služby - VTS</t>
  </si>
  <si>
    <t>518110</t>
  </si>
  <si>
    <t>Telef. služby - mobilný operátor</t>
  </si>
  <si>
    <t>518150</t>
  </si>
  <si>
    <t>Telef. služby - Internet + dátové služby</t>
  </si>
  <si>
    <t>518200</t>
  </si>
  <si>
    <t>Poštové poplatky</t>
  </si>
  <si>
    <t>518201</t>
  </si>
  <si>
    <t>Poštové poplatky - v office</t>
  </si>
  <si>
    <t>518315</t>
  </si>
  <si>
    <t xml:space="preserve">Náklady na manažérske služby - MI,DZ </t>
  </si>
  <si>
    <t>518320</t>
  </si>
  <si>
    <t>Auditorské služby</t>
  </si>
  <si>
    <t>518360</t>
  </si>
  <si>
    <t>Servisné služby IT</t>
  </si>
  <si>
    <t>518361</t>
  </si>
  <si>
    <t>Služby IT - doprogramovanie SW</t>
  </si>
  <si>
    <t>518510</t>
  </si>
  <si>
    <t>Sprostredkovanie - poukážky, šeky</t>
  </si>
  <si>
    <t>518610</t>
  </si>
  <si>
    <t>Nájomné - lekárne fix</t>
  </si>
  <si>
    <t>518611</t>
  </si>
  <si>
    <t>Nájomné - lekárne súvisiace služby</t>
  </si>
  <si>
    <t>518612</t>
  </si>
  <si>
    <t>Nájomné lekární obratové</t>
  </si>
  <si>
    <t>518614</t>
  </si>
  <si>
    <t>Ostatné služby - HOOPERS</t>
  </si>
  <si>
    <t>518615</t>
  </si>
  <si>
    <t>Prenájom auta - HOOPERS</t>
  </si>
  <si>
    <t>518700</t>
  </si>
  <si>
    <t>Náklady na školenia a vzdelávanie zamestnancov</t>
  </si>
  <si>
    <t>518800</t>
  </si>
  <si>
    <t>Ostatné služby-pranie rohoží,upratovanie,pož.ochr.</t>
  </si>
  <si>
    <t>518802</t>
  </si>
  <si>
    <t>Inzercia, reklamné služby</t>
  </si>
  <si>
    <t>518803</t>
  </si>
  <si>
    <t>Revízie a metrológia</t>
  </si>
  <si>
    <t>518807</t>
  </si>
  <si>
    <t>Náklady za používanie ochrannej známky DR MAX</t>
  </si>
  <si>
    <t>518830</t>
  </si>
  <si>
    <t>Náklady na vernostný systém (%)</t>
  </si>
  <si>
    <t>518831</t>
  </si>
  <si>
    <t>Náklady na vernostný systém - čerpané body</t>
  </si>
  <si>
    <t>518850</t>
  </si>
  <si>
    <t>Ostatné služby - vyššie nedefinované</t>
  </si>
  <si>
    <t>518860</t>
  </si>
  <si>
    <t>Služby - refakturácie cest. pridel. zamestnancov</t>
  </si>
  <si>
    <t>518870</t>
  </si>
  <si>
    <t>Služby - BOZP a OPP bezpečnosť práce</t>
  </si>
  <si>
    <t>518900</t>
  </si>
  <si>
    <t>Ostatné služby - nedaňové výdavky</t>
  </si>
  <si>
    <t>521100</t>
  </si>
  <si>
    <t>Mzdové náklady</t>
  </si>
  <si>
    <t>521200</t>
  </si>
  <si>
    <t>Prémie a odmeny</t>
  </si>
  <si>
    <t>521210</t>
  </si>
  <si>
    <t>Prémie a odmeny - merchandising</t>
  </si>
  <si>
    <t>521220</t>
  </si>
  <si>
    <t>Prémie a odmeny - TOP 20</t>
  </si>
  <si>
    <t>521240</t>
  </si>
  <si>
    <t>Prémie a odmeny -za transferové objednávky</t>
  </si>
  <si>
    <t>521250</t>
  </si>
  <si>
    <t>Prémie a odmeny -za OTC</t>
  </si>
  <si>
    <t>521260</t>
  </si>
  <si>
    <t>Prémie a odmeny - za GS</t>
  </si>
  <si>
    <t>521290</t>
  </si>
  <si>
    <t>Prémie a odmeny -  privatna značka</t>
  </si>
  <si>
    <t>521300</t>
  </si>
  <si>
    <t>DoVP, DPČ a pod.</t>
  </si>
  <si>
    <t>521500</t>
  </si>
  <si>
    <t>Mzdové náklady - rezerva na dovolenky</t>
  </si>
  <si>
    <t>521520</t>
  </si>
  <si>
    <t>Mzdové náklady - rezerva na odmeny lekárne</t>
  </si>
  <si>
    <t>521800</t>
  </si>
  <si>
    <t>Mzdové náklady - refundácia miezd</t>
  </si>
  <si>
    <t>524100</t>
  </si>
  <si>
    <t>Zákonné sociálne poistenie</t>
  </si>
  <si>
    <t>524500</t>
  </si>
  <si>
    <t>ZSP - rezerva na dovolenky</t>
  </si>
  <si>
    <t>524520</t>
  </si>
  <si>
    <t>ZSP - rezerva odvody z odmien lekárne</t>
  </si>
  <si>
    <t>524800</t>
  </si>
  <si>
    <t>Zákonné sociálne poistenie - refakturácia miezd</t>
  </si>
  <si>
    <t>527100</t>
  </si>
  <si>
    <t>Tvorba soc. fondu</t>
  </si>
  <si>
    <t>527200</t>
  </si>
  <si>
    <t>Príspevok na stravu</t>
  </si>
  <si>
    <t>527300</t>
  </si>
  <si>
    <t>Nemocenské hradené zamestnávateľom /0-10 deň</t>
  </si>
  <si>
    <t>527400</t>
  </si>
  <si>
    <t>Osobné ochranné prostriedy /OOP/ podľa smernice</t>
  </si>
  <si>
    <t>538200</t>
  </si>
  <si>
    <t>545900</t>
  </si>
  <si>
    <t>Ostatné pokuty, penále a úroky z omeškania-nedaňov</t>
  </si>
  <si>
    <t>547200</t>
  </si>
  <si>
    <t>Tvorba a zúčtovanie OP k  iným pohľ. -nedaňový n.</t>
  </si>
  <si>
    <t>548100</t>
  </si>
  <si>
    <t>Centové vyrovnanie</t>
  </si>
  <si>
    <t>548210</t>
  </si>
  <si>
    <t>Exspirované lieky - výdaj zo skladu</t>
  </si>
  <si>
    <t>548230</t>
  </si>
  <si>
    <t>Poistenie zodpovednosti za škodu</t>
  </si>
  <si>
    <t>548300</t>
  </si>
  <si>
    <t>Poplatky Slov.Lek.Komora</t>
  </si>
  <si>
    <t>548600</t>
  </si>
  <si>
    <t>Členské poplatky - Združenie ZLL</t>
  </si>
  <si>
    <t>548700</t>
  </si>
  <si>
    <t>Poistenie majetku</t>
  </si>
  <si>
    <t>548900</t>
  </si>
  <si>
    <t>Ost.nákl.na hosp.činnosť-daňovo neuznané</t>
  </si>
  <si>
    <t>549100</t>
  </si>
  <si>
    <t>Manká a škody neinventúrne (tovar)</t>
  </si>
  <si>
    <t>549950</t>
  </si>
  <si>
    <t>Manko z inventúr</t>
  </si>
  <si>
    <t>551100</t>
  </si>
  <si>
    <t>Odpisy dlhodobého hmotného majetku</t>
  </si>
  <si>
    <t>551110</t>
  </si>
  <si>
    <t>Odpisy budov a stavieb</t>
  </si>
  <si>
    <t>551300</t>
  </si>
  <si>
    <t>Odpisy dlhodobého nehmotného majetku</t>
  </si>
  <si>
    <t>551400</t>
  </si>
  <si>
    <t>Odpisy drobného majetku</t>
  </si>
  <si>
    <t>553100</t>
  </si>
  <si>
    <t>Tvorba a zúčtovanie OP k dlhodobému majetku</t>
  </si>
  <si>
    <t>562200</t>
  </si>
  <si>
    <t>Úroky z pôžičiek a úverov od podnikov v skupine</t>
  </si>
  <si>
    <t>568100</t>
  </si>
  <si>
    <t>Bankové poplatky</t>
  </si>
  <si>
    <t>568110</t>
  </si>
  <si>
    <t xml:space="preserve">Poplatky za platby kartou </t>
  </si>
  <si>
    <t>592100</t>
  </si>
  <si>
    <t>Daň z príjmov z bež. činnosti - ODLOŽENÁ</t>
  </si>
  <si>
    <t>602350</t>
  </si>
  <si>
    <t>Marketingové služby - pharma firmy</t>
  </si>
  <si>
    <t>602501</t>
  </si>
  <si>
    <t>Sprostredkovanie - farma firmy</t>
  </si>
  <si>
    <t>602502</t>
  </si>
  <si>
    <t xml:space="preserve">Sprostredkovanie - f. firmy za priestory </t>
  </si>
  <si>
    <t>602503</t>
  </si>
  <si>
    <t>Sprostredkovanie - pharma f. za Rx</t>
  </si>
  <si>
    <t>602504</t>
  </si>
  <si>
    <t>Sprostredkovanie - pharma f. za Privátna značka</t>
  </si>
  <si>
    <t>602505</t>
  </si>
  <si>
    <t>Bonusy - pharma firmy - lekárne</t>
  </si>
  <si>
    <t>602810</t>
  </si>
  <si>
    <t>Tržby za spracovanie receptov</t>
  </si>
  <si>
    <t>604100</t>
  </si>
  <si>
    <t>Tržba z predaja tovaru v lekárni</t>
  </si>
  <si>
    <t>604200</t>
  </si>
  <si>
    <t>Tržby z predaja - hotovosť</t>
  </si>
  <si>
    <t>604201</t>
  </si>
  <si>
    <t>Tržby z predaja - OTC</t>
  </si>
  <si>
    <t>604202</t>
  </si>
  <si>
    <t>Tržby z predaja - Privátna značka</t>
  </si>
  <si>
    <t>604203</t>
  </si>
  <si>
    <t>Tržby z predaja - Zľava na VK Rx</t>
  </si>
  <si>
    <t>604204</t>
  </si>
  <si>
    <t>Tržby z predaja - zľava na VK OTC</t>
  </si>
  <si>
    <t>604205</t>
  </si>
  <si>
    <t>Tržby z predaja -  v rámci skupiny Dr. Max SK</t>
  </si>
  <si>
    <t>604300</t>
  </si>
  <si>
    <t xml:space="preserve">Tržby z predaja - ostatní </t>
  </si>
  <si>
    <t>648100</t>
  </si>
  <si>
    <t>648400</t>
  </si>
  <si>
    <t>Prebytky na sklade</t>
  </si>
  <si>
    <t>648450</t>
  </si>
  <si>
    <t>Prebytky z inventúr</t>
  </si>
  <si>
    <t>751100</t>
  </si>
  <si>
    <t>Darčekové poukážky</t>
  </si>
  <si>
    <t>754100</t>
  </si>
  <si>
    <t>Emitované darčekové poukážky</t>
  </si>
  <si>
    <t>862000</t>
  </si>
  <si>
    <t>Vyrovnávací účet</t>
  </si>
  <si>
    <t>862306</t>
  </si>
  <si>
    <t>Náklady - Bonus PHOENIX Rx</t>
  </si>
  <si>
    <t>862307</t>
  </si>
  <si>
    <t>Náklady - Bonus PHOENIX OTC</t>
  </si>
  <si>
    <t>862308</t>
  </si>
  <si>
    <t>Náklady - Bonus UNIPHARMA Rx</t>
  </si>
  <si>
    <t>862309</t>
  </si>
  <si>
    <t>Náklady - Bonus UNIPHARMA  OTC</t>
  </si>
  <si>
    <t>862310</t>
  </si>
  <si>
    <t>Náklady - Bonus PHARMOS Rx</t>
  </si>
  <si>
    <t>862311</t>
  </si>
  <si>
    <t>Náklady - Bonus PHARMOS OTC</t>
  </si>
  <si>
    <t>862500</t>
  </si>
  <si>
    <t xml:space="preserve">Náklady  na odmeny lekárne </t>
  </si>
  <si>
    <t>862600</t>
  </si>
  <si>
    <t xml:space="preserve">Odvody na odmeny lekárne </t>
  </si>
  <si>
    <t>962000</t>
  </si>
  <si>
    <t>962350</t>
  </si>
  <si>
    <t>Výnosy - Bonus pharma firmy - za market. služby</t>
  </si>
  <si>
    <t>962501</t>
  </si>
  <si>
    <t>Výnosy - Bonus pharma firmy - OTC</t>
  </si>
  <si>
    <t>962502</t>
  </si>
  <si>
    <t>Výnosy - Bonus pharma firmy - za priestor</t>
  </si>
  <si>
    <t>962503</t>
  </si>
  <si>
    <t>Výnosy - Bonus pharma firmy - Rx</t>
  </si>
  <si>
    <t>962504</t>
  </si>
  <si>
    <t>Výnosy - Bonus pharma firmy - Privátna značka</t>
  </si>
  <si>
    <t>041100</t>
  </si>
  <si>
    <t>Obstaranie dlhodobého nehmotného majetku</t>
  </si>
  <si>
    <t>042100</t>
  </si>
  <si>
    <t>Obstaranie dlhodobého hmotného majetku</t>
  </si>
  <si>
    <t>043201</t>
  </si>
  <si>
    <t>Obstaranie OP - spoločník 1 - 85 %</t>
  </si>
  <si>
    <t>062100</t>
  </si>
  <si>
    <t>Podiel.cenn.pap. a podiely v spol. s podstat. vpl.</t>
  </si>
  <si>
    <t>066100</t>
  </si>
  <si>
    <t>Pôžičky účt. jednotke v konsolidovanom celku</t>
  </si>
  <si>
    <t>261100</t>
  </si>
  <si>
    <t>Peniaze na ceste</t>
  </si>
  <si>
    <t>323200</t>
  </si>
  <si>
    <t>Ostatné rezervy</t>
  </si>
  <si>
    <t>365100</t>
  </si>
  <si>
    <t>Ostatné záväzky voči spoločníkom a členom</t>
  </si>
  <si>
    <t>378410</t>
  </si>
  <si>
    <t>Iné pohľadávky-voči spoločníkovi</t>
  </si>
  <si>
    <t>379100</t>
  </si>
  <si>
    <t>Iné záväzky</t>
  </si>
  <si>
    <t>379410</t>
  </si>
  <si>
    <t>Iné záväzky - voči spoločníkovi</t>
  </si>
  <si>
    <t>481100</t>
  </si>
  <si>
    <t>Odložený daň. záväzok</t>
  </si>
  <si>
    <t>504301</t>
  </si>
  <si>
    <t>Skonto zľava-Bonus PHOENIX (zmluva)</t>
  </si>
  <si>
    <t>504302</t>
  </si>
  <si>
    <t>Skonto zľava-Bonus Unipharma (zmluva)</t>
  </si>
  <si>
    <t>504303</t>
  </si>
  <si>
    <t>Skonto zľava-Bonus PHARMOS</t>
  </si>
  <si>
    <t>511210</t>
  </si>
  <si>
    <t>Opravy a údržba budov</t>
  </si>
  <si>
    <t>518300</t>
  </si>
  <si>
    <t>Vedenie účtovníctva</t>
  </si>
  <si>
    <t>518310</t>
  </si>
  <si>
    <t>Vedenie administratívy</t>
  </si>
  <si>
    <t>518395</t>
  </si>
  <si>
    <t>Zdravotná starostlivosť</t>
  </si>
  <si>
    <t>518600</t>
  </si>
  <si>
    <t>Nájomné - kancelárske priestory</t>
  </si>
  <si>
    <t>518613</t>
  </si>
  <si>
    <t>Nájomné kancelárií - súvisiace služby</t>
  </si>
  <si>
    <t>518805</t>
  </si>
  <si>
    <t>Náklady na notárske služby</t>
  </si>
  <si>
    <t>518862</t>
  </si>
  <si>
    <t>Služby - refakt. cest.náhrad-držiteľ TP zamest.</t>
  </si>
  <si>
    <t>521310</t>
  </si>
  <si>
    <t>DoVP, DPČ a pod. - marketing</t>
  </si>
  <si>
    <t>538100</t>
  </si>
  <si>
    <t>Kolky</t>
  </si>
  <si>
    <t>561100</t>
  </si>
  <si>
    <t>Predané cenné papiere a podiely</t>
  </si>
  <si>
    <t>568230</t>
  </si>
  <si>
    <t>Poistenie zodpovednosti za škodu v súv. s posk.st.</t>
  </si>
  <si>
    <t>568701</t>
  </si>
  <si>
    <t>Straty z V.O.S. 90%</t>
  </si>
  <si>
    <t>604500</t>
  </si>
  <si>
    <t>Tržby z predaja - vernostné karty</t>
  </si>
  <si>
    <t>648200</t>
  </si>
  <si>
    <t>Ostatné výnosy z hospodárskej činnosti</t>
  </si>
  <si>
    <t>661100</t>
  </si>
  <si>
    <t>Tržby z predaja cenných papierov a podielov</t>
  </si>
  <si>
    <t>962100</t>
  </si>
  <si>
    <t>Bonusy OTC r.032</t>
  </si>
  <si>
    <t>962101</t>
  </si>
  <si>
    <t>Marketingové služby r.124</t>
  </si>
  <si>
    <t>962102</t>
  </si>
  <si>
    <t>Bonus Rx r.031</t>
  </si>
  <si>
    <t>962200</t>
  </si>
  <si>
    <t>Skupinový príspevok - náklad</t>
  </si>
  <si>
    <t>013</t>
  </si>
  <si>
    <t>021</t>
  </si>
  <si>
    <t>022</t>
  </si>
  <si>
    <t>Samost. hnuteľné veci a súbory hnuteľných vecí</t>
  </si>
  <si>
    <t>029</t>
  </si>
  <si>
    <t>073</t>
  </si>
  <si>
    <t>081</t>
  </si>
  <si>
    <t>082</t>
  </si>
  <si>
    <t>Oprávky k samost. hnut. veciam a k súboru hn. vecí</t>
  </si>
  <si>
    <t>089</t>
  </si>
  <si>
    <t>092</t>
  </si>
  <si>
    <t>Opravná položka k dlhodobému hmotnému majetku</t>
  </si>
  <si>
    <t>111</t>
  </si>
  <si>
    <t>112</t>
  </si>
  <si>
    <t>Materiál na sklade</t>
  </si>
  <si>
    <t>131</t>
  </si>
  <si>
    <t>132</t>
  </si>
  <si>
    <t>139</t>
  </si>
  <si>
    <t>196</t>
  </si>
  <si>
    <t>211</t>
  </si>
  <si>
    <t>Pokladnica</t>
  </si>
  <si>
    <t>213</t>
  </si>
  <si>
    <t>Ceniny</t>
  </si>
  <si>
    <t>221</t>
  </si>
  <si>
    <t>Bankové účty</t>
  </si>
  <si>
    <t>261</t>
  </si>
  <si>
    <t>311</t>
  </si>
  <si>
    <t>314</t>
  </si>
  <si>
    <t>315</t>
  </si>
  <si>
    <t>Ostatné pohľadávky</t>
  </si>
  <si>
    <t>321</t>
  </si>
  <si>
    <t>323</t>
  </si>
  <si>
    <t>Krátkodobé rezervy</t>
  </si>
  <si>
    <t>325</t>
  </si>
  <si>
    <t>326</t>
  </si>
  <si>
    <t>331</t>
  </si>
  <si>
    <t>335</t>
  </si>
  <si>
    <t>336</t>
  </si>
  <si>
    <t>Zúčtovanie s org. soc. zabezpečenia a zdrav. poist</t>
  </si>
  <si>
    <t>342</t>
  </si>
  <si>
    <t>Ostatné priame dane</t>
  </si>
  <si>
    <t>343</t>
  </si>
  <si>
    <t>Daň z pridanej hodnoty</t>
  </si>
  <si>
    <t>345</t>
  </si>
  <si>
    <t>361</t>
  </si>
  <si>
    <t>Záväzky v rámci konsolidovaného celku</t>
  </si>
  <si>
    <t>378</t>
  </si>
  <si>
    <t>379</t>
  </si>
  <si>
    <t>381</t>
  </si>
  <si>
    <t>385</t>
  </si>
  <si>
    <t>391</t>
  </si>
  <si>
    <t>Opravná položka k pohľadávkam</t>
  </si>
  <si>
    <t>395</t>
  </si>
  <si>
    <t>411</t>
  </si>
  <si>
    <t>429</t>
  </si>
  <si>
    <t>431</t>
  </si>
  <si>
    <t>472</t>
  </si>
  <si>
    <t>481</t>
  </si>
  <si>
    <t>Odložený daň. záväzok a odlož. daň. pohľadávka</t>
  </si>
  <si>
    <t>501</t>
  </si>
  <si>
    <t>Spotreba materiálu</t>
  </si>
  <si>
    <t>502</t>
  </si>
  <si>
    <t>Spotreba energie</t>
  </si>
  <si>
    <t>504</t>
  </si>
  <si>
    <t>Predaný tovar</t>
  </si>
  <si>
    <t>505</t>
  </si>
  <si>
    <t>511</t>
  </si>
  <si>
    <t>Opravy a udržiavanie</t>
  </si>
  <si>
    <t>513</t>
  </si>
  <si>
    <t>518</t>
  </si>
  <si>
    <t>Ostatné služby</t>
  </si>
  <si>
    <t>521</t>
  </si>
  <si>
    <t>524</t>
  </si>
  <si>
    <t>527</t>
  </si>
  <si>
    <t>Zákonné sociálne náklady</t>
  </si>
  <si>
    <t>538</t>
  </si>
  <si>
    <t>545</t>
  </si>
  <si>
    <t>Ostatné pokuty, penále a úroky z omeškania</t>
  </si>
  <si>
    <t>547</t>
  </si>
  <si>
    <t>Tvorba a zúčtovanie OP k pohľadávkam</t>
  </si>
  <si>
    <t>548</t>
  </si>
  <si>
    <t>Ostatné náklady na hospodársku činnosť</t>
  </si>
  <si>
    <t>549</t>
  </si>
  <si>
    <t>Manká a škody</t>
  </si>
  <si>
    <t>551</t>
  </si>
  <si>
    <t>Odpisy dlhodobého nehmotného a hmotného majetku</t>
  </si>
  <si>
    <t>553</t>
  </si>
  <si>
    <t>562</t>
  </si>
  <si>
    <t>Úroky</t>
  </si>
  <si>
    <t>568</t>
  </si>
  <si>
    <t>Ostatné finančné náklady</t>
  </si>
  <si>
    <t>592</t>
  </si>
  <si>
    <t>Odložená daň z príjmov z bežnej činnosti</t>
  </si>
  <si>
    <t>602</t>
  </si>
  <si>
    <t>Tržby z predaja služieb</t>
  </si>
  <si>
    <t>604</t>
  </si>
  <si>
    <t>Tržby za tovar</t>
  </si>
  <si>
    <t>648</t>
  </si>
  <si>
    <t>751</t>
  </si>
  <si>
    <t>Podsúvahové účty</t>
  </si>
  <si>
    <t>754</t>
  </si>
  <si>
    <t>Podsúvahový</t>
  </si>
  <si>
    <t>862</t>
  </si>
  <si>
    <t>Vnútroorganizačné účtovníctvo - náklad</t>
  </si>
  <si>
    <t>962</t>
  </si>
  <si>
    <t>Výnosy z bonusov a reklamy</t>
  </si>
  <si>
    <t>041</t>
  </si>
  <si>
    <t>042</t>
  </si>
  <si>
    <t>043</t>
  </si>
  <si>
    <t>Obstaranie dlhodobého finančného majetku</t>
  </si>
  <si>
    <t>062</t>
  </si>
  <si>
    <t>066</t>
  </si>
  <si>
    <t>365</t>
  </si>
  <si>
    <t>561</t>
  </si>
  <si>
    <t>661</t>
  </si>
  <si>
    <t>I.</t>
  </si>
  <si>
    <t>Tržby z predaja tovaru (604,607)</t>
  </si>
  <si>
    <t>01</t>
  </si>
  <si>
    <t>A.</t>
  </si>
  <si>
    <t>Náklady vynaložené na obstaranie predaného tovaru (504, 505A,507)</t>
  </si>
  <si>
    <t>02</t>
  </si>
  <si>
    <t>+</t>
  </si>
  <si>
    <t>Obchodná marža r. 01 - r. 02</t>
  </si>
  <si>
    <t>03</t>
  </si>
  <si>
    <t>ll.</t>
  </si>
  <si>
    <t>Výroba r. 05+r. 06+ r. 07</t>
  </si>
  <si>
    <t>04</t>
  </si>
  <si>
    <t>ll.1.</t>
  </si>
  <si>
    <t>Tržby z predaja vlastných výrobkov a služieb (601,602,606)</t>
  </si>
  <si>
    <t>05</t>
  </si>
  <si>
    <t>Zmeny stavu vnútroorganizačných zásob (+/- účtová skupina 61)</t>
  </si>
  <si>
    <t>06</t>
  </si>
  <si>
    <t>Aktivácia (účtová skupina 62)</t>
  </si>
  <si>
    <t>07</t>
  </si>
  <si>
    <t>B.</t>
  </si>
  <si>
    <t>Výrobná spotreba r. 09+ r. 10</t>
  </si>
  <si>
    <t>08</t>
  </si>
  <si>
    <t>B.1.</t>
  </si>
  <si>
    <t>Spotreba materiálu, energie a ostatných neskladovateľných dodávok (501,502,503,505A)</t>
  </si>
  <si>
    <t>09</t>
  </si>
  <si>
    <t>Služby (účtová skupina 51)</t>
  </si>
  <si>
    <t>10</t>
  </si>
  <si>
    <t>Pridaná hodnota r. 03+ r. 04- r. 08</t>
  </si>
  <si>
    <t>11</t>
  </si>
  <si>
    <t>C.</t>
  </si>
  <si>
    <t>Osobné náklady súčet (r. 13 až 16)</t>
  </si>
  <si>
    <t>12</t>
  </si>
  <si>
    <t>C.1.</t>
  </si>
  <si>
    <t>Mzdové náklady (521,522)</t>
  </si>
  <si>
    <t>13</t>
  </si>
  <si>
    <t>Odmeny členom orgánov spoločnosti a družstva (523)</t>
  </si>
  <si>
    <t>14</t>
  </si>
  <si>
    <t>Náklady na sociálne poistenie (524,525,526)</t>
  </si>
  <si>
    <t>15</t>
  </si>
  <si>
    <t>Sociálne náklady (527,528)</t>
  </si>
  <si>
    <t>16</t>
  </si>
  <si>
    <t>D.</t>
  </si>
  <si>
    <t>Dane a poplatky (účtová  skupina 53)</t>
  </si>
  <si>
    <t>17</t>
  </si>
  <si>
    <t>E.</t>
  </si>
  <si>
    <t>Odpisy a opravné položky k dlhodobému nehmotnému majetku a dlhodobému hmotnému majetku (551,553)</t>
  </si>
  <si>
    <t>18</t>
  </si>
  <si>
    <t>lll.</t>
  </si>
  <si>
    <t>Tržby z predaja dlhodobého majetku a materiálu (641,642)</t>
  </si>
  <si>
    <t>19</t>
  </si>
  <si>
    <t>F.</t>
  </si>
  <si>
    <t>Zostatková cena predaného dlhodobého majetku a predaného materiálu (541,542)</t>
  </si>
  <si>
    <t>20</t>
  </si>
  <si>
    <t>G.</t>
  </si>
  <si>
    <t>Tvorba a zúčtovanie opravných položiek k pohľadávkam (+/- 547)</t>
  </si>
  <si>
    <t>21</t>
  </si>
  <si>
    <t>IV.</t>
  </si>
  <si>
    <t>Ostatné výnosy z hospodárskej činnosti (644,645,646,648,655,657)</t>
  </si>
  <si>
    <t>22</t>
  </si>
  <si>
    <t>H.</t>
  </si>
  <si>
    <t>Ostatné náklady na hospodársku činnosť (543,544,545,546,548,549,555,557)</t>
  </si>
  <si>
    <t>23</t>
  </si>
  <si>
    <t>V.</t>
  </si>
  <si>
    <t>Prevod výnosov z hospodárskej činnosti (-) (697)</t>
  </si>
  <si>
    <t>24</t>
  </si>
  <si>
    <t>Prevod nákladov na hospodársku činnosť (-) (597)</t>
  </si>
  <si>
    <t>25</t>
  </si>
  <si>
    <t>*</t>
  </si>
  <si>
    <t>Výsledok hospodárenia z hosp. činnosti r. 11-r. 12-r. 17-r. 18+ r.19-r. 20-r. 21+r. 22-r.23 +(-r. 24)-(-r. 25)</t>
  </si>
  <si>
    <t>26</t>
  </si>
  <si>
    <t>Vl.</t>
  </si>
  <si>
    <t>Tržby z predaja cenných papierov a podielov (661)</t>
  </si>
  <si>
    <t>27</t>
  </si>
  <si>
    <t>J.</t>
  </si>
  <si>
    <t>Predané cenné papiere a podiely (561)</t>
  </si>
  <si>
    <t>28</t>
  </si>
  <si>
    <t>VII.</t>
  </si>
  <si>
    <t>Výnosy z dlhodobého finančného majetku r. 30+ r. 31+ r. 32</t>
  </si>
  <si>
    <t>29</t>
  </si>
  <si>
    <t>VII.1.</t>
  </si>
  <si>
    <t>Výnosy z cenných papierov a podielov v dcérskej účtovnej jednotke a v spoločnosti s podstatným vplyvom (665A)</t>
  </si>
  <si>
    <t>30</t>
  </si>
  <si>
    <t>Výnosy z ostatných dlhodobých cenných papierov a podielov (665A)</t>
  </si>
  <si>
    <t>31</t>
  </si>
  <si>
    <t>Výnosy z ostaného dlhodobého finančného majetku (665A)</t>
  </si>
  <si>
    <t>32</t>
  </si>
  <si>
    <t>VIII.</t>
  </si>
  <si>
    <t>Výnosy z krátkodobého finančného majetku (666)</t>
  </si>
  <si>
    <t>33</t>
  </si>
  <si>
    <t>K.</t>
  </si>
  <si>
    <t>Náklady na krátkodobý finančný majetok (566)</t>
  </si>
  <si>
    <t>34</t>
  </si>
  <si>
    <t>IX.</t>
  </si>
  <si>
    <t>Výnosy z precenenia cenných papierov a výnosy z derivátových operácií (664,667)</t>
  </si>
  <si>
    <t>35</t>
  </si>
  <si>
    <t>L.</t>
  </si>
  <si>
    <t>Náklady na precenenie cenných papierov a náklady na derivátové operácie (564,567)</t>
  </si>
  <si>
    <t>36</t>
  </si>
  <si>
    <t>M.</t>
  </si>
  <si>
    <t>Tvorba a zúčtovanie opravných položiek k finančnému majetku +/- 565</t>
  </si>
  <si>
    <t>37</t>
  </si>
  <si>
    <t>X.</t>
  </si>
  <si>
    <t>Výnosové úroky (662)</t>
  </si>
  <si>
    <t>38</t>
  </si>
  <si>
    <t>N.</t>
  </si>
  <si>
    <t>Nákladové úroky (562)</t>
  </si>
  <si>
    <t>39</t>
  </si>
  <si>
    <t>Xl.</t>
  </si>
  <si>
    <t>Kurzové zisky (663)</t>
  </si>
  <si>
    <t>40</t>
  </si>
  <si>
    <t>O.</t>
  </si>
  <si>
    <t>Kurzové straty (563)</t>
  </si>
  <si>
    <t>41</t>
  </si>
  <si>
    <t>XlI.</t>
  </si>
  <si>
    <t>Ostatné výnosy z finančnej činnosti (668)</t>
  </si>
  <si>
    <t>42</t>
  </si>
  <si>
    <t>P.</t>
  </si>
  <si>
    <t>Ostatné náklady na finančnú činnosť (568,569)</t>
  </si>
  <si>
    <t>43</t>
  </si>
  <si>
    <t>XIll.</t>
  </si>
  <si>
    <t>Prevod finančných výnosov (-) (698)</t>
  </si>
  <si>
    <t>44</t>
  </si>
  <si>
    <t>R.</t>
  </si>
  <si>
    <t>Prevod finančných nákladov (-) (598)</t>
  </si>
  <si>
    <t>45</t>
  </si>
  <si>
    <t>Výsledok hospodárenia z finančnej činnosti r.27-r.28+r.29+r.33-r.34+r.35-r.36-r.37+r.38-r.39+r.40-r.41+r.42-r.43+(-r.44)-(-r.45)</t>
  </si>
  <si>
    <t>46</t>
  </si>
  <si>
    <t>**</t>
  </si>
  <si>
    <t>Výsledok hospodárenia z bežnej činnosti pred zdanením r.26 + r.46</t>
  </si>
  <si>
    <t>47</t>
  </si>
  <si>
    <t>S.</t>
  </si>
  <si>
    <t>Daň z príjmov z bežnej činnosti r. 49+ r. 50</t>
  </si>
  <si>
    <t>48</t>
  </si>
  <si>
    <t>S.1.</t>
  </si>
  <si>
    <t>- splatná (591,595)</t>
  </si>
  <si>
    <t>49</t>
  </si>
  <si>
    <t>- odložená (+/-592)</t>
  </si>
  <si>
    <t>50</t>
  </si>
  <si>
    <t>Výsledok hospodárenia z bežnej činnosti r. 47- r.48</t>
  </si>
  <si>
    <t>51</t>
  </si>
  <si>
    <t>XIV.</t>
  </si>
  <si>
    <t>Mimoriadne výnosy (účtová skupina 68)</t>
  </si>
  <si>
    <t>52</t>
  </si>
  <si>
    <t>T.</t>
  </si>
  <si>
    <t>Mimoriadne náklady (účtová skupina 58)</t>
  </si>
  <si>
    <t>53</t>
  </si>
  <si>
    <t>Výsledok hospodárenia z mimoriadnej činnosti pred zdanením r. 52- r.53</t>
  </si>
  <si>
    <t>54</t>
  </si>
  <si>
    <t>U.</t>
  </si>
  <si>
    <t>Daň z príjmov z mimoriadnej činnosti r. 56+ r.57</t>
  </si>
  <si>
    <t>55</t>
  </si>
  <si>
    <t>U.1.</t>
  </si>
  <si>
    <t>- splatná (593)</t>
  </si>
  <si>
    <t>56</t>
  </si>
  <si>
    <t>- odložená (+/-594)</t>
  </si>
  <si>
    <t>57</t>
  </si>
  <si>
    <t>Výsledok hospodárenia z mimoriadnej činnosti po zdanení  r. 54 - r. 55</t>
  </si>
  <si>
    <t>58</t>
  </si>
  <si>
    <t>***</t>
  </si>
  <si>
    <t>Výsledok hospodárenia za účtovné obdobie pred zdanením (+/-) [r. 47 + r. 54]</t>
  </si>
  <si>
    <t>59</t>
  </si>
  <si>
    <t>Prevod podielov na výsledku hospodárenia spoločníkom (+/-596)</t>
  </si>
  <si>
    <t>60</t>
  </si>
  <si>
    <t>Výsledok hospodárenia za účtovné obdobie po zdanení (+/-) [r. 51+ r. 58- r.60]</t>
  </si>
  <si>
    <t>61</t>
  </si>
  <si>
    <t>Spolu majetok r. 002+ r. 030+ r. 061</t>
  </si>
  <si>
    <t>001</t>
  </si>
  <si>
    <t>Neobežný majetok r. 003+ r. 011+ r. 021</t>
  </si>
  <si>
    <t>002</t>
  </si>
  <si>
    <t>A.l.</t>
  </si>
  <si>
    <t>Dlhodobý nehmotný majetok súčet (r. 004 až 010)</t>
  </si>
  <si>
    <t>003</t>
  </si>
  <si>
    <t>A.I.1</t>
  </si>
  <si>
    <t>Aktivované náklady na vývoj (012) - /072,091A/</t>
  </si>
  <si>
    <t>004</t>
  </si>
  <si>
    <t>Softvér (013) - /073,091A/</t>
  </si>
  <si>
    <t>005</t>
  </si>
  <si>
    <t>Oceniteľné práva (014) - /074,091A/</t>
  </si>
  <si>
    <t>006</t>
  </si>
  <si>
    <t>Goodwill (015) - /075,091A/</t>
  </si>
  <si>
    <t>007</t>
  </si>
  <si>
    <t>Ostatný dlhodobý nehmotný majetok (019,01X) - /079,07X,091A/</t>
  </si>
  <si>
    <t>008</t>
  </si>
  <si>
    <t>Obstarávaný dlhodobý nehmotný majetok (041) -093</t>
  </si>
  <si>
    <t>009</t>
  </si>
  <si>
    <t>Poskytnuté preddavky na dlhodobý nehmotný majetok (051) - 095A</t>
  </si>
  <si>
    <t>010</t>
  </si>
  <si>
    <t>A.ll.</t>
  </si>
  <si>
    <t>Dlhodobý hmotný majetok súčet (r. 012 až 020)</t>
  </si>
  <si>
    <t>011</t>
  </si>
  <si>
    <t>A.ll.1.</t>
  </si>
  <si>
    <t>Pozemky (031) - 092A</t>
  </si>
  <si>
    <t>012</t>
  </si>
  <si>
    <t>Stavby (021) - /081,092A/</t>
  </si>
  <si>
    <t>Samostatné hnuteľné veci a súbory hnuteľných vecí (022) - /082,092A/</t>
  </si>
  <si>
    <t>014</t>
  </si>
  <si>
    <t>Pestovateľské celky trvalých porastov (025) - /085,092A/</t>
  </si>
  <si>
    <t>015</t>
  </si>
  <si>
    <t>Základné stádo a ťažné zvieratá (026) - /086,092A/</t>
  </si>
  <si>
    <t>016</t>
  </si>
  <si>
    <t>Ostatný dlhodobý hmotný majetok (029,02X,032) - /089,08X,092A/</t>
  </si>
  <si>
    <t>017</t>
  </si>
  <si>
    <t>Obstarávaný dlhodobý hmotný majetok (042) - 094</t>
  </si>
  <si>
    <t>018</t>
  </si>
  <si>
    <t>Poskytnuté preddavky na dlhodobý hmotný majetok (052) - 095A</t>
  </si>
  <si>
    <t>019</t>
  </si>
  <si>
    <t>Opravná položka k nadobudnutému majetku (+/- 097) +/- 098</t>
  </si>
  <si>
    <t>020</t>
  </si>
  <si>
    <t>A.lll.</t>
  </si>
  <si>
    <t>Dlhodobý finančný majetok súčet (r. 022 až 029)</t>
  </si>
  <si>
    <t>A.lll.1.</t>
  </si>
  <si>
    <t>Podielové cenné papiere a podiely v dcérskej účtovnej jednotke (061) - 096A</t>
  </si>
  <si>
    <t>Podielové cenné papiere a podiely v spoločnosti s podstatným vplyvom (062) - 096A</t>
  </si>
  <si>
    <t>023</t>
  </si>
  <si>
    <t>Ostatné dlhodobé cenné papiere a podiely (063,065) - 096A</t>
  </si>
  <si>
    <t>024</t>
  </si>
  <si>
    <t>Pôžičky účtovnej jednotke v konsolidovanom celku (066A) - 096A</t>
  </si>
  <si>
    <t>025</t>
  </si>
  <si>
    <t>Ostatný dlhodobý finančný majetok (067A,069,06XA) - 096A</t>
  </si>
  <si>
    <t>026</t>
  </si>
  <si>
    <t>Pôžičky s dobou splatnosti najviac jeden rok (066A,067A,06XA) - 096A</t>
  </si>
  <si>
    <t>027</t>
  </si>
  <si>
    <t>Obstarávaný dlhodobý finančný majetok (043) - 096A</t>
  </si>
  <si>
    <t>028</t>
  </si>
  <si>
    <t>Poskytnuté preddavky na dlhodobý finančný majetok (053) - 095A</t>
  </si>
  <si>
    <t>Obežný majetok r. 031+ r. 038+ r. 046+ r. 055</t>
  </si>
  <si>
    <t>030</t>
  </si>
  <si>
    <t>B.l.</t>
  </si>
  <si>
    <t>Zásoby súčet (r. 032 až 037)</t>
  </si>
  <si>
    <t>031</t>
  </si>
  <si>
    <t>B.l.1.</t>
  </si>
  <si>
    <t>Materiál (112,119,11X) - /191,19X/</t>
  </si>
  <si>
    <t>032</t>
  </si>
  <si>
    <t>Nedokončená výroba a polotovary vlastnej výroby  (121,122,12X) - /192,193,19X/</t>
  </si>
  <si>
    <t>033</t>
  </si>
  <si>
    <t>Výrobky (123) - 194</t>
  </si>
  <si>
    <t>034</t>
  </si>
  <si>
    <t>Zvieratá (124) - 195</t>
  </si>
  <si>
    <t>035</t>
  </si>
  <si>
    <t>Tovar (132,13X,139) - /196,19X/</t>
  </si>
  <si>
    <t>036</t>
  </si>
  <si>
    <t>Poskytnuté preddavky na zásoby (314A) - 391A</t>
  </si>
  <si>
    <t>037</t>
  </si>
  <si>
    <t>B.ll.</t>
  </si>
  <si>
    <t>Dlhodobé pohľadávky súčet (r. 039 až 045)</t>
  </si>
  <si>
    <t>038</t>
  </si>
  <si>
    <t>B.ll.1.</t>
  </si>
  <si>
    <t>Pohľadávky z obchodného styku (311A,312A,313A,314A,315A,31XA) - 391A</t>
  </si>
  <si>
    <t>039</t>
  </si>
  <si>
    <t>Čistá hodnota zákazky (316A)</t>
  </si>
  <si>
    <t>040</t>
  </si>
  <si>
    <t>Pohľadávky voči dcérskej účtovnej jednotke a materskej účtovnej jednotke (351A) - 391A</t>
  </si>
  <si>
    <t>Ostatné pohľadávky v rámci konsolidovaného celku (351A) - 391A</t>
  </si>
  <si>
    <t>Pohľadávky voči spoločníkom, členom a združeniu (354A,355A,358A,35XA) - 391A</t>
  </si>
  <si>
    <t>Iné pohľadávky (335A,33XA,371A,373A,374A,375A,376A,378A) - 391A</t>
  </si>
  <si>
    <t>044</t>
  </si>
  <si>
    <t>Odložená daňová pohľadávka (481 A)</t>
  </si>
  <si>
    <t>045</t>
  </si>
  <si>
    <t>B.lll.</t>
  </si>
  <si>
    <t>Krátkodobé pohľadávky súčet (r. 047 až 054)</t>
  </si>
  <si>
    <t>046</t>
  </si>
  <si>
    <t>B.lll.1.</t>
  </si>
  <si>
    <t>047</t>
  </si>
  <si>
    <t>048</t>
  </si>
  <si>
    <t>049</t>
  </si>
  <si>
    <t>050</t>
  </si>
  <si>
    <t>Pohľadávky voči spoločníkom, členom a združeniu (354A,355A,358A,35XA,398A) - 391A</t>
  </si>
  <si>
    <t>051</t>
  </si>
  <si>
    <t>Sociálne poistenie (336) - 391A</t>
  </si>
  <si>
    <t>052</t>
  </si>
  <si>
    <t>Daňové pohľadávky a dotácie (341,342,343,345, 346, 347) - 391A</t>
  </si>
  <si>
    <t>053</t>
  </si>
  <si>
    <t>054</t>
  </si>
  <si>
    <t>B.lV.</t>
  </si>
  <si>
    <t>Finančné účty súčet (r. 056 až 060)</t>
  </si>
  <si>
    <t>055</t>
  </si>
  <si>
    <t>B.lV.1.</t>
  </si>
  <si>
    <t>Peniaze (211,213,21X)</t>
  </si>
  <si>
    <t>056</t>
  </si>
  <si>
    <t>Účty v bankách (221A,22X +/-261)</t>
  </si>
  <si>
    <t>057</t>
  </si>
  <si>
    <t>Účty v bankách s dobou viazanosti dlhšou ako jeden rok 22XA</t>
  </si>
  <si>
    <t>058</t>
  </si>
  <si>
    <t>Krátkodobý finančný majetok (251,253,256,257,25X) - /291,29X/</t>
  </si>
  <si>
    <t>059</t>
  </si>
  <si>
    <t>Obstarávaný krátkodobý finančný majetok (259, 314A) - 291</t>
  </si>
  <si>
    <t>060</t>
  </si>
  <si>
    <t>Časové rozlíšenie súčet (r. 062 a r. 065)</t>
  </si>
  <si>
    <t>061</t>
  </si>
  <si>
    <t>Náklady budúcich období dlhodobé (381A,382A)</t>
  </si>
  <si>
    <t>Náklady budúcich období krátkodobé (381A,382A)</t>
  </si>
  <si>
    <t>063</t>
  </si>
  <si>
    <t>Príjmy budúcich období dlhodobé (385A)</t>
  </si>
  <si>
    <t>064</t>
  </si>
  <si>
    <t>Príjmy budúcich období krátkodobé (385A)</t>
  </si>
  <si>
    <t>065</t>
  </si>
  <si>
    <t>Kontrolné číslo súčet (r. 001 až r. 065)</t>
  </si>
  <si>
    <t>888</t>
  </si>
  <si>
    <t>Spolu vlastné imanie a záväky r. 067+ r. 088+ r. 121</t>
  </si>
  <si>
    <t>Vlastné imanie r. 068+ r. 073+ r. 080+ r. 084+ r. 087</t>
  </si>
  <si>
    <t>067</t>
  </si>
  <si>
    <t>Základné imanie súčet (r. 069 až 072)</t>
  </si>
  <si>
    <t>068</t>
  </si>
  <si>
    <t>A.l.1.</t>
  </si>
  <si>
    <t>Základné imanie (411 alebo +/-491)</t>
  </si>
  <si>
    <t>069</t>
  </si>
  <si>
    <t>Vlastné akcie a vlastné obchodné podiely (/-/252)</t>
  </si>
  <si>
    <t>070</t>
  </si>
  <si>
    <t>Zmena základného imania +/-419</t>
  </si>
  <si>
    <t>071</t>
  </si>
  <si>
    <t>Pohľadávky za upísané vlastné imanie (/-/353)</t>
  </si>
  <si>
    <t>072</t>
  </si>
  <si>
    <t>Kapitálové fondy súčet (r. 074 až 079)</t>
  </si>
  <si>
    <t>Emisné ážio (412)</t>
  </si>
  <si>
    <t>074</t>
  </si>
  <si>
    <t>Ostatné kapitálové fondy (413)</t>
  </si>
  <si>
    <t>075</t>
  </si>
  <si>
    <t>Zákonný rezervný fond (Nedeliteľný fond) z kapitálových vkladov (417,418)</t>
  </si>
  <si>
    <t>076</t>
  </si>
  <si>
    <t>Oceňovacie rozdiely z precenenia majetku a záväzkov (+/-414)</t>
  </si>
  <si>
    <t>077</t>
  </si>
  <si>
    <t>Oceňovacie rozdiely z kapitálových účastín (+/-415)</t>
  </si>
  <si>
    <t>078</t>
  </si>
  <si>
    <t>Oceňovacie rozdiely z precenenia pri zlúčení, splynutí a rozdelení (+/-416)</t>
  </si>
  <si>
    <t>079</t>
  </si>
  <si>
    <t>Fondy zo zisku súčet (r. 081 až 083)</t>
  </si>
  <si>
    <t>080</t>
  </si>
  <si>
    <t>Zákonný rezervný fond (421)</t>
  </si>
  <si>
    <t>Nedeliteľný fond (422)</t>
  </si>
  <si>
    <t>Štatutárne fondy a ostatné fondy (423,427,42X)</t>
  </si>
  <si>
    <t>083</t>
  </si>
  <si>
    <t>A.lV.</t>
  </si>
  <si>
    <t>Výsledok hospodárenia minulých rokov r. 085 a r. 086</t>
  </si>
  <si>
    <t>084</t>
  </si>
  <si>
    <t>A.lV.1.</t>
  </si>
  <si>
    <t>Nerozdelený zisk minulých rokov (428)</t>
  </si>
  <si>
    <t>085</t>
  </si>
  <si>
    <t>Neuhradená strata minulých rokov (/-/429)</t>
  </si>
  <si>
    <t>086</t>
  </si>
  <si>
    <t>A.V.</t>
  </si>
  <si>
    <t>Výsledok hospodárenia za účtovné obdobie po zdanení /+-/ r.001- (r. 068+ r. 073+ r. 080+ r. 084+ r. 088+ r. 121)</t>
  </si>
  <si>
    <t>087</t>
  </si>
  <si>
    <t>Záväzky z r. 089+ r. 094+ r. 106+ r. 117 + r. 118</t>
  </si>
  <si>
    <t>088</t>
  </si>
  <si>
    <t>Rezervy súčet (r. 090 až 093)</t>
  </si>
  <si>
    <t>Rezervy zákonné dlhodobé (451A)</t>
  </si>
  <si>
    <t>090</t>
  </si>
  <si>
    <t>Rezervy zákonné krátkodobé (323A, 451A)</t>
  </si>
  <si>
    <t>091</t>
  </si>
  <si>
    <t>Ostatné dlhodobé rezervy (459 A,45XA)</t>
  </si>
  <si>
    <t>Ostatné krátkodobé rezervy (323A, 32X, 459A,45XA)</t>
  </si>
  <si>
    <t>093</t>
  </si>
  <si>
    <t>Dlhodobé záväzky súčet (r. 095 až 105)</t>
  </si>
  <si>
    <t>094</t>
  </si>
  <si>
    <t>Dlhodobé záväzky z obchodného styku (321A, 479A)</t>
  </si>
  <si>
    <t>095</t>
  </si>
  <si>
    <t>096</t>
  </si>
  <si>
    <t>Dlhodobé nevyfaktúrované dodávky (476A)</t>
  </si>
  <si>
    <t>097</t>
  </si>
  <si>
    <t>Dlhodobé záväzky voči dcérskej  účtovnej jednotke a materskej účtovnej jednotke (471A)</t>
  </si>
  <si>
    <t>098</t>
  </si>
  <si>
    <t>Ostatné dlhodobé záväzky v rámci konsolidovaného celku (471A)</t>
  </si>
  <si>
    <t>099</t>
  </si>
  <si>
    <t>Dlhodobé prijaté preddavky (475A)</t>
  </si>
  <si>
    <t>100</t>
  </si>
  <si>
    <t>Dlhodobé zmenky na úhradu (478A)</t>
  </si>
  <si>
    <t>101</t>
  </si>
  <si>
    <t>Vydané dlhopisy (473A,/-/255A)</t>
  </si>
  <si>
    <t>102</t>
  </si>
  <si>
    <t>Záväzky zo sociálneho fondu (472)</t>
  </si>
  <si>
    <t>103</t>
  </si>
  <si>
    <t>Ostatné dlhodobé záväzky (474A,479A,47XA,372A,373A,377A)</t>
  </si>
  <si>
    <t>104</t>
  </si>
  <si>
    <t>Odložený daňový záväzok (481A)</t>
  </si>
  <si>
    <t>105</t>
  </si>
  <si>
    <t>Krátkodobé záväzky súčet (r. 107 až 116)</t>
  </si>
  <si>
    <t>106</t>
  </si>
  <si>
    <t>B.lll.1</t>
  </si>
  <si>
    <t>Záväzky z obchodného styku (321,322,324,325,32X,475A,478A,479A,47XA)</t>
  </si>
  <si>
    <t>107</t>
  </si>
  <si>
    <t>108</t>
  </si>
  <si>
    <t>Nevyfakturované dodávky (326,476A)</t>
  </si>
  <si>
    <t>109</t>
  </si>
  <si>
    <t>Záväzky voči dcérskej účtovnej jednotke a materskej účtovnej jednotke (361A,471A)</t>
  </si>
  <si>
    <t>110</t>
  </si>
  <si>
    <t>Ostatné záväzky v rámci konsolidovaného celku (361A,36XA,471A,47XA)</t>
  </si>
  <si>
    <t>Záväzky voči spoločníkom a združeniu (364,365,366,367,368,398A,478A,479A)</t>
  </si>
  <si>
    <t>Záväzky voči zamestnancom (331,333,33X,479A)</t>
  </si>
  <si>
    <t>113</t>
  </si>
  <si>
    <t>Záväzky zo sociálneho poistenia (336,479A)</t>
  </si>
  <si>
    <t>114</t>
  </si>
  <si>
    <t>Daňové záväzky a dotácie (341,342,343,345,346,347,34X)</t>
  </si>
  <si>
    <t>115</t>
  </si>
  <si>
    <t>Ostatné záväzky (372A,373A,377A,379A,474A,479A,47X)</t>
  </si>
  <si>
    <t>116</t>
  </si>
  <si>
    <t>Krátkodobé finančné výpomoci (241,249,24X,473A,/-/255A)</t>
  </si>
  <si>
    <t>117</t>
  </si>
  <si>
    <t>B.V.</t>
  </si>
  <si>
    <t>Bankové úvery (r. 119 + r. 120)</t>
  </si>
  <si>
    <t>118</t>
  </si>
  <si>
    <t>Bankové úvery dlhodobé (461A,46XA)</t>
  </si>
  <si>
    <t>119</t>
  </si>
  <si>
    <t>Bežné bankové úvery (221A,231,232,23X,461A,46XA)</t>
  </si>
  <si>
    <t>120</t>
  </si>
  <si>
    <t>Časové rozlíšenie súčet (r. 122 až 125)</t>
  </si>
  <si>
    <t>121</t>
  </si>
  <si>
    <t>Výdavky budúcich období dlhodobé (383A)</t>
  </si>
  <si>
    <t>122</t>
  </si>
  <si>
    <t>Výdavky budúcich období krátkodobé (383A)</t>
  </si>
  <si>
    <t>123</t>
  </si>
  <si>
    <t>Výnosy budúcich období dlhodobé (384A)</t>
  </si>
  <si>
    <t>124</t>
  </si>
  <si>
    <t>Výnosy budúcich období krátkodobé (384A)</t>
  </si>
  <si>
    <t>125</t>
  </si>
  <si>
    <t>Dátum zostavenia ÚZ</t>
  </si>
  <si>
    <t>25.03.2014</t>
  </si>
  <si>
    <t>Obdobie od</t>
  </si>
  <si>
    <t>01.01.2013</t>
  </si>
  <si>
    <t>Obdobie do</t>
  </si>
  <si>
    <t>31.12.2013</t>
  </si>
  <si>
    <t>Bezprostredne predchádzajúce obdobie od</t>
  </si>
  <si>
    <t>01.01.2012</t>
  </si>
  <si>
    <t>Bezprostredne predchádzajúce obdobie do</t>
  </si>
  <si>
    <t>31.12.2012</t>
  </si>
  <si>
    <t>IČO</t>
  </si>
  <si>
    <t>DIČ</t>
  </si>
  <si>
    <t>Kód SK NACE</t>
  </si>
  <si>
    <t>Názov1</t>
  </si>
  <si>
    <t>NEW - FOURTH s.r.o.</t>
  </si>
  <si>
    <t>Názov2</t>
  </si>
  <si>
    <t>Ulica</t>
  </si>
  <si>
    <t>Moldavská cesta</t>
  </si>
  <si>
    <t>Číslo</t>
  </si>
  <si>
    <t>8/A</t>
  </si>
  <si>
    <t>PSČ</t>
  </si>
  <si>
    <t>Názov obce</t>
  </si>
  <si>
    <t>Košice</t>
  </si>
  <si>
    <t>Číslo telefónu</t>
  </si>
  <si>
    <t>055/2813212</t>
  </si>
  <si>
    <t>Číslo faxu</t>
  </si>
  <si>
    <t>E-mail</t>
  </si>
  <si>
    <t>filipova.andrea@drmax.sk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</si>
</sst>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[$€-1]"/>
  </numFmts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1"/>
      <color theme="3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8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0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/>
  </cellStyleXfs>
  <cellXfs count="234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justify"/>
    </xf>
    <xf numFmtId="0" fontId="0" fillId="0" borderId="29" xfId="0" applyBorder="1" applyAlignment="1">
      <alignment horizontal="center"/>
    </xf>
    <xf numFmtId="0" fontId="0" fillId="0" borderId="29" xfId="0" applyBorder="1"/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3" fontId="6" fillId="0" borderId="4" xfId="0" applyNumberFormat="1" applyFont="1" applyBorder="1" applyAlignment="1">
      <alignment horizontal="right" vertical="center" wrapText="1"/>
    </xf>
    <xf numFmtId="0" fontId="6" fillId="0" borderId="5" xfId="0" applyFont="1" applyBorder="1" applyAlignment="1">
      <alignment vertical="center" wrapText="1"/>
    </xf>
    <xf numFmtId="3" fontId="6" fillId="0" borderId="6" xfId="0" applyNumberFormat="1" applyFont="1" applyBorder="1" applyAlignment="1">
      <alignment horizontal="right" vertical="center" wrapText="1"/>
    </xf>
    <xf numFmtId="0" fontId="6" fillId="0" borderId="7" xfId="0" applyFont="1" applyBorder="1" applyAlignment="1">
      <alignment vertical="center" wrapText="1"/>
    </xf>
    <xf numFmtId="3" fontId="6" fillId="0" borderId="8" xfId="0" applyNumberFormat="1" applyFont="1" applyBorder="1" applyAlignment="1">
      <alignment horizontal="right" vertical="center" wrapText="1"/>
    </xf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8" xfId="0" applyFont="1" applyBorder="1" applyAlignment="1">
      <alignment horizontal="center" vertical="center" wrapText="1"/>
    </xf>
    <xf numFmtId="3" fontId="6" fillId="0" borderId="13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3" fontId="5" fillId="0" borderId="14" xfId="0" applyNumberFormat="1" applyFont="1" applyBorder="1" applyAlignment="1">
      <alignment horizontal="right" vertical="center" wrapText="1"/>
    </xf>
    <xf numFmtId="0" fontId="5" fillId="0" borderId="25" xfId="0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right" vertical="center" wrapText="1"/>
    </xf>
    <xf numFmtId="0" fontId="5" fillId="0" borderId="15" xfId="0" applyFont="1" applyBorder="1" applyAlignment="1">
      <alignment vertical="center" wrapText="1"/>
    </xf>
    <xf numFmtId="0" fontId="6" fillId="0" borderId="5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3" fontId="6" fillId="0" borderId="8" xfId="0" applyNumberFormat="1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right" vertical="center"/>
    </xf>
    <xf numFmtId="3" fontId="6" fillId="0" borderId="6" xfId="0" applyNumberFormat="1" applyFont="1" applyBorder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0" fontId="5" fillId="0" borderId="25" xfId="0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 wrapText="1"/>
    </xf>
    <xf numFmtId="0" fontId="6" fillId="0" borderId="23" xfId="0" applyFont="1" applyBorder="1" applyAlignment="1">
      <alignment vertical="center" wrapText="1"/>
    </xf>
    <xf numFmtId="0" fontId="6" fillId="0" borderId="30" xfId="0" applyFont="1" applyBorder="1" applyAlignment="1">
      <alignment vertical="center" wrapText="1"/>
    </xf>
    <xf numFmtId="0" fontId="5" fillId="0" borderId="14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right" vertical="center"/>
    </xf>
    <xf numFmtId="0" fontId="5" fillId="0" borderId="20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/>
    </xf>
    <xf numFmtId="0" fontId="5" fillId="0" borderId="9" xfId="0" applyFont="1" applyBorder="1" applyAlignment="1">
      <alignment vertical="center" wrapText="1"/>
    </xf>
    <xf numFmtId="0" fontId="5" fillId="0" borderId="26" xfId="0" applyFont="1" applyBorder="1" applyAlignment="1">
      <alignment vertical="center" wrapText="1"/>
    </xf>
    <xf numFmtId="3" fontId="6" fillId="0" borderId="14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9" fontId="6" fillId="0" borderId="13" xfId="1" applyFont="1" applyBorder="1" applyAlignment="1">
      <alignment horizontal="right" vertical="center"/>
    </xf>
    <xf numFmtId="9" fontId="6" fillId="0" borderId="6" xfId="1" applyFont="1" applyBorder="1" applyAlignment="1">
      <alignment horizontal="right" vertical="center"/>
    </xf>
    <xf numFmtId="0" fontId="6" fillId="0" borderId="26" xfId="0" applyFont="1" applyBorder="1" applyAlignment="1">
      <alignment vertical="center" wrapText="1"/>
    </xf>
    <xf numFmtId="3" fontId="6" fillId="0" borderId="17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vertical="center" wrapText="1"/>
    </xf>
    <xf numFmtId="0" fontId="0" fillId="0" borderId="0" xfId="0" applyAlignment="1">
      <alignment horizontal="center"/>
    </xf>
    <xf numFmtId="3" fontId="5" fillId="0" borderId="18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/>
    </xf>
    <xf numFmtId="3" fontId="5" fillId="0" borderId="6" xfId="0" applyNumberFormat="1" applyFont="1" applyBorder="1" applyAlignment="1">
      <alignment horizontal="right" vertical="center"/>
    </xf>
    <xf numFmtId="9" fontId="6" fillId="0" borderId="8" xfId="1" applyFont="1" applyBorder="1" applyAlignment="1">
      <alignment horizontal="right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6" fillId="0" borderId="23" xfId="0" applyNumberFormat="1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center" vertical="center" wrapText="1"/>
    </xf>
    <xf numFmtId="0" fontId="9" fillId="0" borderId="0" xfId="0" applyFont="1"/>
    <xf numFmtId="0" fontId="6" fillId="0" borderId="21" xfId="0" applyFont="1" applyBorder="1" applyAlignment="1">
      <alignment vertical="center" wrapText="1"/>
    </xf>
    <xf numFmtId="0" fontId="6" fillId="0" borderId="34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3" fontId="5" fillId="0" borderId="30" xfId="0" applyNumberFormat="1" applyFont="1" applyBorder="1" applyAlignment="1">
      <alignment horizontal="right" vertical="center" wrapText="1"/>
    </xf>
    <xf numFmtId="0" fontId="6" fillId="0" borderId="20" xfId="0" applyFont="1" applyBorder="1" applyAlignment="1">
      <alignment vertical="center" wrapText="1"/>
    </xf>
    <xf numFmtId="0" fontId="11" fillId="0" borderId="0" xfId="0" applyFont="1"/>
    <xf numFmtId="0" fontId="8" fillId="0" borderId="0" xfId="0" applyFont="1" applyAlignment="1">
      <alignment vertical="center"/>
    </xf>
    <xf numFmtId="3" fontId="5" fillId="0" borderId="30" xfId="0" applyNumberFormat="1" applyFont="1" applyBorder="1" applyAlignment="1">
      <alignment horizontal="right" vertical="center"/>
    </xf>
    <xf numFmtId="3" fontId="5" fillId="0" borderId="35" xfId="0" applyNumberFormat="1" applyFont="1" applyBorder="1" applyAlignment="1">
      <alignment horizontal="right" vertical="center"/>
    </xf>
    <xf numFmtId="3" fontId="5" fillId="0" borderId="4" xfId="0" applyNumberFormat="1" applyFont="1" applyBorder="1" applyAlignment="1">
      <alignment horizontal="right" vertical="center"/>
    </xf>
    <xf numFmtId="3" fontId="5" fillId="0" borderId="23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center" vertical="center" wrapText="1"/>
    </xf>
    <xf numFmtId="3" fontId="5" fillId="0" borderId="38" xfId="0" applyNumberFormat="1" applyFont="1" applyBorder="1" applyAlignment="1">
      <alignment horizontal="right" vertical="center" wrapText="1"/>
    </xf>
    <xf numFmtId="3" fontId="5" fillId="0" borderId="13" xfId="0" applyNumberFormat="1" applyFont="1" applyBorder="1" applyAlignment="1">
      <alignment horizontal="right" vertical="center" wrapText="1"/>
    </xf>
    <xf numFmtId="0" fontId="10" fillId="0" borderId="0" xfId="0" applyFont="1"/>
    <xf numFmtId="3" fontId="14" fillId="2" borderId="13" xfId="0" applyNumberFormat="1" applyFont="1" applyFill="1" applyBorder="1" applyAlignment="1">
      <alignment horizontal="right" vertical="center" wrapText="1"/>
    </xf>
    <xf numFmtId="3" fontId="14" fillId="2" borderId="17" xfId="0" applyNumberFormat="1" applyFont="1" applyFill="1" applyBorder="1" applyAlignment="1">
      <alignment horizontal="right" vertical="center" wrapText="1"/>
    </xf>
    <xf numFmtId="0" fontId="14" fillId="2" borderId="11" xfId="0" applyFont="1" applyFill="1" applyBorder="1" applyAlignment="1">
      <alignment vertical="center" wrapText="1"/>
    </xf>
    <xf numFmtId="3" fontId="14" fillId="2" borderId="14" xfId="0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2" borderId="0" xfId="0" applyFill="1"/>
    <xf numFmtId="0" fontId="0" fillId="0" borderId="0" xfId="0" applyBorder="1"/>
    <xf numFmtId="49" fontId="14" fillId="0" borderId="0" xfId="0" applyNumberFormat="1" applyFont="1" applyBorder="1" applyAlignment="1">
      <alignment horizontal="left" vertical="top"/>
    </xf>
    <xf numFmtId="0" fontId="14" fillId="0" borderId="0" xfId="0" applyFont="1" applyBorder="1" applyAlignment="1">
      <alignment horizontal="left" vertical="top"/>
    </xf>
    <xf numFmtId="164" fontId="14" fillId="0" borderId="0" xfId="0" applyNumberFormat="1" applyFont="1" applyBorder="1" applyAlignment="1">
      <alignment horizontal="right" vertical="top"/>
    </xf>
    <xf numFmtId="49" fontId="6" fillId="0" borderId="0" xfId="0" applyNumberFormat="1" applyFont="1" applyBorder="1"/>
    <xf numFmtId="0" fontId="6" fillId="0" borderId="0" xfId="0" applyFont="1" applyBorder="1"/>
    <xf numFmtId="164" fontId="6" fillId="0" borderId="0" xfId="0" applyNumberFormat="1" applyFont="1" applyBorder="1"/>
    <xf numFmtId="0" fontId="16" fillId="0" borderId="0" xfId="0" applyFont="1" applyBorder="1"/>
    <xf numFmtId="49" fontId="16" fillId="0" borderId="0" xfId="0" applyNumberFormat="1" applyFont="1" applyBorder="1"/>
    <xf numFmtId="164" fontId="16" fillId="0" borderId="0" xfId="0" applyNumberFormat="1" applyFont="1" applyBorder="1"/>
    <xf numFmtId="49" fontId="15" fillId="3" borderId="29" xfId="0" applyNumberFormat="1" applyFont="1" applyFill="1" applyBorder="1" applyAlignment="1">
      <alignment horizontal="left" vertical="top" wrapText="1"/>
    </xf>
    <xf numFmtId="0" fontId="15" fillId="3" borderId="29" xfId="0" applyFont="1" applyFill="1" applyBorder="1" applyAlignment="1">
      <alignment horizontal="left" vertical="top" wrapText="1"/>
    </xf>
    <xf numFmtId="164" fontId="15" fillId="3" borderId="29" xfId="0" applyNumberFormat="1" applyFont="1" applyFill="1" applyBorder="1" applyAlignment="1">
      <alignment horizontal="right" vertical="top" wrapText="1"/>
    </xf>
    <xf numFmtId="0" fontId="6" fillId="3" borderId="29" xfId="0" applyFont="1" applyFill="1" applyBorder="1"/>
    <xf numFmtId="49" fontId="6" fillId="0" borderId="0" xfId="0" applyNumberFormat="1" applyFont="1" applyAlignment="1">
      <alignment vertical="center"/>
    </xf>
    <xf numFmtId="3" fontId="6" fillId="2" borderId="6" xfId="0" applyNumberFormat="1" applyFont="1" applyFill="1" applyBorder="1" applyAlignment="1">
      <alignment horizontal="right" vertical="center" wrapText="1"/>
    </xf>
    <xf numFmtId="0" fontId="10" fillId="2" borderId="0" xfId="0" applyFont="1" applyFill="1" applyAlignment="1">
      <alignment horizontal="center"/>
    </xf>
    <xf numFmtId="3" fontId="6" fillId="2" borderId="8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vertical="center" wrapText="1"/>
    </xf>
    <xf numFmtId="0" fontId="6" fillId="2" borderId="10" xfId="0" applyFont="1" applyFill="1" applyBorder="1" applyAlignment="1">
      <alignment vertical="center" wrapText="1"/>
    </xf>
    <xf numFmtId="3" fontId="6" fillId="2" borderId="13" xfId="0" applyNumberFormat="1" applyFont="1" applyFill="1" applyBorder="1" applyAlignment="1">
      <alignment horizontal="right" vertical="center" wrapText="1"/>
    </xf>
    <xf numFmtId="3" fontId="6" fillId="2" borderId="14" xfId="0" applyNumberFormat="1" applyFont="1" applyFill="1" applyBorder="1" applyAlignment="1">
      <alignment horizontal="right" vertical="center" wrapText="1"/>
    </xf>
    <xf numFmtId="0" fontId="12" fillId="2" borderId="0" xfId="0" applyFont="1" applyFill="1" applyAlignment="1">
      <alignment horizontal="center"/>
    </xf>
    <xf numFmtId="0" fontId="9" fillId="2" borderId="0" xfId="0" applyFont="1" applyFill="1"/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5" fillId="2" borderId="1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2" fillId="2" borderId="0" xfId="0" applyFont="1" applyFill="1"/>
    <xf numFmtId="3" fontId="13" fillId="2" borderId="13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horizontal="right" vertical="center" wrapText="1"/>
    </xf>
    <xf numFmtId="0" fontId="6" fillId="2" borderId="19" xfId="0" applyFont="1" applyFill="1" applyBorder="1" applyAlignment="1">
      <alignment horizontal="right" vertical="center" wrapText="1"/>
    </xf>
    <xf numFmtId="1" fontId="13" fillId="2" borderId="28" xfId="0" applyNumberFormat="1" applyFont="1" applyFill="1" applyBorder="1" applyAlignment="1">
      <alignment horizontal="right" vertical="center" wrapText="1"/>
    </xf>
    <xf numFmtId="3" fontId="8" fillId="2" borderId="13" xfId="0" applyNumberFormat="1" applyFont="1" applyFill="1" applyBorder="1" applyAlignment="1">
      <alignment horizontal="right" vertical="center" wrapText="1"/>
    </xf>
    <xf numFmtId="0" fontId="14" fillId="2" borderId="11" xfId="0" applyFont="1" applyFill="1" applyBorder="1" applyAlignment="1">
      <alignment horizontal="right" vertical="center" wrapText="1"/>
    </xf>
    <xf numFmtId="0" fontId="2" fillId="2" borderId="0" xfId="0" applyFont="1" applyFill="1" applyAlignment="1">
      <alignment horizontal="left"/>
    </xf>
    <xf numFmtId="0" fontId="3" fillId="2" borderId="0" xfId="0" applyFont="1" applyFill="1"/>
    <xf numFmtId="0" fontId="0" fillId="2" borderId="0" xfId="0" applyFill="1" applyAlignment="1">
      <alignment wrapText="1"/>
    </xf>
    <xf numFmtId="0" fontId="6" fillId="2" borderId="15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vertical="center" wrapText="1"/>
    </xf>
    <xf numFmtId="0" fontId="14" fillId="2" borderId="0" xfId="0" applyFont="1" applyFill="1" applyAlignment="1">
      <alignment vertical="center"/>
    </xf>
    <xf numFmtId="0" fontId="13" fillId="2" borderId="1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vertical="center" wrapText="1"/>
    </xf>
    <xf numFmtId="0" fontId="14" fillId="2" borderId="10" xfId="0" applyFont="1" applyFill="1" applyBorder="1" applyAlignment="1">
      <alignment vertical="center" wrapText="1"/>
    </xf>
    <xf numFmtId="0" fontId="13" fillId="2" borderId="5" xfId="0" applyFont="1" applyFill="1" applyBorder="1" applyAlignment="1">
      <alignment vertical="center" wrapText="1"/>
    </xf>
    <xf numFmtId="3" fontId="14" fillId="2" borderId="6" xfId="0" applyNumberFormat="1" applyFont="1" applyFill="1" applyBorder="1" applyAlignment="1">
      <alignment horizontal="right" vertical="center" wrapText="1"/>
    </xf>
    <xf numFmtId="0" fontId="14" fillId="2" borderId="5" xfId="0" applyFont="1" applyFill="1" applyBorder="1" applyAlignment="1">
      <alignment vertical="center" wrapText="1"/>
    </xf>
    <xf numFmtId="0" fontId="13" fillId="2" borderId="7" xfId="0" applyFont="1" applyFill="1" applyBorder="1" applyAlignment="1">
      <alignment vertical="center" wrapText="1"/>
    </xf>
    <xf numFmtId="3" fontId="14" fillId="2" borderId="8" xfId="0" applyNumberFormat="1" applyFont="1" applyFill="1" applyBorder="1" applyAlignment="1">
      <alignment horizontal="right" vertical="center" wrapText="1"/>
    </xf>
    <xf numFmtId="0" fontId="14" fillId="2" borderId="0" xfId="0" applyFont="1" applyFill="1" applyAlignment="1">
      <alignment horizontal="right" vertical="center"/>
    </xf>
    <xf numFmtId="0" fontId="0" fillId="2" borderId="0" xfId="0" applyFill="1" applyAlignment="1">
      <alignment horizontal="right"/>
    </xf>
    <xf numFmtId="0" fontId="13" fillId="2" borderId="10" xfId="0" applyFont="1" applyFill="1" applyBorder="1" applyAlignment="1">
      <alignment horizontal="righ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3" fontId="13" fillId="2" borderId="8" xfId="0" applyNumberFormat="1" applyFont="1" applyFill="1" applyBorder="1" applyAlignment="1">
      <alignment horizontal="right" vertical="center" wrapText="1"/>
    </xf>
    <xf numFmtId="3" fontId="14" fillId="0" borderId="13" xfId="0" applyNumberFormat="1" applyFont="1" applyBorder="1" applyAlignment="1">
      <alignment horizontal="right" vertical="center" wrapText="1"/>
    </xf>
    <xf numFmtId="3" fontId="13" fillId="2" borderId="0" xfId="0" applyNumberFormat="1" applyFont="1" applyFill="1" applyBorder="1" applyAlignment="1">
      <alignment horizontal="center" vertical="center" wrapText="1"/>
    </xf>
    <xf numFmtId="3" fontId="13" fillId="2" borderId="28" xfId="0" applyNumberFormat="1" applyFont="1" applyFill="1" applyBorder="1" applyAlignment="1">
      <alignment horizontal="right" vertical="center" wrapText="1"/>
    </xf>
    <xf numFmtId="3" fontId="13" fillId="2" borderId="17" xfId="0" applyNumberFormat="1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 wrapText="1"/>
    </xf>
    <xf numFmtId="3" fontId="13" fillId="2" borderId="0" xfId="0" applyNumberFormat="1" applyFont="1" applyFill="1" applyBorder="1" applyAlignment="1">
      <alignment horizontal="right" vertical="center" wrapText="1"/>
    </xf>
    <xf numFmtId="3" fontId="13" fillId="2" borderId="38" xfId="0" applyNumberFormat="1" applyFont="1" applyFill="1" applyBorder="1" applyAlignment="1">
      <alignment horizontal="right" vertical="center" wrapText="1"/>
    </xf>
    <xf numFmtId="0" fontId="17" fillId="2" borderId="0" xfId="0" applyFont="1" applyFill="1"/>
    <xf numFmtId="3" fontId="13" fillId="2" borderId="6" xfId="0" applyNumberFormat="1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/>
    </xf>
    <xf numFmtId="3" fontId="13" fillId="2" borderId="35" xfId="0" applyNumberFormat="1" applyFont="1" applyFill="1" applyBorder="1" applyAlignment="1">
      <alignment horizontal="right" vertical="center" wrapText="1"/>
    </xf>
    <xf numFmtId="3" fontId="13" fillId="2" borderId="36" xfId="0" applyNumberFormat="1" applyFont="1" applyFill="1" applyBorder="1" applyAlignment="1">
      <alignment horizontal="right" vertical="center" wrapText="1"/>
    </xf>
    <xf numFmtId="3" fontId="13" fillId="2" borderId="23" xfId="0" applyNumberFormat="1" applyFont="1" applyFill="1" applyBorder="1" applyAlignment="1">
      <alignment horizontal="right" vertical="center" wrapText="1"/>
    </xf>
    <xf numFmtId="3" fontId="13" fillId="2" borderId="24" xfId="0" applyNumberFormat="1" applyFont="1" applyFill="1" applyBorder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right" vertical="center"/>
    </xf>
    <xf numFmtId="3" fontId="13" fillId="2" borderId="6" xfId="0" applyNumberFormat="1" applyFont="1" applyFill="1" applyBorder="1" applyAlignment="1">
      <alignment horizontal="right" vertical="center"/>
    </xf>
    <xf numFmtId="3" fontId="14" fillId="2" borderId="23" xfId="0" applyNumberFormat="1" applyFont="1" applyFill="1" applyBorder="1" applyAlignment="1">
      <alignment horizontal="right" vertical="center"/>
    </xf>
    <xf numFmtId="3" fontId="14" fillId="2" borderId="30" xfId="0" applyNumberFormat="1" applyFont="1" applyFill="1" applyBorder="1" applyAlignment="1">
      <alignment horizontal="right" vertical="center"/>
    </xf>
    <xf numFmtId="3" fontId="13" fillId="2" borderId="33" xfId="0" applyNumberFormat="1" applyFont="1" applyFill="1" applyBorder="1" applyAlignment="1">
      <alignment horizontal="right" vertical="center"/>
    </xf>
    <xf numFmtId="0" fontId="13" fillId="2" borderId="8" xfId="0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right" vertical="center"/>
    </xf>
    <xf numFmtId="3" fontId="14" fillId="2" borderId="8" xfId="0" applyNumberFormat="1" applyFont="1" applyFill="1" applyBorder="1" applyAlignment="1">
      <alignment horizontal="right" vertical="center"/>
    </xf>
    <xf numFmtId="0" fontId="13" fillId="2" borderId="10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right" vertical="center"/>
    </xf>
    <xf numFmtId="0" fontId="14" fillId="2" borderId="13" xfId="0" applyFont="1" applyFill="1" applyBorder="1" applyAlignment="1">
      <alignment horizontal="right" vertical="center"/>
    </xf>
    <xf numFmtId="3" fontId="13" fillId="2" borderId="4" xfId="0" applyNumberFormat="1" applyFont="1" applyFill="1" applyBorder="1" applyAlignment="1">
      <alignment horizontal="right" vertical="center" wrapText="1"/>
    </xf>
    <xf numFmtId="3" fontId="14" fillId="2" borderId="37" xfId="0" applyNumberFormat="1" applyFont="1" applyFill="1" applyBorder="1" applyAlignment="1">
      <alignment horizontal="right" vertical="center"/>
    </xf>
    <xf numFmtId="3" fontId="14" fillId="2" borderId="16" xfId="0" applyNumberFormat="1" applyFont="1" applyFill="1" applyBorder="1" applyAlignment="1">
      <alignment horizontal="right" vertical="center"/>
    </xf>
    <xf numFmtId="3" fontId="14" fillId="2" borderId="24" xfId="0" applyNumberFormat="1" applyFont="1" applyFill="1" applyBorder="1" applyAlignment="1">
      <alignment horizontal="right" vertical="center"/>
    </xf>
    <xf numFmtId="3" fontId="14" fillId="2" borderId="17" xfId="0" applyNumberFormat="1" applyFont="1" applyFill="1" applyBorder="1" applyAlignment="1">
      <alignment horizontal="right" vertical="center"/>
    </xf>
    <xf numFmtId="3" fontId="14" fillId="2" borderId="14" xfId="0" applyNumberFormat="1" applyFont="1" applyFill="1" applyBorder="1" applyAlignment="1">
      <alignment horizontal="right" vertical="center"/>
    </xf>
    <xf numFmtId="3" fontId="14" fillId="2" borderId="18" xfId="0" applyNumberFormat="1" applyFont="1" applyFill="1" applyBorder="1" applyAlignment="1">
      <alignment horizontal="right" vertical="center"/>
    </xf>
    <xf numFmtId="3" fontId="14" fillId="2" borderId="32" xfId="0" applyNumberFormat="1" applyFont="1" applyFill="1" applyBorder="1" applyAlignment="1">
      <alignment horizontal="right" vertical="center"/>
    </xf>
    <xf numFmtId="3" fontId="13" fillId="2" borderId="10" xfId="0" applyNumberFormat="1" applyFont="1" applyFill="1" applyBorder="1" applyAlignment="1">
      <alignment horizontal="right" vertical="center"/>
    </xf>
    <xf numFmtId="3" fontId="13" fillId="2" borderId="30" xfId="0" applyNumberFormat="1" applyFont="1" applyFill="1" applyBorder="1" applyAlignment="1">
      <alignment horizontal="right" vertical="center"/>
    </xf>
    <xf numFmtId="3" fontId="13" fillId="2" borderId="8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center"/>
    </xf>
    <xf numFmtId="3" fontId="13" fillId="2" borderId="13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right"/>
    </xf>
    <xf numFmtId="3" fontId="13" fillId="2" borderId="14" xfId="0" applyNumberFormat="1" applyFont="1" applyFill="1" applyBorder="1" applyAlignment="1">
      <alignment horizontal="right" vertical="center"/>
    </xf>
    <xf numFmtId="0" fontId="13" fillId="2" borderId="0" xfId="0" applyFont="1" applyFill="1" applyAlignment="1">
      <alignment horizontal="right" vertical="center"/>
    </xf>
    <xf numFmtId="0" fontId="14" fillId="2" borderId="6" xfId="0" applyFont="1" applyFill="1" applyBorder="1" applyAlignment="1">
      <alignment horizontal="right" vertical="center"/>
    </xf>
    <xf numFmtId="0" fontId="17" fillId="2" borderId="0" xfId="0" applyFont="1" applyFill="1" applyAlignment="1">
      <alignment horizontal="right" vertical="center" wrapText="1"/>
    </xf>
    <xf numFmtId="0" fontId="18" fillId="2" borderId="0" xfId="0" applyFont="1" applyFill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center" vertical="center"/>
    </xf>
    <xf numFmtId="9" fontId="14" fillId="2" borderId="6" xfId="1" applyFont="1" applyFill="1" applyBorder="1" applyAlignment="1">
      <alignment horizontal="right" vertical="center"/>
    </xf>
    <xf numFmtId="0" fontId="14" fillId="2" borderId="13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3" fontId="13" fillId="2" borderId="30" xfId="0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5" fillId="0" borderId="15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6" fillId="0" borderId="0" xfId="0" applyFont="1" applyFill="1" applyBorder="1" applyAlignment="1">
      <alignment vertical="center" wrapText="1"/>
    </xf>
  </cellXfs>
  <cellStyles count="3">
    <cellStyle name="Normálna" xfId="0" builtinId="0"/>
    <cellStyle name="Normálna 2" xfId="2"/>
    <cellStyle name="Percentá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7"/>
  <sheetViews>
    <sheetView showGridLines="0" workbookViewId="0">
      <selection activeCell="A4" sqref="A4"/>
    </sheetView>
  </sheetViews>
  <sheetFormatPr defaultRowHeight="15" x14ac:dyDescent="0.25"/>
  <cols>
    <col min="1" max="1" width="22" customWidth="1"/>
    <col min="2" max="2" width="21.5703125" customWidth="1"/>
  </cols>
  <sheetData>
    <row r="1" spans="1:2" x14ac:dyDescent="0.25">
      <c r="A1" t="s">
        <v>162</v>
      </c>
    </row>
    <row r="2" spans="1:2" x14ac:dyDescent="0.25">
      <c r="A2" t="s">
        <v>163</v>
      </c>
    </row>
    <row r="3" spans="1:2" x14ac:dyDescent="0.25">
      <c r="A3" t="s">
        <v>164</v>
      </c>
    </row>
    <row r="4" spans="1:2" x14ac:dyDescent="0.25">
      <c r="A4" t="s">
        <v>165</v>
      </c>
    </row>
    <row r="5" spans="1:2" x14ac:dyDescent="0.25">
      <c r="A5" t="s">
        <v>166</v>
      </c>
    </row>
    <row r="6" spans="1:2" x14ac:dyDescent="0.25">
      <c r="A6" t="s">
        <v>167</v>
      </c>
    </row>
    <row r="7" spans="1:2" x14ac:dyDescent="0.25">
      <c r="A7" t="s">
        <v>168</v>
      </c>
    </row>
    <row r="8" spans="1:2" x14ac:dyDescent="0.25">
      <c r="A8" t="s">
        <v>169</v>
      </c>
    </row>
    <row r="9" spans="1:2" x14ac:dyDescent="0.25">
      <c r="A9" t="s">
        <v>170</v>
      </c>
    </row>
    <row r="10" spans="1:2" x14ac:dyDescent="0.25">
      <c r="A10" t="s">
        <v>171</v>
      </c>
    </row>
    <row r="11" spans="1:2" x14ac:dyDescent="0.25">
      <c r="A11" s="8" t="s">
        <v>149</v>
      </c>
      <c r="B11" s="8" t="s">
        <v>172</v>
      </c>
    </row>
    <row r="12" spans="1:2" x14ac:dyDescent="0.25">
      <c r="A12" s="6">
        <v>1</v>
      </c>
      <c r="B12" s="7" t="s">
        <v>173</v>
      </c>
    </row>
    <row r="13" spans="1:2" x14ac:dyDescent="0.25">
      <c r="A13" s="6">
        <v>2</v>
      </c>
      <c r="B13" s="7" t="s">
        <v>174</v>
      </c>
    </row>
    <row r="14" spans="1:2" x14ac:dyDescent="0.25">
      <c r="A14" s="6">
        <v>3</v>
      </c>
      <c r="B14" s="7" t="s">
        <v>175</v>
      </c>
    </row>
    <row r="15" spans="1:2" x14ac:dyDescent="0.25">
      <c r="A15" s="6">
        <v>4</v>
      </c>
      <c r="B15" s="7" t="s">
        <v>176</v>
      </c>
    </row>
    <row r="16" spans="1:2" x14ac:dyDescent="0.25">
      <c r="A16" s="6">
        <v>5</v>
      </c>
      <c r="B16" s="7" t="s">
        <v>177</v>
      </c>
    </row>
    <row r="17" spans="1:2" x14ac:dyDescent="0.25">
      <c r="A17" s="6">
        <v>6</v>
      </c>
      <c r="B17" s="7" t="s">
        <v>178</v>
      </c>
    </row>
    <row r="18" spans="1:2" x14ac:dyDescent="0.25">
      <c r="A18" s="6">
        <v>7</v>
      </c>
      <c r="B18" s="7" t="s">
        <v>179</v>
      </c>
    </row>
    <row r="19" spans="1:2" x14ac:dyDescent="0.25">
      <c r="A19" s="6">
        <v>8</v>
      </c>
      <c r="B19" s="7" t="s">
        <v>180</v>
      </c>
    </row>
    <row r="20" spans="1:2" x14ac:dyDescent="0.25">
      <c r="A20" s="6">
        <v>9</v>
      </c>
      <c r="B20" s="7" t="s">
        <v>181</v>
      </c>
    </row>
    <row r="21" spans="1:2" x14ac:dyDescent="0.25">
      <c r="A21" s="6">
        <v>10</v>
      </c>
      <c r="B21" s="7" t="s">
        <v>182</v>
      </c>
    </row>
    <row r="22" spans="1:2" x14ac:dyDescent="0.25">
      <c r="A22" s="6">
        <v>11</v>
      </c>
      <c r="B22" s="7" t="s">
        <v>183</v>
      </c>
    </row>
    <row r="24" spans="1:2" x14ac:dyDescent="0.25">
      <c r="A24" t="s">
        <v>184</v>
      </c>
    </row>
    <row r="25" spans="1:2" x14ac:dyDescent="0.25">
      <c r="A25" t="s">
        <v>185</v>
      </c>
    </row>
    <row r="26" spans="1:2" x14ac:dyDescent="0.25">
      <c r="A26" t="s">
        <v>186</v>
      </c>
    </row>
    <row r="27" spans="1:2" x14ac:dyDescent="0.25">
      <c r="A27" t="s">
        <v>187</v>
      </c>
    </row>
    <row r="28" spans="1:2" x14ac:dyDescent="0.25">
      <c r="A28" t="s">
        <v>188</v>
      </c>
    </row>
    <row r="29" spans="1:2" x14ac:dyDescent="0.25">
      <c r="A29" t="s">
        <v>189</v>
      </c>
    </row>
    <row r="30" spans="1:2" x14ac:dyDescent="0.25">
      <c r="A30" t="s">
        <v>190</v>
      </c>
    </row>
    <row r="31" spans="1:2" x14ac:dyDescent="0.25">
      <c r="A31" t="s">
        <v>191</v>
      </c>
    </row>
    <row r="32" spans="1:2" x14ac:dyDescent="0.25">
      <c r="A32" t="s">
        <v>192</v>
      </c>
    </row>
    <row r="33" spans="1:1" x14ac:dyDescent="0.25">
      <c r="A33" t="s">
        <v>193</v>
      </c>
    </row>
    <row r="34" spans="1:1" x14ac:dyDescent="0.25">
      <c r="A34" t="s">
        <v>194</v>
      </c>
    </row>
    <row r="35" spans="1:1" x14ac:dyDescent="0.25">
      <c r="A35" t="s">
        <v>195</v>
      </c>
    </row>
    <row r="36" spans="1:1" x14ac:dyDescent="0.25">
      <c r="A36" t="s">
        <v>196</v>
      </c>
    </row>
    <row r="37" spans="1:1" x14ac:dyDescent="0.25">
      <c r="A37" t="s">
        <v>197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7"/>
  <sheetViews>
    <sheetView showGridLines="0" tabSelected="1" zoomScaleNormal="100" workbookViewId="0">
      <selection activeCell="C8" sqref="C8"/>
    </sheetView>
  </sheetViews>
  <sheetFormatPr defaultRowHeight="15" x14ac:dyDescent="0.25"/>
  <cols>
    <col min="1" max="1" width="41" customWidth="1"/>
    <col min="2" max="2" width="45.42578125" customWidth="1"/>
    <col min="3" max="3" width="15.7109375" customWidth="1"/>
    <col min="4" max="4" width="14.140625" customWidth="1"/>
    <col min="5" max="5" width="14.42578125" customWidth="1"/>
    <col min="6" max="6" width="15.5703125" customWidth="1"/>
    <col min="7" max="7" width="11.42578125" customWidth="1"/>
  </cols>
  <sheetData>
    <row r="1" spans="1:6" ht="34.5" customHeight="1" x14ac:dyDescent="0.3">
      <c r="A1" s="222" t="s">
        <v>271</v>
      </c>
      <c r="B1" s="222"/>
    </row>
    <row r="2" spans="1:6" ht="15.75" thickBot="1" x14ac:dyDescent="0.3">
      <c r="A2" s="18" t="s">
        <v>7</v>
      </c>
      <c r="B2" s="18"/>
    </row>
    <row r="3" spans="1:6" ht="18.75" customHeight="1" thickTop="1" thickBot="1" x14ac:dyDescent="0.3">
      <c r="A3" s="44" t="s">
        <v>57</v>
      </c>
      <c r="B3" s="31" t="s">
        <v>3</v>
      </c>
    </row>
    <row r="4" spans="1:6" ht="18.75" customHeight="1" thickTop="1" thickBot="1" x14ac:dyDescent="0.3">
      <c r="A4" s="39" t="s">
        <v>74</v>
      </c>
      <c r="B4" s="176">
        <f>IF(SUMIF(SUP!C:C,"087",SUP!E:E)&gt; 0,SUMIF(SUP!C:C,"087",SUP!E:E), 0)</f>
        <v>0</v>
      </c>
      <c r="C4" s="160"/>
      <c r="D4" s="154"/>
      <c r="E4" s="160"/>
      <c r="F4" s="160"/>
    </row>
    <row r="5" spans="1:6" ht="18.75" customHeight="1" thickTop="1" thickBot="1" x14ac:dyDescent="0.3">
      <c r="A5" s="39" t="s">
        <v>75</v>
      </c>
      <c r="B5" s="172" t="s">
        <v>2</v>
      </c>
      <c r="C5" s="160"/>
      <c r="D5" s="160"/>
      <c r="E5" s="160"/>
      <c r="F5" s="160"/>
    </row>
    <row r="6" spans="1:6" ht="18.75" customHeight="1" thickTop="1" thickBot="1" x14ac:dyDescent="0.3">
      <c r="A6" s="38" t="s">
        <v>76</v>
      </c>
      <c r="B6" s="173"/>
      <c r="C6" s="160"/>
      <c r="D6" s="160"/>
      <c r="E6" s="160"/>
      <c r="F6" s="160"/>
    </row>
    <row r="7" spans="1:6" ht="18.75" customHeight="1" thickBot="1" x14ac:dyDescent="0.3">
      <c r="A7" s="38" t="s">
        <v>77</v>
      </c>
      <c r="B7" s="173"/>
      <c r="C7" s="160"/>
      <c r="D7" s="160"/>
      <c r="E7" s="160"/>
      <c r="F7" s="160"/>
    </row>
    <row r="8" spans="1:6" ht="18.75" customHeight="1" thickBot="1" x14ac:dyDescent="0.3">
      <c r="A8" s="38" t="s">
        <v>78</v>
      </c>
      <c r="B8" s="173"/>
      <c r="C8" s="160"/>
      <c r="D8" s="160"/>
      <c r="E8" s="160"/>
      <c r="F8" s="160"/>
    </row>
    <row r="9" spans="1:6" ht="18.75" customHeight="1" thickBot="1" x14ac:dyDescent="0.3">
      <c r="A9" s="38" t="s">
        <v>79</v>
      </c>
      <c r="B9" s="173"/>
      <c r="C9" s="160"/>
      <c r="D9" s="160"/>
      <c r="E9" s="160"/>
      <c r="F9" s="160"/>
    </row>
    <row r="10" spans="1:6" ht="18.75" customHeight="1" thickBot="1" x14ac:dyDescent="0.3">
      <c r="A10" s="38" t="s">
        <v>80</v>
      </c>
      <c r="B10" s="173"/>
      <c r="C10" s="160"/>
      <c r="D10" s="160"/>
      <c r="E10" s="160"/>
      <c r="F10" s="160"/>
    </row>
    <row r="11" spans="1:6" ht="18.75" customHeight="1" thickBot="1" x14ac:dyDescent="0.3">
      <c r="A11" s="38" t="s">
        <v>81</v>
      </c>
      <c r="B11" s="173"/>
      <c r="C11" s="160"/>
      <c r="D11" s="160"/>
      <c r="E11" s="160"/>
      <c r="F11" s="160"/>
    </row>
    <row r="12" spans="1:6" ht="18.75" customHeight="1" thickBot="1" x14ac:dyDescent="0.3">
      <c r="A12" s="38" t="s">
        <v>82</v>
      </c>
      <c r="B12" s="173"/>
      <c r="C12" s="160"/>
      <c r="D12" s="160"/>
      <c r="E12" s="160"/>
      <c r="F12" s="160"/>
    </row>
    <row r="13" spans="1:6" ht="18.75" customHeight="1" thickBot="1" x14ac:dyDescent="0.3">
      <c r="A13" s="38" t="s">
        <v>83</v>
      </c>
      <c r="B13" s="173"/>
      <c r="C13" s="160"/>
      <c r="D13" s="160"/>
      <c r="E13" s="160"/>
      <c r="F13" s="160"/>
    </row>
    <row r="14" spans="1:6" ht="18.75" customHeight="1" thickBot="1" x14ac:dyDescent="0.3">
      <c r="A14" s="39" t="s">
        <v>8</v>
      </c>
      <c r="B14" s="174">
        <f>SUM(B6:B13)</f>
        <v>0</v>
      </c>
      <c r="C14" s="160"/>
      <c r="D14" s="160"/>
      <c r="E14" s="160"/>
      <c r="F14" s="160"/>
    </row>
    <row r="15" spans="1:6" ht="18.75" customHeight="1" thickTop="1" x14ac:dyDescent="0.25">
      <c r="A15" s="18"/>
      <c r="B15" s="139"/>
      <c r="C15" s="160"/>
      <c r="D15" s="160"/>
      <c r="E15" s="160"/>
      <c r="F15" s="160"/>
    </row>
    <row r="16" spans="1:6" ht="18.75" customHeight="1" thickBot="1" x14ac:dyDescent="0.3">
      <c r="A16" s="18" t="s">
        <v>9</v>
      </c>
      <c r="B16" s="139"/>
      <c r="C16" s="160"/>
      <c r="D16" s="160"/>
      <c r="E16" s="160"/>
      <c r="F16" s="160"/>
    </row>
    <row r="17" spans="1:6" ht="18.75" customHeight="1" thickTop="1" thickBot="1" x14ac:dyDescent="0.3">
      <c r="A17" s="44" t="s">
        <v>57</v>
      </c>
      <c r="B17" s="175" t="s">
        <v>3</v>
      </c>
      <c r="C17" s="160"/>
      <c r="D17" s="160"/>
      <c r="E17" s="160"/>
      <c r="F17" s="160"/>
    </row>
    <row r="18" spans="1:6" ht="18.75" customHeight="1" thickTop="1" thickBot="1" x14ac:dyDescent="0.3">
      <c r="A18" s="39" t="s">
        <v>84</v>
      </c>
      <c r="B18" s="176">
        <f>IF(SUMIF(SUP!C:C,"087",SUP!E:E)&gt; 0,0,SUMIF(SUP!C:C,"087",SUP!E:E))</f>
        <v>-90975.81</v>
      </c>
      <c r="C18" s="160"/>
      <c r="D18" s="154"/>
      <c r="E18" s="160"/>
      <c r="F18" s="160"/>
    </row>
    <row r="19" spans="1:6" ht="18.75" customHeight="1" thickTop="1" thickBot="1" x14ac:dyDescent="0.3">
      <c r="A19" s="39" t="s">
        <v>85</v>
      </c>
      <c r="B19" s="172" t="s">
        <v>2</v>
      </c>
      <c r="C19" s="160"/>
      <c r="D19" s="160"/>
      <c r="E19" s="160"/>
      <c r="F19" s="160"/>
    </row>
    <row r="20" spans="1:6" ht="18.75" customHeight="1" thickTop="1" thickBot="1" x14ac:dyDescent="0.3">
      <c r="A20" s="38" t="s">
        <v>86</v>
      </c>
      <c r="B20" s="173"/>
      <c r="C20" s="160"/>
      <c r="D20" s="160"/>
      <c r="E20" s="160"/>
      <c r="F20" s="160"/>
    </row>
    <row r="21" spans="1:6" ht="18.75" customHeight="1" thickBot="1" x14ac:dyDescent="0.3">
      <c r="A21" s="38" t="s">
        <v>87</v>
      </c>
      <c r="B21" s="42"/>
    </row>
    <row r="22" spans="1:6" ht="18.75" customHeight="1" thickBot="1" x14ac:dyDescent="0.3">
      <c r="A22" s="38" t="s">
        <v>88</v>
      </c>
      <c r="B22" s="42">
        <f>IF(SUMIF(SUP!C:C,"429100",SUP!E:E)&gt; 0,0,SUMIF(SUP!C:C,"429100",SUP!E:E))</f>
        <v>0</v>
      </c>
    </row>
    <row r="23" spans="1:6" ht="18.75" customHeight="1" thickBot="1" x14ac:dyDescent="0.3">
      <c r="A23" s="38" t="s">
        <v>89</v>
      </c>
      <c r="B23" s="42"/>
    </row>
    <row r="24" spans="1:6" ht="18.75" customHeight="1" thickBot="1" x14ac:dyDescent="0.3">
      <c r="A24" s="38" t="s">
        <v>90</v>
      </c>
      <c r="B24" s="42">
        <v>-90975.81</v>
      </c>
    </row>
    <row r="25" spans="1:6" ht="18.75" customHeight="1" thickBot="1" x14ac:dyDescent="0.3">
      <c r="A25" s="38" t="s">
        <v>83</v>
      </c>
      <c r="B25" s="42"/>
    </row>
    <row r="26" spans="1:6" ht="18.75" customHeight="1" thickBot="1" x14ac:dyDescent="0.3">
      <c r="A26" s="39" t="s">
        <v>91</v>
      </c>
      <c r="B26" s="40">
        <f>SUM(B20:B25)</f>
        <v>-90975.81</v>
      </c>
    </row>
    <row r="27" spans="1:6" ht="17.25" thickTop="1" x14ac:dyDescent="0.3">
      <c r="A27" s="1"/>
    </row>
  </sheetData>
  <mergeCells count="1">
    <mergeCell ref="A1:B1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36"/>
  <sheetViews>
    <sheetView showGridLines="0" tabSelected="1" topLeftCell="A13" zoomScaleNormal="100" workbookViewId="0">
      <selection activeCell="C8" sqref="C8"/>
    </sheetView>
  </sheetViews>
  <sheetFormatPr defaultRowHeight="15" x14ac:dyDescent="0.25"/>
  <cols>
    <col min="1" max="1" width="20.7109375" customWidth="1"/>
    <col min="2" max="2" width="16.140625" bestFit="1" customWidth="1"/>
    <col min="3" max="5" width="13.140625" customWidth="1"/>
    <col min="6" max="6" width="16.140625" bestFit="1" customWidth="1"/>
    <col min="7" max="7" width="23.28515625" customWidth="1"/>
  </cols>
  <sheetData>
    <row r="1" spans="1:9" ht="16.5" customHeight="1" x14ac:dyDescent="0.3">
      <c r="A1" s="222" t="s">
        <v>272</v>
      </c>
      <c r="B1" s="222"/>
      <c r="C1" s="222"/>
      <c r="D1" s="222"/>
      <c r="E1" s="222"/>
      <c r="F1" s="222"/>
    </row>
    <row r="2" spans="1:9" ht="15.75" thickBot="1" x14ac:dyDescent="0.3">
      <c r="A2" s="18" t="s">
        <v>7</v>
      </c>
      <c r="B2" s="18"/>
      <c r="C2" s="18"/>
      <c r="D2" s="18"/>
      <c r="E2" s="18"/>
      <c r="F2" s="18"/>
    </row>
    <row r="3" spans="1:9" ht="16.5" thickTop="1" thickBot="1" x14ac:dyDescent="0.3">
      <c r="A3" s="226" t="s">
        <v>57</v>
      </c>
      <c r="B3" s="223" t="s">
        <v>2</v>
      </c>
      <c r="C3" s="224"/>
      <c r="D3" s="224"/>
      <c r="E3" s="224"/>
      <c r="F3" s="225"/>
    </row>
    <row r="4" spans="1:9" s="3" customFormat="1" ht="33" customHeight="1" thickTop="1" thickBot="1" x14ac:dyDescent="0.3">
      <c r="A4" s="227"/>
      <c r="B4" s="19" t="s">
        <v>23</v>
      </c>
      <c r="C4" s="19" t="s">
        <v>51</v>
      </c>
      <c r="D4" s="52" t="s">
        <v>92</v>
      </c>
      <c r="E4" s="68" t="s">
        <v>93</v>
      </c>
      <c r="F4" s="19" t="s">
        <v>21</v>
      </c>
    </row>
    <row r="5" spans="1:9" ht="21" customHeight="1" thickTop="1" thickBot="1" x14ac:dyDescent="0.3">
      <c r="A5" s="46" t="s">
        <v>94</v>
      </c>
      <c r="B5" s="171">
        <f>SUMIF(HK!A:A,"459*",HK!D:D)-SUMIF(HK!A:A,"459*",HK!C:C)</f>
        <v>0</v>
      </c>
      <c r="C5" s="179">
        <f>SUM(C6:C10)</f>
        <v>0</v>
      </c>
      <c r="D5" s="179">
        <f t="shared" ref="D5:E5" si="0">SUM(D6:D10)</f>
        <v>0</v>
      </c>
      <c r="E5" s="179">
        <f t="shared" si="0"/>
        <v>0</v>
      </c>
      <c r="F5" s="186">
        <f>SUMIF(HK!A:A,"459*",HK!L:L)-SUMIF(HK!A:A,"459*",HK!K:K)</f>
        <v>0</v>
      </c>
      <c r="G5" s="162"/>
      <c r="H5" s="158"/>
      <c r="I5" s="162"/>
    </row>
    <row r="6" spans="1:9" ht="21" customHeight="1" thickTop="1" thickBot="1" x14ac:dyDescent="0.3">
      <c r="A6" s="57"/>
      <c r="B6" s="169"/>
      <c r="C6" s="167"/>
      <c r="D6" s="180"/>
      <c r="E6" s="180"/>
      <c r="F6" s="181">
        <f t="shared" ref="F6:F10" si="1">SUM(B6:E6)</f>
        <v>0</v>
      </c>
      <c r="G6" s="162"/>
      <c r="H6" s="162"/>
      <c r="I6" s="162"/>
    </row>
    <row r="7" spans="1:9" ht="21" customHeight="1" thickBot="1" x14ac:dyDescent="0.3">
      <c r="A7" s="57"/>
      <c r="B7" s="169"/>
      <c r="C7" s="167"/>
      <c r="D7" s="182"/>
      <c r="E7" s="182"/>
      <c r="F7" s="181">
        <f t="shared" si="1"/>
        <v>0</v>
      </c>
      <c r="G7" s="162"/>
      <c r="H7" s="162"/>
      <c r="I7" s="162"/>
    </row>
    <row r="8" spans="1:9" ht="21" customHeight="1" thickBot="1" x14ac:dyDescent="0.3">
      <c r="A8" s="57"/>
      <c r="B8" s="169"/>
      <c r="C8" s="167"/>
      <c r="D8" s="182"/>
      <c r="E8" s="182"/>
      <c r="F8" s="181">
        <f t="shared" si="1"/>
        <v>0</v>
      </c>
      <c r="G8" s="162"/>
      <c r="H8" s="162"/>
      <c r="I8" s="162"/>
    </row>
    <row r="9" spans="1:9" ht="21" customHeight="1" thickBot="1" x14ac:dyDescent="0.3">
      <c r="A9" s="57"/>
      <c r="B9" s="169"/>
      <c r="C9" s="167"/>
      <c r="D9" s="182"/>
      <c r="E9" s="182"/>
      <c r="F9" s="181">
        <f t="shared" si="1"/>
        <v>0</v>
      </c>
      <c r="G9" s="162"/>
      <c r="H9" s="162"/>
      <c r="I9" s="162"/>
    </row>
    <row r="10" spans="1:9" ht="21" customHeight="1" thickBot="1" x14ac:dyDescent="0.3">
      <c r="A10" s="65"/>
      <c r="B10" s="170"/>
      <c r="C10" s="183"/>
      <c r="D10" s="184"/>
      <c r="E10" s="184"/>
      <c r="F10" s="185">
        <f t="shared" si="1"/>
        <v>0</v>
      </c>
      <c r="G10" s="162"/>
      <c r="H10" s="162"/>
      <c r="I10" s="162"/>
    </row>
    <row r="11" spans="1:9" ht="21" customHeight="1" thickTop="1" thickBot="1" x14ac:dyDescent="0.3">
      <c r="A11" s="46" t="s">
        <v>95</v>
      </c>
      <c r="B11" s="187">
        <f>SUMIF(HK!A:A,"323*",HK!D:D)-SUMIF(HK!A:A,"323*",HK!C:C)</f>
        <v>2241.0500000000002</v>
      </c>
      <c r="C11" s="183">
        <f>SUMIF(HK!A:A,"323*",HK!J:J)</f>
        <v>2855.78</v>
      </c>
      <c r="D11" s="183">
        <f>SUMIF(HK!A:A,"323*",HK!I:I)</f>
        <v>2468.88</v>
      </c>
      <c r="E11" s="183">
        <f t="shared" ref="E11" si="2">SUM(E12:E16)</f>
        <v>0</v>
      </c>
      <c r="F11" s="188">
        <f>SUMIF(HK!A:A,"323*",HK!L:L)-SUMIF(HK!A:A,"323*",HK!K:K)</f>
        <v>2627.95</v>
      </c>
      <c r="G11" s="162"/>
      <c r="H11" s="158"/>
      <c r="I11" s="162"/>
    </row>
    <row r="12" spans="1:9" ht="21" customHeight="1" thickTop="1" thickBot="1" x14ac:dyDescent="0.3">
      <c r="A12" s="57" t="s">
        <v>280</v>
      </c>
      <c r="B12" s="169">
        <f>SUMIF(HK!A:A,"323100",HK!D:D)-SUMIF(HK!A:A,"323100",HK!C:C)</f>
        <v>566.82000000000005</v>
      </c>
      <c r="C12" s="167">
        <f>SUMIF(HK!A:A,"323100",HK!J:J)</f>
        <v>1529.28</v>
      </c>
      <c r="D12" s="180">
        <f>SUMIF(HK!A:A,"323100",HK!I:I)</f>
        <v>794.65</v>
      </c>
      <c r="E12" s="180"/>
      <c r="F12" s="181">
        <f>B12+C12-D12</f>
        <v>1301.4499999999998</v>
      </c>
      <c r="G12" s="162"/>
      <c r="H12" s="162"/>
      <c r="I12" s="162"/>
    </row>
    <row r="13" spans="1:9" ht="21" customHeight="1" thickBot="1" x14ac:dyDescent="0.3">
      <c r="A13" s="57" t="s">
        <v>281</v>
      </c>
      <c r="B13" s="71">
        <f>SUMIF(HK!A:A,"323200",HK!D:D)-SUMIF(HK!A:A,"323200",HK!C:C)</f>
        <v>0</v>
      </c>
      <c r="C13" s="41">
        <f>SUMIF(HK!A:A,"323200",HK!J:J)</f>
        <v>0</v>
      </c>
      <c r="D13" s="61">
        <f>SUMIF(HK!A:A,"323200",HK!I:I)</f>
        <v>0</v>
      </c>
      <c r="E13" s="61"/>
      <c r="F13" s="181">
        <f>B13+C13-D13</f>
        <v>0</v>
      </c>
    </row>
    <row r="14" spans="1:9" ht="21" customHeight="1" thickBot="1" x14ac:dyDescent="0.3">
      <c r="A14" s="57" t="s">
        <v>282</v>
      </c>
      <c r="B14" s="71">
        <f>SUMIF(HK!A:A,"323210",HK!D:D)-SUMIF(HK!A:A,"323210",HK!C:C)</f>
        <v>1370</v>
      </c>
      <c r="C14" s="41">
        <f>SUMIF(HK!A:A,"323210",HK!J:J)</f>
        <v>583.19000000000005</v>
      </c>
      <c r="D14" s="61">
        <f>SUMIF(HK!A:A,"323210",HK!I:I)</f>
        <v>1370</v>
      </c>
      <c r="E14" s="61"/>
      <c r="F14" s="181">
        <f>B14+C14-D14</f>
        <v>583.19000000000005</v>
      </c>
    </row>
    <row r="15" spans="1:9" ht="21" customHeight="1" thickBot="1" x14ac:dyDescent="0.3">
      <c r="A15" s="57" t="s">
        <v>283</v>
      </c>
      <c r="B15" s="71">
        <f>SUMIF(HK!A:A,"323230",HK!D:D)-SUMIF(HK!A:A,"323230",HK!C:C)</f>
        <v>0</v>
      </c>
      <c r="C15" s="41">
        <f>SUMIF(HK!A:A,"323230",HK!J:J)</f>
        <v>743.31</v>
      </c>
      <c r="D15" s="61">
        <f>SUMIF(HK!A:A,"323230",HK!I:I)</f>
        <v>0</v>
      </c>
      <c r="E15" s="61"/>
      <c r="F15" s="181">
        <f t="shared" ref="F15" si="3">B15+C15-D15</f>
        <v>743.31</v>
      </c>
    </row>
    <row r="16" spans="1:9" ht="21" customHeight="1" thickBot="1" x14ac:dyDescent="0.3">
      <c r="A16" s="57" t="s">
        <v>284</v>
      </c>
      <c r="B16" s="71">
        <f>SUMIF(HK!A:A,"323240",HK!D:D)-SUMIF(HK!A:A,"323240",HK!C:C)</f>
        <v>304.23</v>
      </c>
      <c r="C16" s="41">
        <f>SUMIF(HK!A:A,"323240",HK!J:J)</f>
        <v>0</v>
      </c>
      <c r="D16" s="61">
        <f>SUMIF(HK!A:A,"323240",HK!I:I)</f>
        <v>304.23</v>
      </c>
      <c r="E16" s="61"/>
      <c r="F16" s="181">
        <f>B16+C16-D16</f>
        <v>0</v>
      </c>
    </row>
    <row r="17" spans="1:9" ht="21" customHeight="1" thickBot="1" x14ac:dyDescent="0.3">
      <c r="A17" s="65"/>
      <c r="B17" s="81"/>
      <c r="C17" s="43"/>
      <c r="D17" s="64"/>
      <c r="E17" s="64"/>
      <c r="F17" s="181"/>
    </row>
    <row r="18" spans="1:9" ht="15.75" thickTop="1" x14ac:dyDescent="0.25">
      <c r="A18" s="3"/>
      <c r="B18" s="3"/>
      <c r="C18" s="3"/>
      <c r="D18" s="3"/>
      <c r="E18" s="3"/>
      <c r="F18" s="3"/>
    </row>
    <row r="19" spans="1:9" ht="16.5" x14ac:dyDescent="0.3">
      <c r="A19" s="2"/>
    </row>
    <row r="20" spans="1:9" ht="15.75" thickBot="1" x14ac:dyDescent="0.3">
      <c r="A20" s="18" t="s">
        <v>9</v>
      </c>
      <c r="B20" s="18"/>
      <c r="C20" s="18"/>
      <c r="D20" s="18"/>
      <c r="E20" s="18"/>
      <c r="F20" s="18"/>
    </row>
    <row r="21" spans="1:9" ht="16.5" thickTop="1" thickBot="1" x14ac:dyDescent="0.3">
      <c r="A21" s="226" t="s">
        <v>57</v>
      </c>
      <c r="B21" s="223" t="s">
        <v>3</v>
      </c>
      <c r="C21" s="224"/>
      <c r="D21" s="224"/>
      <c r="E21" s="224"/>
      <c r="F21" s="225"/>
    </row>
    <row r="22" spans="1:9" s="3" customFormat="1" ht="24" thickTop="1" thickBot="1" x14ac:dyDescent="0.3">
      <c r="A22" s="227"/>
      <c r="B22" s="19" t="s">
        <v>23</v>
      </c>
      <c r="C22" s="19" t="s">
        <v>51</v>
      </c>
      <c r="D22" s="52" t="s">
        <v>92</v>
      </c>
      <c r="E22" s="68" t="s">
        <v>93</v>
      </c>
      <c r="F22" s="19" t="s">
        <v>21</v>
      </c>
    </row>
    <row r="23" spans="1:9" ht="21" customHeight="1" thickTop="1" thickBot="1" x14ac:dyDescent="0.3">
      <c r="A23" s="65" t="s">
        <v>94</v>
      </c>
      <c r="B23" s="171">
        <f>SUMIF(HKM!A:A,"459*",HKM!D:D)-SUMIF(HKM!A:A,"459*",HKM!C:C)</f>
        <v>0</v>
      </c>
      <c r="C23" s="179">
        <f>SUM(C24:C28)</f>
        <v>0</v>
      </c>
      <c r="D23" s="179">
        <f t="shared" ref="D23:E23" si="4">SUM(D24:D28)</f>
        <v>0</v>
      </c>
      <c r="E23" s="179">
        <f t="shared" si="4"/>
        <v>0</v>
      </c>
      <c r="F23" s="186">
        <f>SUMIF(HKM!A:A,"459*",HKM!L:L)-SUMIF(HKM!A:A,"459*",HKM!K:K)</f>
        <v>0</v>
      </c>
      <c r="G23" s="162"/>
      <c r="H23" s="158"/>
      <c r="I23" s="162"/>
    </row>
    <row r="24" spans="1:9" ht="21" customHeight="1" thickTop="1" thickBot="1" x14ac:dyDescent="0.3">
      <c r="A24" s="57"/>
      <c r="B24" s="169"/>
      <c r="C24" s="167"/>
      <c r="D24" s="180"/>
      <c r="E24" s="180"/>
      <c r="F24" s="181">
        <f t="shared" ref="F24:F28" si="5">SUM(B24:E24)</f>
        <v>0</v>
      </c>
      <c r="G24" s="162"/>
      <c r="H24" s="162"/>
      <c r="I24" s="162"/>
    </row>
    <row r="25" spans="1:9" ht="21" customHeight="1" thickBot="1" x14ac:dyDescent="0.3">
      <c r="A25" s="57"/>
      <c r="B25" s="169"/>
      <c r="C25" s="167"/>
      <c r="D25" s="182"/>
      <c r="E25" s="182"/>
      <c r="F25" s="181">
        <f t="shared" si="5"/>
        <v>0</v>
      </c>
      <c r="G25" s="162"/>
      <c r="H25" s="162"/>
      <c r="I25" s="162"/>
    </row>
    <row r="26" spans="1:9" ht="21" customHeight="1" thickBot="1" x14ac:dyDescent="0.3">
      <c r="A26" s="57"/>
      <c r="B26" s="169"/>
      <c r="C26" s="167"/>
      <c r="D26" s="182"/>
      <c r="E26" s="182"/>
      <c r="F26" s="181">
        <f t="shared" si="5"/>
        <v>0</v>
      </c>
      <c r="G26" s="162"/>
      <c r="H26" s="162"/>
      <c r="I26" s="162"/>
    </row>
    <row r="27" spans="1:9" ht="21" customHeight="1" thickBot="1" x14ac:dyDescent="0.3">
      <c r="A27" s="57"/>
      <c r="B27" s="169"/>
      <c r="C27" s="167"/>
      <c r="D27" s="182"/>
      <c r="E27" s="182"/>
      <c r="F27" s="181">
        <f t="shared" si="5"/>
        <v>0</v>
      </c>
      <c r="G27" s="162"/>
      <c r="H27" s="162"/>
      <c r="I27" s="162"/>
    </row>
    <row r="28" spans="1:9" ht="21" customHeight="1" thickBot="1" x14ac:dyDescent="0.3">
      <c r="A28" s="65"/>
      <c r="B28" s="170"/>
      <c r="C28" s="183"/>
      <c r="D28" s="184"/>
      <c r="E28" s="184"/>
      <c r="F28" s="185">
        <f t="shared" si="5"/>
        <v>0</v>
      </c>
      <c r="G28" s="162"/>
      <c r="H28" s="162"/>
      <c r="I28" s="162"/>
    </row>
    <row r="29" spans="1:9" ht="21" customHeight="1" thickTop="1" thickBot="1" x14ac:dyDescent="0.3">
      <c r="A29" s="65" t="s">
        <v>95</v>
      </c>
      <c r="B29" s="187">
        <f>SUMIF(HKM!A:A,"323*",HKM!D:D)-SUMIF(HKM!A:A,"323*",HKM!C:C)</f>
        <v>100</v>
      </c>
      <c r="C29" s="183">
        <f>SUMIF(HKM!A:A,"323*",HKM!J:J)</f>
        <v>12958.84</v>
      </c>
      <c r="D29" s="183">
        <f>SUMIF(HKM!A:A,"323*",HKM!I:I)</f>
        <v>10817.79</v>
      </c>
      <c r="E29" s="183">
        <f t="shared" ref="E29" si="6">SUM(E30:E34)</f>
        <v>0</v>
      </c>
      <c r="F29" s="188">
        <f>SUMIF(HKM!A:A,"323*",HKM!L:L)-SUMIF(HKM!A:A,"323*",HKM!K:K)</f>
        <v>2241.0500000000002</v>
      </c>
      <c r="G29" s="162"/>
      <c r="H29" s="158"/>
      <c r="I29" s="162"/>
    </row>
    <row r="30" spans="1:9" ht="21" customHeight="1" thickTop="1" thickBot="1" x14ac:dyDescent="0.3">
      <c r="A30" s="57" t="s">
        <v>280</v>
      </c>
      <c r="B30" s="169">
        <f>SUMIF(HKM!A:A,"323100",HKM!D:D)-SUMIF(HKM!A:A,"323100",HKM!C:C)</f>
        <v>0</v>
      </c>
      <c r="C30" s="167">
        <f>SUMIF(HKM!A:A,"323100",HKM!J:J)</f>
        <v>7253.08</v>
      </c>
      <c r="D30" s="180">
        <f>SUMIF(HKM!A:A,"323100",HKM!I:I)</f>
        <v>6686.26</v>
      </c>
      <c r="E30" s="180"/>
      <c r="F30" s="181">
        <f>B30+C30-D30</f>
        <v>566.81999999999971</v>
      </c>
      <c r="G30" s="162"/>
      <c r="H30" s="162"/>
      <c r="I30" s="162"/>
    </row>
    <row r="31" spans="1:9" ht="21" customHeight="1" thickBot="1" x14ac:dyDescent="0.3">
      <c r="A31" s="57" t="s">
        <v>281</v>
      </c>
      <c r="B31" s="71">
        <f>SUMIF(HKM!A:A,"323200",HKM!D:D)-SUMIF(HKM!A:A,"323200",HKM!C:C)</f>
        <v>0</v>
      </c>
      <c r="C31" s="41">
        <f>SUMIF(HKM!A:A,"323200",HKM!J:J)</f>
        <v>3622.18</v>
      </c>
      <c r="D31" s="61">
        <f>SUMIF(HKM!A:A,"323200",HKM!I:I)</f>
        <v>3622.18</v>
      </c>
      <c r="E31" s="61"/>
      <c r="F31" s="181">
        <f t="shared" ref="F31:F34" si="7">B31+C31-D31</f>
        <v>0</v>
      </c>
    </row>
    <row r="32" spans="1:9" ht="21" customHeight="1" thickBot="1" x14ac:dyDescent="0.3">
      <c r="A32" s="57" t="s">
        <v>282</v>
      </c>
      <c r="B32" s="71">
        <f>SUMIF(HKM!A:A,"323210",HKM!D:D)-SUMIF(HKM!A:A,"323210",HKM!C:C)</f>
        <v>100</v>
      </c>
      <c r="C32" s="41">
        <f>SUMIF(HKM!A:A,"323210",HKM!J:J)</f>
        <v>1370</v>
      </c>
      <c r="D32" s="61">
        <f>SUMIF(HKM!A:A,"323210",HKM!I:I)</f>
        <v>100</v>
      </c>
      <c r="E32" s="61"/>
      <c r="F32" s="181">
        <f t="shared" si="7"/>
        <v>1370</v>
      </c>
    </row>
    <row r="33" spans="1:6" ht="21" customHeight="1" thickBot="1" x14ac:dyDescent="0.3">
      <c r="A33" s="57" t="s">
        <v>283</v>
      </c>
      <c r="B33" s="71">
        <f>SUMIF(HKM!A:A,"323230",HKM!D:D)-SUMIF(HKM!A:A,"323230",HKM!C:C)</f>
        <v>0</v>
      </c>
      <c r="C33" s="41">
        <f>SUMIF(HKM!A:A,"323230",HKM!J:J)</f>
        <v>0</v>
      </c>
      <c r="D33" s="61">
        <f>SUMIF(HKM!A:A,"323230",HKM!I:I)</f>
        <v>0</v>
      </c>
      <c r="E33" s="61"/>
      <c r="F33" s="181">
        <f t="shared" si="7"/>
        <v>0</v>
      </c>
    </row>
    <row r="34" spans="1:6" ht="21" customHeight="1" thickBot="1" x14ac:dyDescent="0.3">
      <c r="A34" s="57" t="s">
        <v>284</v>
      </c>
      <c r="B34" s="71">
        <f>SUMIF(HKM!A:A,"323240",HKM!D:D)-SUMIF(HKM!A:A,"323240",HKM!C:C)</f>
        <v>0</v>
      </c>
      <c r="C34" s="41">
        <f>SUMIF(HKM!A:A,"323240",HKM!J:J)</f>
        <v>713.58</v>
      </c>
      <c r="D34" s="61">
        <f>SUMIF(HKM!A:A,"323240",HKM!I:I)</f>
        <v>409.35</v>
      </c>
      <c r="E34" s="61"/>
      <c r="F34" s="181">
        <f t="shared" si="7"/>
        <v>304.23</v>
      </c>
    </row>
    <row r="35" spans="1:6" ht="21" customHeight="1" thickBot="1" x14ac:dyDescent="0.3">
      <c r="A35" s="65"/>
      <c r="B35" s="81"/>
      <c r="C35" s="43"/>
      <c r="D35" s="64"/>
      <c r="E35" s="64"/>
      <c r="F35" s="181"/>
    </row>
    <row r="36" spans="1:6" ht="15.75" thickTop="1" x14ac:dyDescent="0.25"/>
  </sheetData>
  <mergeCells count="5">
    <mergeCell ref="B21:F21"/>
    <mergeCell ref="A21:A22"/>
    <mergeCell ref="A3:A4"/>
    <mergeCell ref="B3:F3"/>
    <mergeCell ref="A1:F1"/>
  </mergeCells>
  <pageMargins left="0.70866141732283472" right="0.70866141732283472" top="0.74803149606299213" bottom="0.74803149606299213" header="0.31496062992125984" footer="0.31496062992125984"/>
  <pageSetup paperSize="9" orientation="landscape" r:id="rId1"/>
  <rowBreaks count="1" manualBreakCount="1">
    <brk id="18" max="16383" man="1"/>
  </rowBreaks>
  <ignoredErrors>
    <ignoredError sqref="F29 F11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9"/>
  <sheetViews>
    <sheetView showGridLines="0" tabSelected="1" zoomScaleNormal="100" workbookViewId="0">
      <selection activeCell="C8" sqref="C8"/>
    </sheetView>
  </sheetViews>
  <sheetFormatPr defaultRowHeight="15" x14ac:dyDescent="0.25"/>
  <cols>
    <col min="1" max="1" width="32" customWidth="1"/>
    <col min="2" max="3" width="27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 x14ac:dyDescent="0.35">
      <c r="A1" s="1" t="s">
        <v>273</v>
      </c>
    </row>
    <row r="2" spans="1:3" ht="26.25" customHeight="1" thickTop="1" thickBot="1" x14ac:dyDescent="0.3">
      <c r="A2" s="44" t="s">
        <v>57</v>
      </c>
      <c r="B2" s="23" t="s">
        <v>2</v>
      </c>
      <c r="C2" s="23" t="s">
        <v>3</v>
      </c>
    </row>
    <row r="3" spans="1:3" ht="20.25" customHeight="1" thickTop="1" thickBot="1" x14ac:dyDescent="0.3">
      <c r="A3" s="13" t="s">
        <v>96</v>
      </c>
      <c r="B3" s="82"/>
      <c r="C3" s="83"/>
    </row>
    <row r="4" spans="1:3" ht="20.25" customHeight="1" thickBot="1" x14ac:dyDescent="0.3">
      <c r="A4" s="13" t="s">
        <v>218</v>
      </c>
      <c r="B4" s="84"/>
      <c r="C4" s="66"/>
    </row>
    <row r="5" spans="1:3" ht="20.25" customHeight="1" thickBot="1" x14ac:dyDescent="0.3">
      <c r="A5" s="28" t="s">
        <v>97</v>
      </c>
      <c r="B5" s="84">
        <v>466920</v>
      </c>
      <c r="C5" s="66">
        <v>404617</v>
      </c>
    </row>
    <row r="6" spans="1:3" ht="20.25" customHeight="1" thickBot="1" x14ac:dyDescent="0.3">
      <c r="A6" s="13" t="s">
        <v>98</v>
      </c>
      <c r="B6" s="71"/>
      <c r="C6" s="42"/>
    </row>
    <row r="7" spans="1:3" ht="20.25" customHeight="1" thickBot="1" x14ac:dyDescent="0.3">
      <c r="A7" s="13" t="s">
        <v>99</v>
      </c>
      <c r="B7" s="71"/>
      <c r="C7" s="42"/>
    </row>
    <row r="8" spans="1:3" ht="20.25" customHeight="1" thickBot="1" x14ac:dyDescent="0.3">
      <c r="A8" s="21" t="s">
        <v>100</v>
      </c>
      <c r="B8" s="84"/>
      <c r="C8" s="66"/>
    </row>
    <row r="9" spans="1:3" ht="15.75" thickTop="1" x14ac:dyDescent="0.25"/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20"/>
  <sheetViews>
    <sheetView showGridLines="0" tabSelected="1" zoomScaleNormal="100" workbookViewId="0">
      <selection activeCell="C8" sqref="C8"/>
    </sheetView>
  </sheetViews>
  <sheetFormatPr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5" ht="34.5" customHeight="1" thickBot="1" x14ac:dyDescent="0.35">
      <c r="A1" s="221" t="s">
        <v>275</v>
      </c>
      <c r="B1" s="221"/>
      <c r="C1" s="221"/>
    </row>
    <row r="2" spans="1:5" ht="24" thickTop="1" thickBot="1" x14ac:dyDescent="0.3">
      <c r="A2" s="44" t="s">
        <v>57</v>
      </c>
      <c r="B2" s="23" t="s">
        <v>2</v>
      </c>
      <c r="C2" s="23" t="s">
        <v>3</v>
      </c>
    </row>
    <row r="3" spans="1:5" ht="35.25" thickTop="1" thickBot="1" x14ac:dyDescent="0.3">
      <c r="A3" s="28" t="s">
        <v>101</v>
      </c>
      <c r="B3" s="41"/>
      <c r="C3" s="42"/>
    </row>
    <row r="4" spans="1:5" ht="23.25" customHeight="1" thickBot="1" x14ac:dyDescent="0.3">
      <c r="A4" s="13" t="s">
        <v>102</v>
      </c>
      <c r="B4" s="41"/>
      <c r="C4" s="42"/>
    </row>
    <row r="5" spans="1:5" ht="23.25" customHeight="1" thickBot="1" x14ac:dyDescent="0.3">
      <c r="A5" s="13" t="s">
        <v>103</v>
      </c>
      <c r="B5" s="41"/>
      <c r="C5" s="42"/>
    </row>
    <row r="6" spans="1:5" ht="45.75" thickBot="1" x14ac:dyDescent="0.3">
      <c r="A6" s="28" t="s">
        <v>104</v>
      </c>
      <c r="B6" s="41"/>
      <c r="C6" s="42"/>
    </row>
    <row r="7" spans="1:5" ht="23.25" customHeight="1" thickBot="1" x14ac:dyDescent="0.3">
      <c r="A7" s="13" t="s">
        <v>102</v>
      </c>
      <c r="B7" s="41"/>
      <c r="C7" s="42"/>
    </row>
    <row r="8" spans="1:5" ht="23.25" customHeight="1" thickBot="1" x14ac:dyDescent="0.3">
      <c r="A8" s="13" t="s">
        <v>103</v>
      </c>
      <c r="B8" s="41"/>
      <c r="C8" s="42"/>
    </row>
    <row r="9" spans="1:5" ht="23.25" customHeight="1" thickBot="1" x14ac:dyDescent="0.3">
      <c r="A9" s="28" t="s">
        <v>105</v>
      </c>
      <c r="B9" s="41"/>
      <c r="C9" s="42"/>
    </row>
    <row r="10" spans="1:5" ht="23.25" customHeight="1" thickBot="1" x14ac:dyDescent="0.3">
      <c r="A10" s="28" t="s">
        <v>106</v>
      </c>
      <c r="B10" s="41"/>
      <c r="C10" s="42"/>
    </row>
    <row r="11" spans="1:5" ht="23.25" customHeight="1" thickBot="1" x14ac:dyDescent="0.3">
      <c r="A11" s="28" t="s">
        <v>107</v>
      </c>
      <c r="B11" s="58">
        <v>0.22</v>
      </c>
      <c r="C11" s="59">
        <v>0.23</v>
      </c>
    </row>
    <row r="12" spans="1:5" ht="23.25" customHeight="1" thickBot="1" x14ac:dyDescent="0.3">
      <c r="A12" s="28" t="s">
        <v>108</v>
      </c>
      <c r="B12" s="190">
        <f>SUMIF(SUA!C:C,"045",SUA!F:F)</f>
        <v>934.28</v>
      </c>
      <c r="C12" s="168">
        <f>SUMIF(SUA!C:C,"045",SUA!G:G)</f>
        <v>164.45</v>
      </c>
      <c r="D12" s="162"/>
      <c r="E12" s="193"/>
    </row>
    <row r="13" spans="1:5" ht="23.25" customHeight="1" thickBot="1" x14ac:dyDescent="0.3">
      <c r="A13" s="28" t="s">
        <v>109</v>
      </c>
      <c r="B13" s="167"/>
      <c r="C13" s="173"/>
      <c r="D13" s="162"/>
      <c r="E13" s="162"/>
    </row>
    <row r="14" spans="1:5" ht="23.25" customHeight="1" thickBot="1" x14ac:dyDescent="0.3">
      <c r="A14" s="13" t="s">
        <v>110</v>
      </c>
      <c r="B14" s="167"/>
      <c r="C14" s="173"/>
      <c r="D14" s="162"/>
      <c r="E14" s="162"/>
    </row>
    <row r="15" spans="1:5" ht="23.25" customHeight="1" thickBot="1" x14ac:dyDescent="0.3">
      <c r="A15" s="13" t="s">
        <v>111</v>
      </c>
      <c r="B15" s="167"/>
      <c r="C15" s="173"/>
      <c r="D15" s="162"/>
      <c r="E15" s="162"/>
    </row>
    <row r="16" spans="1:5" ht="23.25" customHeight="1" thickBot="1" x14ac:dyDescent="0.3">
      <c r="A16" s="54" t="s">
        <v>112</v>
      </c>
      <c r="B16" s="190">
        <f>SUMIF(SUA!C:C,"105",SUA!F:F)</f>
        <v>0</v>
      </c>
      <c r="C16" s="168">
        <f>SUMIF(SUA!C:C,"105",SUA!G:G)</f>
        <v>0</v>
      </c>
      <c r="D16" s="162"/>
      <c r="E16" s="193"/>
    </row>
    <row r="17" spans="1:3" ht="23.25" customHeight="1" thickBot="1" x14ac:dyDescent="0.3">
      <c r="A17" s="55" t="s">
        <v>113</v>
      </c>
      <c r="B17" s="41"/>
      <c r="C17" s="42"/>
    </row>
    <row r="18" spans="1:3" ht="23.25" customHeight="1" thickBot="1" x14ac:dyDescent="0.3">
      <c r="A18" s="13" t="s">
        <v>114</v>
      </c>
      <c r="B18" s="41"/>
      <c r="C18" s="42"/>
    </row>
    <row r="19" spans="1:3" ht="23.25" customHeight="1" thickBot="1" x14ac:dyDescent="0.3">
      <c r="A19" s="15" t="s">
        <v>111</v>
      </c>
      <c r="B19" s="45"/>
      <c r="C19" s="40"/>
    </row>
    <row r="20" spans="1:3" ht="15.75" thickTop="1" x14ac:dyDescent="0.25"/>
  </sheetData>
  <mergeCells count="1">
    <mergeCell ref="A1:C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10"/>
  <sheetViews>
    <sheetView showGridLines="0" tabSelected="1" zoomScaleNormal="100" workbookViewId="0">
      <selection activeCell="C8" sqref="C8"/>
    </sheetView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 x14ac:dyDescent="0.35">
      <c r="A1" s="1" t="s">
        <v>274</v>
      </c>
    </row>
    <row r="2" spans="1:6" ht="21.75" customHeight="1" thickTop="1" thickBot="1" x14ac:dyDescent="0.3">
      <c r="A2" s="35" t="s">
        <v>57</v>
      </c>
      <c r="B2" s="23" t="s">
        <v>2</v>
      </c>
      <c r="C2" s="23" t="s">
        <v>3</v>
      </c>
    </row>
    <row r="3" spans="1:6" ht="21.75" customHeight="1" thickTop="1" thickBot="1" x14ac:dyDescent="0.3">
      <c r="A3" s="53" t="s">
        <v>115</v>
      </c>
      <c r="B3" s="190">
        <f>SUMIF(HK!A:A,"472*",HK!D:D)-SUMIF(HK!A:A,"472*",HK!C:C)</f>
        <v>122.27</v>
      </c>
      <c r="C3" s="168">
        <f>SUMIF(HKM!A:A,"472*",HKM!D:D)-SUMIF(HKM!A:A,"472*",HKM!C:C)</f>
        <v>0</v>
      </c>
      <c r="D3" s="162"/>
      <c r="E3" s="191"/>
      <c r="F3" s="162"/>
    </row>
    <row r="4" spans="1:6" ht="21.75" customHeight="1" thickBot="1" x14ac:dyDescent="0.3">
      <c r="A4" s="38" t="s">
        <v>116</v>
      </c>
      <c r="B4" s="167">
        <f>SUMIF(HK!A:A,"472100",HK!J:J)</f>
        <v>369.47</v>
      </c>
      <c r="C4" s="173">
        <f>SUMIF(HKM!A:A,"472100",HKM!J:J)</f>
        <v>229.73</v>
      </c>
      <c r="D4" s="162"/>
      <c r="E4" s="162"/>
      <c r="F4" s="162"/>
    </row>
    <row r="5" spans="1:6" ht="21.75" customHeight="1" thickBot="1" x14ac:dyDescent="0.3">
      <c r="A5" s="38" t="s">
        <v>117</v>
      </c>
      <c r="B5" s="167"/>
      <c r="C5" s="173"/>
      <c r="D5" s="162"/>
      <c r="E5" s="162"/>
      <c r="F5" s="162"/>
    </row>
    <row r="6" spans="1:6" ht="21.75" customHeight="1" thickBot="1" x14ac:dyDescent="0.3">
      <c r="A6" s="38" t="s">
        <v>118</v>
      </c>
      <c r="B6" s="167"/>
      <c r="C6" s="173"/>
      <c r="D6" s="162"/>
      <c r="E6" s="162"/>
      <c r="F6" s="162"/>
    </row>
    <row r="7" spans="1:6" ht="21.75" customHeight="1" thickBot="1" x14ac:dyDescent="0.3">
      <c r="A7" s="53" t="s">
        <v>119</v>
      </c>
      <c r="B7" s="167">
        <f>SUM(B4:B6)</f>
        <v>369.47</v>
      </c>
      <c r="C7" s="173">
        <f>SUM(C4:C6)</f>
        <v>229.73</v>
      </c>
      <c r="D7" s="162"/>
      <c r="E7" s="162"/>
      <c r="F7" s="162"/>
    </row>
    <row r="8" spans="1:6" ht="21.75" customHeight="1" thickBot="1" x14ac:dyDescent="0.3">
      <c r="A8" s="53" t="s">
        <v>120</v>
      </c>
      <c r="B8" s="167">
        <f>SUMIF(HK!A:A,"472200",HK!I:I)+SUMIF(HK!A:A,"472300",HK!I:I)</f>
        <v>300.92</v>
      </c>
      <c r="C8" s="173">
        <f>SUMIF(HKM!A:A,"472200",HKM!I:I)+SUMIF(HKM!A:A,"472300",HKM!I:I)</f>
        <v>107.46</v>
      </c>
      <c r="D8" s="162"/>
      <c r="E8" s="162"/>
      <c r="F8" s="162"/>
    </row>
    <row r="9" spans="1:6" ht="21.75" customHeight="1" thickBot="1" x14ac:dyDescent="0.3">
      <c r="A9" s="39" t="s">
        <v>121</v>
      </c>
      <c r="B9" s="192">
        <f>SUMIF(HK!A:A,"472*",HK!L:L)-SUMIF(HK!A:A,"472*",HK!K:K)</f>
        <v>190.82000000000002</v>
      </c>
      <c r="C9" s="188">
        <f>SUMIF(HKM!A:A,"472*",HKM!L:L)-SUMIF(HKM!A:A,"472*",HKM!K:K)</f>
        <v>122.27</v>
      </c>
      <c r="D9" s="162"/>
      <c r="E9" s="191"/>
      <c r="F9" s="162"/>
    </row>
    <row r="10" spans="1:6" ht="17.25" thickTop="1" x14ac:dyDescent="0.3">
      <c r="A10" s="2"/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3"/>
  <sheetViews>
    <sheetView showGridLines="0" tabSelected="1" zoomScaleNormal="100" workbookViewId="0">
      <selection activeCell="C8" sqref="C8"/>
    </sheetView>
  </sheetViews>
  <sheetFormatPr defaultRowHeight="15" x14ac:dyDescent="0.25"/>
  <cols>
    <col min="1" max="1" width="24.5703125" customWidth="1"/>
    <col min="2" max="6" width="12.28515625" customWidth="1"/>
    <col min="7" max="7" width="13" customWidth="1"/>
  </cols>
  <sheetData>
    <row r="1" spans="1:10" ht="17.25" thickBot="1" x14ac:dyDescent="0.35">
      <c r="A1" s="1" t="s">
        <v>276</v>
      </c>
    </row>
    <row r="2" spans="1:10" ht="33" customHeight="1" thickTop="1" thickBot="1" x14ac:dyDescent="0.3">
      <c r="A2" s="226" t="s">
        <v>57</v>
      </c>
      <c r="B2" s="23" t="s">
        <v>2</v>
      </c>
      <c r="C2" s="210" t="s">
        <v>3</v>
      </c>
      <c r="D2" s="212"/>
      <c r="E2" s="210" t="s">
        <v>122</v>
      </c>
      <c r="F2" s="212"/>
    </row>
    <row r="3" spans="1:10" ht="45" customHeight="1" thickTop="1" thickBot="1" x14ac:dyDescent="0.3">
      <c r="A3" s="227"/>
      <c r="B3" s="19" t="s">
        <v>123</v>
      </c>
      <c r="C3" s="19" t="s">
        <v>123</v>
      </c>
      <c r="D3" s="19" t="s">
        <v>124</v>
      </c>
      <c r="E3" s="19" t="s">
        <v>2</v>
      </c>
      <c r="F3" s="19" t="s">
        <v>220</v>
      </c>
    </row>
    <row r="4" spans="1:10" ht="35.25" thickTop="1" thickBot="1" x14ac:dyDescent="0.3">
      <c r="A4" s="62" t="s">
        <v>219</v>
      </c>
      <c r="B4" s="161">
        <f>SUMIF(HK!A:A,"121*",HK!K:K)-SUMIF(HK!A:A,"121*",HK!L:L)+SUMIF(HK!A:A,"122*",HK!K:K)-SUMIF(HK!A:A,"122*",HK!L:L)</f>
        <v>0</v>
      </c>
      <c r="C4" s="161">
        <f>SUMIF(HKM!A:A,"121*",HKM!K:K)-SUMIF(HKM!A:A,"121*",HKM!L:L)+SUMIF(HKM!A:A,"122*",HKM!K:K)-SUMIF(HKM!A:A,"122*",HKM!L:L)</f>
        <v>0</v>
      </c>
      <c r="D4" s="161">
        <f>SUMIF(HKM!A:A,"121*",HKM!C:C)-SUMIF(HKM!A:A,"121*",HKM!D:D)+SUMIF(HKM!A:A,"122*",HKM!C:C)-SUMIF(HKM!A:A,"122*",HKM!D:D)</f>
        <v>0</v>
      </c>
      <c r="E4" s="161">
        <f>SUMIF(HK!A:A,"611*",HK!L:L)-SUMIF(HK!A:A,"611*",HK!K:K)+SUMIF(HK!A:A,"612*",HK!L:L)-SUMIF(HK!A:A,"611*",HK!K:K)</f>
        <v>0</v>
      </c>
      <c r="F4" s="161">
        <f>SUMIF(HKM!A:A,"611*",HKM!L:L)-SUMIF(HKM!A:A,"611*",HKM!K:K)+SUMIF(HKM!A:A,"612*",HKM!L:L)-SUMIF(HKM!A:A,"612*",HKM!K:K)</f>
        <v>0</v>
      </c>
      <c r="G4" s="162"/>
      <c r="H4" s="158"/>
      <c r="I4" s="162"/>
      <c r="J4" s="162"/>
    </row>
    <row r="5" spans="1:10" ht="15.75" thickBot="1" x14ac:dyDescent="0.3">
      <c r="A5" s="60" t="s">
        <v>43</v>
      </c>
      <c r="B5" s="161">
        <f>SUMIF(HK!A:A,"123*",HK!K:K)-SUMIF(HK!A:A,"123*",HK!L:L)</f>
        <v>0</v>
      </c>
      <c r="C5" s="161">
        <f>SUMIF(HKM!A:A,"123*",HKM!K:K)-SUMIF(HKM!A:A,"123*",HKM!L:L)</f>
        <v>0</v>
      </c>
      <c r="D5" s="161">
        <f>SUMIF(HKM!A:A,"123*",HKM!C:C)</f>
        <v>0</v>
      </c>
      <c r="E5" s="161">
        <f>SUMIF(HK!A:A,"613*",HK!L:L)-SUMIF(HK!A:A,"613*",HK!K:K)</f>
        <v>0</v>
      </c>
      <c r="F5" s="161">
        <f>SUMIF(HKM!A:A,"613*",HKM!L:L)-SUMIF(HKM!A:A,"613*",HKM!K:K)</f>
        <v>0</v>
      </c>
      <c r="G5" s="162"/>
      <c r="H5" s="158"/>
      <c r="I5" s="162"/>
      <c r="J5" s="162"/>
    </row>
    <row r="6" spans="1:10" ht="15.75" thickBot="1" x14ac:dyDescent="0.3">
      <c r="A6" s="13" t="s">
        <v>125</v>
      </c>
      <c r="B6" s="161">
        <f>SUMIF(HK!A:A,"124*",HK!K:K)-SUMIF(HK!A:A,"124*",HK!L:L)</f>
        <v>0</v>
      </c>
      <c r="C6" s="161">
        <f>SUMIF(HKM!A:A,"124*",HKM!K:K)-SUMIF(HKM!A:A,"124*",HKM!L:L)</f>
        <v>0</v>
      </c>
      <c r="D6" s="161">
        <f>SUMIF(HKM!A:A,"124*",HKM!C:C)-SUMIF(HKM!A:A,"124*",HKM!D:D)</f>
        <v>0</v>
      </c>
      <c r="E6" s="161">
        <f>SUMIF(HK!A:A,"614*",HK!L:L)-SUMIF(HK!A:A,"614*",HK!K:K)</f>
        <v>0</v>
      </c>
      <c r="F6" s="161">
        <f>SUMIF(HKM!A:A,"614*",HKM!L:L)-SUMIF(HKM!A:A,"614*",HKM!K:K)</f>
        <v>0</v>
      </c>
      <c r="G6" s="162"/>
      <c r="H6" s="158"/>
      <c r="I6" s="162"/>
      <c r="J6" s="162"/>
    </row>
    <row r="7" spans="1:10" ht="19.5" customHeight="1" thickBot="1" x14ac:dyDescent="0.3">
      <c r="A7" s="13" t="s">
        <v>8</v>
      </c>
      <c r="B7" s="177"/>
      <c r="C7" s="177"/>
      <c r="D7" s="194"/>
      <c r="E7" s="173"/>
      <c r="F7" s="173"/>
      <c r="G7" s="162"/>
      <c r="H7" s="195"/>
      <c r="I7" s="162"/>
      <c r="J7" s="162"/>
    </row>
    <row r="8" spans="1:10" ht="15.75" thickBot="1" x14ac:dyDescent="0.3">
      <c r="A8" s="13" t="s">
        <v>126</v>
      </c>
      <c r="B8" s="200" t="s">
        <v>10</v>
      </c>
      <c r="C8" s="200" t="s">
        <v>10</v>
      </c>
      <c r="D8" s="201" t="s">
        <v>10</v>
      </c>
      <c r="E8" s="161">
        <f>SUMIF(HK!A:A,"549*",HK!K:K)-SUMIF(HK!A:A,"549*",HK!L:L)</f>
        <v>66.62</v>
      </c>
      <c r="F8" s="161">
        <f>SUMIF(HKM!A:A,"549*",HKM!K:K)-SUMIF(HKM!A:A,"549*",HKM!L:L)</f>
        <v>642.64</v>
      </c>
      <c r="G8" s="162"/>
      <c r="H8" s="158"/>
      <c r="I8" s="162"/>
      <c r="J8" s="162"/>
    </row>
    <row r="9" spans="1:10" ht="15.75" thickBot="1" x14ac:dyDescent="0.3">
      <c r="A9" s="13" t="s">
        <v>127</v>
      </c>
      <c r="B9" s="200" t="s">
        <v>10</v>
      </c>
      <c r="C9" s="200" t="s">
        <v>10</v>
      </c>
      <c r="D9" s="201" t="s">
        <v>10</v>
      </c>
      <c r="E9" s="161">
        <f>SUMIF(HK!A:A,"513*",HK!K:K)-SUMIF(HK!A:A,"513*",HK!L:L)</f>
        <v>5.63</v>
      </c>
      <c r="F9" s="161">
        <f>SUMIF(HKM!A:A,"513*",HKM!K:K)-SUMIF(HKM!A:A,"513*",HKM!L:L)</f>
        <v>1.49</v>
      </c>
      <c r="G9" s="162"/>
      <c r="H9" s="158"/>
      <c r="I9" s="162"/>
      <c r="J9" s="162"/>
    </row>
    <row r="10" spans="1:10" ht="15.75" thickBot="1" x14ac:dyDescent="0.3">
      <c r="A10" s="13" t="s">
        <v>128</v>
      </c>
      <c r="B10" s="200" t="s">
        <v>10</v>
      </c>
      <c r="C10" s="200" t="s">
        <v>10</v>
      </c>
      <c r="D10" s="201" t="s">
        <v>10</v>
      </c>
      <c r="E10" s="161">
        <f>SUMIF(HK!A:A,"543*",HK!K:K)-SUMIF(HK!A:A,"543*",HK!L:L)</f>
        <v>0</v>
      </c>
      <c r="F10" s="161">
        <f>SUMIF(HKM!A:A,"543*",HKM!K:K)-SUMIF(HKM!A:A,"543*",HKM!L:L)</f>
        <v>0</v>
      </c>
      <c r="G10" s="162"/>
      <c r="H10" s="158"/>
      <c r="I10" s="162"/>
      <c r="J10" s="162"/>
    </row>
    <row r="11" spans="1:10" ht="19.5" customHeight="1" thickBot="1" x14ac:dyDescent="0.3">
      <c r="A11" s="15" t="s">
        <v>129</v>
      </c>
      <c r="B11" s="202" t="s">
        <v>10</v>
      </c>
      <c r="C11" s="202" t="s">
        <v>10</v>
      </c>
      <c r="D11" s="203" t="s">
        <v>10</v>
      </c>
      <c r="E11" s="174"/>
      <c r="F11" s="174"/>
      <c r="G11" s="162"/>
      <c r="H11" s="195"/>
      <c r="I11" s="162"/>
      <c r="J11" s="162"/>
    </row>
    <row r="12" spans="1:10" ht="35.25" thickTop="1" thickBot="1" x14ac:dyDescent="0.3">
      <c r="A12" s="21" t="s">
        <v>130</v>
      </c>
      <c r="B12" s="202" t="s">
        <v>10</v>
      </c>
      <c r="C12" s="202" t="s">
        <v>10</v>
      </c>
      <c r="D12" s="203" t="s">
        <v>10</v>
      </c>
      <c r="E12" s="168">
        <f>SUMIF(VZaS!C:C,"006",VZaS!D:D)</f>
        <v>0</v>
      </c>
      <c r="F12" s="168">
        <f>SUMIF(VZaS!C:C,"006",VZaS!E:E)</f>
        <v>0</v>
      </c>
      <c r="G12" s="162"/>
      <c r="H12" s="196"/>
      <c r="I12" s="162"/>
      <c r="J12" s="162"/>
    </row>
    <row r="13" spans="1:10" ht="15.75" thickTop="1" x14ac:dyDescent="0.25"/>
  </sheetData>
  <mergeCells count="3">
    <mergeCell ref="A2:A3"/>
    <mergeCell ref="C2:D2"/>
    <mergeCell ref="E2:F2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0"/>
  <sheetViews>
    <sheetView showGridLines="0" tabSelected="1" zoomScaleNormal="100" workbookViewId="0">
      <selection activeCell="C8" sqref="C8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 x14ac:dyDescent="0.35">
      <c r="A1" s="1" t="s">
        <v>277</v>
      </c>
    </row>
    <row r="2" spans="1:7" ht="26.25" customHeight="1" thickTop="1" thickBot="1" x14ac:dyDescent="0.3">
      <c r="A2" s="35" t="s">
        <v>57</v>
      </c>
      <c r="B2" s="23" t="s">
        <v>2</v>
      </c>
      <c r="C2" s="23" t="s">
        <v>3</v>
      </c>
    </row>
    <row r="3" spans="1:7" ht="18.75" customHeight="1" thickTop="1" thickBot="1" x14ac:dyDescent="0.3">
      <c r="A3" s="38" t="s">
        <v>131</v>
      </c>
      <c r="B3" s="168">
        <f>SUMIF(HK!A:A,"601*",HK!L:L)-SUMIF(HK!A:A,"601*",HK!K:K)</f>
        <v>0</v>
      </c>
      <c r="C3" s="168">
        <f>SUMIF(HKM!A:A,"601*",HKM!L:L)-SUMIF(HKM!A:A,"601*",HKM!K:K)</f>
        <v>0</v>
      </c>
      <c r="D3" s="162"/>
      <c r="E3" s="191"/>
      <c r="G3" s="79"/>
    </row>
    <row r="4" spans="1:7" ht="18.75" customHeight="1" thickBot="1" x14ac:dyDescent="0.3">
      <c r="A4" s="38" t="s">
        <v>132</v>
      </c>
      <c r="B4" s="168">
        <f>SUMIF(HK!A:A,"602*",HK!L:L)-SUMIF(HK!A:A,"602*",HK!K:K)</f>
        <v>22722.7</v>
      </c>
      <c r="C4" s="168">
        <f>SUMIF(HKM!A:A,"602*",HKM!L:L)-SUMIF(HKM!A:A,"602*",HKM!K:K)</f>
        <v>13658.08</v>
      </c>
      <c r="D4" s="162"/>
      <c r="E4" s="191"/>
      <c r="G4" s="79"/>
    </row>
    <row r="5" spans="1:7" ht="18.75" customHeight="1" thickBot="1" x14ac:dyDescent="0.3">
      <c r="A5" s="38" t="s">
        <v>133</v>
      </c>
      <c r="B5" s="168">
        <f>SUMIF(HK!A:A,"604*",HK!L:L)-SUMIF(HK!A:A,"604*",HK!K:K)</f>
        <v>465374.61</v>
      </c>
      <c r="C5" s="168">
        <f>SUMIF(HKM!A:A,"604*",HKM!L:L)-SUMIF(HKM!A:A,"604*",HKM!K:K)</f>
        <v>213138.97999999998</v>
      </c>
      <c r="D5" s="162"/>
      <c r="E5" s="191"/>
      <c r="G5" s="79"/>
    </row>
    <row r="6" spans="1:7" ht="18.75" customHeight="1" thickBot="1" x14ac:dyDescent="0.3">
      <c r="A6" s="38" t="s">
        <v>134</v>
      </c>
      <c r="B6" s="168">
        <f>SUMIF(HK!A:A,"606*",HK!L:L)-SUMIF(HK!A:A,"606*",HK!K:K)</f>
        <v>0</v>
      </c>
      <c r="C6" s="168">
        <f>SUMIF(HKM!A:A,"606*",HKM!L:L)-SUMIF(HKM!A:A,"606*",HKM!K:K)</f>
        <v>0</v>
      </c>
      <c r="D6" s="162"/>
      <c r="E6" s="191"/>
      <c r="G6" s="79"/>
    </row>
    <row r="7" spans="1:7" ht="18.75" customHeight="1" thickBot="1" x14ac:dyDescent="0.3">
      <c r="A7" s="38" t="s">
        <v>135</v>
      </c>
      <c r="B7" s="168"/>
      <c r="C7" s="168"/>
      <c r="D7" s="162"/>
      <c r="E7" s="191"/>
      <c r="G7" s="88"/>
    </row>
    <row r="8" spans="1:7" ht="23.25" thickBot="1" x14ac:dyDescent="0.3">
      <c r="A8" s="13" t="s">
        <v>136</v>
      </c>
      <c r="B8" s="173"/>
      <c r="C8" s="173"/>
      <c r="D8" s="162"/>
      <c r="E8" s="162"/>
      <c r="G8" s="79"/>
    </row>
    <row r="9" spans="1:7" ht="18.75" customHeight="1" thickBot="1" x14ac:dyDescent="0.3">
      <c r="A9" s="39" t="s">
        <v>137</v>
      </c>
      <c r="B9" s="40">
        <f>SUM(B3:B8)</f>
        <v>488097.31</v>
      </c>
      <c r="C9" s="40">
        <f>SUM(C3:C8)</f>
        <v>226797.05999999997</v>
      </c>
    </row>
    <row r="10" spans="1:7" ht="15.75" thickTop="1" x14ac:dyDescent="0.25"/>
  </sheetData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3"/>
  <sheetViews>
    <sheetView showGridLines="0" tabSelected="1" zoomScaleNormal="100" workbookViewId="0">
      <selection activeCell="C8" sqref="C8"/>
    </sheetView>
  </sheetViews>
  <sheetFormatPr defaultRowHeight="15" x14ac:dyDescent="0.25"/>
  <cols>
    <col min="1" max="1" width="22.28515625" customWidth="1"/>
    <col min="2" max="2" width="10.7109375" customWidth="1"/>
    <col min="3" max="3" width="11.85546875" bestFit="1" customWidth="1"/>
    <col min="4" max="5" width="10.7109375" customWidth="1"/>
    <col min="6" max="6" width="12.7109375" bestFit="1" customWidth="1"/>
    <col min="7" max="7" width="10.7109375" customWidth="1"/>
  </cols>
  <sheetData>
    <row r="1" spans="1:10" ht="17.25" thickBot="1" x14ac:dyDescent="0.35">
      <c r="A1" s="1" t="s">
        <v>278</v>
      </c>
    </row>
    <row r="2" spans="1:10" ht="35.25" customHeight="1" thickTop="1" thickBot="1" x14ac:dyDescent="0.3">
      <c r="A2" s="205" t="s">
        <v>57</v>
      </c>
      <c r="B2" s="210" t="s">
        <v>2</v>
      </c>
      <c r="C2" s="211"/>
      <c r="D2" s="212"/>
      <c r="E2" s="210" t="s">
        <v>3</v>
      </c>
      <c r="F2" s="211"/>
      <c r="G2" s="212"/>
    </row>
    <row r="3" spans="1:10" s="63" customFormat="1" ht="16.5" thickTop="1" thickBot="1" x14ac:dyDescent="0.3">
      <c r="A3" s="220"/>
      <c r="B3" s="19" t="s">
        <v>138</v>
      </c>
      <c r="C3" s="19" t="s">
        <v>139</v>
      </c>
      <c r="D3" s="19" t="s">
        <v>140</v>
      </c>
      <c r="E3" s="19" t="s">
        <v>138</v>
      </c>
      <c r="F3" s="19" t="s">
        <v>139</v>
      </c>
      <c r="G3" s="19" t="s">
        <v>140</v>
      </c>
    </row>
    <row r="4" spans="1:10" ht="24" thickTop="1" thickBot="1" x14ac:dyDescent="0.3">
      <c r="A4" s="13" t="s">
        <v>141</v>
      </c>
      <c r="B4" s="190">
        <f>SUMIF(VZaS!C:C,"059",VZaS!D:D)</f>
        <v>-70620.53</v>
      </c>
      <c r="C4" s="197" t="s">
        <v>10</v>
      </c>
      <c r="D4" s="198" t="s">
        <v>10</v>
      </c>
      <c r="E4" s="190">
        <f>SUMIF(VZaS!C:C,"059",VZaS!E:E)</f>
        <v>-92257.81</v>
      </c>
      <c r="F4" s="197" t="s">
        <v>10</v>
      </c>
      <c r="G4" s="198" t="s">
        <v>10</v>
      </c>
      <c r="H4" s="160"/>
      <c r="I4" s="160"/>
      <c r="J4" s="189"/>
    </row>
    <row r="5" spans="1:10" ht="20.25" customHeight="1" thickBot="1" x14ac:dyDescent="0.3">
      <c r="A5" s="13" t="s">
        <v>142</v>
      </c>
      <c r="B5" s="197" t="s">
        <v>10</v>
      </c>
      <c r="C5" s="167"/>
      <c r="D5" s="199"/>
      <c r="E5" s="197" t="s">
        <v>10</v>
      </c>
      <c r="F5" s="167"/>
      <c r="G5" s="199"/>
      <c r="H5" s="160"/>
      <c r="I5" s="160"/>
      <c r="J5" s="160"/>
    </row>
    <row r="6" spans="1:10" ht="20.25" customHeight="1" thickBot="1" x14ac:dyDescent="0.3">
      <c r="A6" s="13" t="s">
        <v>143</v>
      </c>
      <c r="B6" s="167">
        <v>4385.5600000000004</v>
      </c>
      <c r="C6" s="167"/>
      <c r="D6" s="199"/>
      <c r="E6" s="167"/>
      <c r="F6" s="167"/>
      <c r="G6" s="199"/>
      <c r="H6" s="160"/>
      <c r="I6" s="160"/>
      <c r="J6" s="160"/>
    </row>
    <row r="7" spans="1:10" ht="20.25" customHeight="1" thickBot="1" x14ac:dyDescent="0.3">
      <c r="A7" s="13" t="s">
        <v>144</v>
      </c>
      <c r="B7" s="167">
        <v>723.65</v>
      </c>
      <c r="C7" s="167"/>
      <c r="D7" s="199"/>
      <c r="E7" s="167"/>
      <c r="F7" s="167"/>
      <c r="G7" s="199"/>
      <c r="H7" s="160"/>
      <c r="I7" s="160"/>
      <c r="J7" s="160"/>
    </row>
    <row r="8" spans="1:10" ht="20.25" customHeight="1" thickBot="1" x14ac:dyDescent="0.3">
      <c r="A8" s="13" t="s">
        <v>145</v>
      </c>
      <c r="B8" s="167"/>
      <c r="C8" s="167"/>
      <c r="D8" s="199"/>
      <c r="E8" s="167"/>
      <c r="F8" s="167"/>
      <c r="G8" s="199"/>
      <c r="H8" s="160"/>
      <c r="I8" s="160"/>
      <c r="J8" s="160"/>
    </row>
    <row r="9" spans="1:10" ht="20.25" customHeight="1" thickBot="1" x14ac:dyDescent="0.3">
      <c r="A9" s="13" t="s">
        <v>8</v>
      </c>
      <c r="B9" s="167">
        <f>B4+B6-B7</f>
        <v>-66958.62</v>
      </c>
      <c r="C9" s="167"/>
      <c r="D9" s="199"/>
      <c r="E9" s="167"/>
      <c r="F9" s="167"/>
      <c r="G9" s="199"/>
      <c r="H9" s="160"/>
      <c r="I9" s="160"/>
      <c r="J9" s="160"/>
    </row>
    <row r="10" spans="1:10" ht="20.25" customHeight="1" thickBot="1" x14ac:dyDescent="0.3">
      <c r="A10" s="13" t="s">
        <v>146</v>
      </c>
      <c r="B10" s="197" t="s">
        <v>10</v>
      </c>
      <c r="C10" s="190">
        <f>SUMIF(VZaS!C:C,"049",VZaS!D:D)+SUMIF(VZaS!C:C,"056",VZaS!D:D)</f>
        <v>0</v>
      </c>
      <c r="D10" s="199"/>
      <c r="E10" s="197" t="s">
        <v>10</v>
      </c>
      <c r="F10" s="190">
        <f>SUMIF(VZaS!C:C,"049",VZaS!E:E)+SUMIF(VZaS!C:C,"056",VZaS!E:E)</f>
        <v>0</v>
      </c>
      <c r="G10" s="199"/>
      <c r="H10" s="160"/>
      <c r="I10" s="160"/>
      <c r="J10" s="160"/>
    </row>
    <row r="11" spans="1:10" ht="20.25" customHeight="1" thickBot="1" x14ac:dyDescent="0.3">
      <c r="A11" s="13" t="s">
        <v>147</v>
      </c>
      <c r="B11" s="197" t="s">
        <v>10</v>
      </c>
      <c r="C11" s="190">
        <f>SUMIF(VZaS!C:C,"050",VZaS!D:D)+SUMIF(VZaS!C:C,"057",VZaS!D:D)</f>
        <v>-769.83</v>
      </c>
      <c r="D11" s="199"/>
      <c r="E11" s="197" t="s">
        <v>10</v>
      </c>
      <c r="F11" s="190">
        <f>SUMIF(VZaS!C:C,"050",VZaS!E:E)+SUMIF(VZaS!C:C,"057",VZaS!E:E)</f>
        <v>-1282</v>
      </c>
      <c r="G11" s="199"/>
      <c r="H11" s="160"/>
      <c r="I11" s="160"/>
      <c r="J11" s="160"/>
    </row>
    <row r="12" spans="1:10" ht="20.25" customHeight="1" thickBot="1" x14ac:dyDescent="0.3">
      <c r="A12" s="15" t="s">
        <v>148</v>
      </c>
      <c r="B12" s="56" t="s">
        <v>10</v>
      </c>
      <c r="C12" s="45"/>
      <c r="D12" s="67"/>
      <c r="E12" s="56" t="s">
        <v>10</v>
      </c>
      <c r="F12" s="45"/>
      <c r="G12" s="67"/>
    </row>
    <row r="13" spans="1:10" ht="15.75" thickTop="1" x14ac:dyDescent="0.25"/>
  </sheetData>
  <mergeCells count="3">
    <mergeCell ref="A2:A3"/>
    <mergeCell ref="B2:D2"/>
    <mergeCell ref="E2:G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45"/>
  <sheetViews>
    <sheetView showGridLines="0" tabSelected="1" topLeftCell="A25" workbookViewId="0">
      <selection activeCell="C8" sqref="C8"/>
    </sheetView>
  </sheetViews>
  <sheetFormatPr defaultRowHeight="11.25" x14ac:dyDescent="0.25"/>
  <cols>
    <col min="1" max="1" width="28.42578125" style="18" customWidth="1"/>
    <col min="2" max="4" width="11.5703125" style="18" customWidth="1"/>
    <col min="5" max="5" width="9.140625" style="18" customWidth="1"/>
    <col min="6" max="6" width="17.85546875" style="18" bestFit="1" customWidth="1"/>
    <col min="7" max="16384" width="9.140625" style="18"/>
  </cols>
  <sheetData>
    <row r="1" spans="1:9" customFormat="1" ht="16.5" x14ac:dyDescent="0.3">
      <c r="A1" s="1" t="s">
        <v>279</v>
      </c>
    </row>
    <row r="2" spans="1:9" ht="12" thickBot="1" x14ac:dyDescent="0.3"/>
    <row r="3" spans="1:9" ht="13.5" customHeight="1" thickTop="1" thickBot="1" x14ac:dyDescent="0.3">
      <c r="A3" s="231" t="s">
        <v>210</v>
      </c>
      <c r="B3" s="228" t="s">
        <v>2</v>
      </c>
      <c r="C3" s="229"/>
      <c r="D3" s="229"/>
      <c r="E3" s="229"/>
      <c r="F3" s="230"/>
    </row>
    <row r="4" spans="1:9" ht="45.75" thickBot="1" x14ac:dyDescent="0.3">
      <c r="A4" s="232"/>
      <c r="B4" s="49" t="s">
        <v>217</v>
      </c>
      <c r="C4" s="49" t="s">
        <v>18</v>
      </c>
      <c r="D4" s="49" t="s">
        <v>19</v>
      </c>
      <c r="E4" s="49" t="s">
        <v>20</v>
      </c>
      <c r="F4" s="19" t="s">
        <v>150</v>
      </c>
    </row>
    <row r="5" spans="1:9" ht="12.75" thickTop="1" thickBot="1" x14ac:dyDescent="0.3">
      <c r="A5" s="75" t="s">
        <v>151</v>
      </c>
      <c r="B5" s="163">
        <f>SUMIF(HK!A:A,"411*",HK!D:D)-SUMIF(HK!A:A,"411*",HK!C:C)</f>
        <v>5000</v>
      </c>
      <c r="C5" s="180">
        <f>SUMIF(HK!A:A,"411*",HK!J:J)</f>
        <v>0</v>
      </c>
      <c r="D5" s="180">
        <f>SUMIF(HK!A:A,"411*",HK!I:I)</f>
        <v>0</v>
      </c>
      <c r="E5" s="180"/>
      <c r="F5" s="178">
        <f>SUMIF(HK!A:A,"411*",HK!L:L)-SUMIF(HK!A:A,"411*",HK!K:K)</f>
        <v>5000</v>
      </c>
      <c r="G5" s="148"/>
      <c r="H5" s="158"/>
      <c r="I5" s="148"/>
    </row>
    <row r="6" spans="1:9" ht="23.25" thickBot="1" x14ac:dyDescent="0.3">
      <c r="A6" s="75" t="s">
        <v>152</v>
      </c>
      <c r="B6" s="165">
        <f>SUMIF(HKM!A:A,"252*",HKM!C:C)-SUMIF(HKM!A:A,"252*",HKM!D:D)</f>
        <v>0</v>
      </c>
      <c r="C6" s="167">
        <f>SUMIF(HK!A:A,"252*",HK!J:J)</f>
        <v>0</v>
      </c>
      <c r="D6" s="167">
        <f>SUMIF(HK!A:A,"252*",HK!I:I)</f>
        <v>0</v>
      </c>
      <c r="E6" s="167"/>
      <c r="F6" s="161">
        <f>SUMIF(HK!A:A,"252*",HK!K:K)-SUMIF(HK!A:A,"252*",HK!L:L)</f>
        <v>0</v>
      </c>
      <c r="G6" s="148"/>
      <c r="H6" s="158"/>
      <c r="I6" s="148"/>
    </row>
    <row r="7" spans="1:9" ht="12" thickBot="1" x14ac:dyDescent="0.3">
      <c r="A7" s="75" t="s">
        <v>211</v>
      </c>
      <c r="B7" s="165">
        <f>SUMIF(HK!A:A,"419*",HK!D:D)-SUMIF(HK!A:A,"419*",HK!C:C)</f>
        <v>0</v>
      </c>
      <c r="C7" s="167">
        <f>SUMIF(HK!A:A,"419*",HK!J:J)</f>
        <v>0</v>
      </c>
      <c r="D7" s="167">
        <f>SUMIF(HK!A:A,"419*",HK!I:I)</f>
        <v>0</v>
      </c>
      <c r="E7" s="167"/>
      <c r="F7" s="161">
        <f>SUMIF(HK!A:A,"419*",HK!L:L)-SUMIF(HK!A:A,"419*",HK!K:K)</f>
        <v>0</v>
      </c>
      <c r="G7" s="148"/>
      <c r="H7" s="158"/>
      <c r="I7" s="148"/>
    </row>
    <row r="8" spans="1:9" ht="12" thickBot="1" x14ac:dyDescent="0.3">
      <c r="A8" s="75" t="s">
        <v>212</v>
      </c>
      <c r="B8" s="165">
        <f>SUMIF(HKM!A:A,"353*",HKM!C:C)-SUMIF(HKM!A:A,"353*",HKM!D:D)</f>
        <v>0</v>
      </c>
      <c r="C8" s="167">
        <f>SUMIF(HK!A:A,"353*",HK!J:J)</f>
        <v>0</v>
      </c>
      <c r="D8" s="167">
        <f>SUMIF(HK!A:A,"353*",HK!I:I)</f>
        <v>0</v>
      </c>
      <c r="E8" s="167"/>
      <c r="F8" s="161">
        <f>SUMIF(HK!A:A,"353*",HK!K:K)-SUMIF(HK!A:A,"353*",HK!L:L)</f>
        <v>0</v>
      </c>
      <c r="G8" s="148"/>
      <c r="H8" s="158"/>
      <c r="I8" s="148"/>
    </row>
    <row r="9" spans="1:9" ht="12" thickBot="1" x14ac:dyDescent="0.3">
      <c r="A9" s="75" t="s">
        <v>153</v>
      </c>
      <c r="B9" s="165">
        <f>SUMIF(HK!A:A,"412*",HK!D:D)-SUMIF(HK!A:A,"412*",HK!C:C)</f>
        <v>0</v>
      </c>
      <c r="C9" s="167">
        <f>SUMIF(HK!A:A,"412*",HK!J:J)</f>
        <v>0</v>
      </c>
      <c r="D9" s="167">
        <f>SUMIF(HK!A:A,"412*",HK!I:I)</f>
        <v>0</v>
      </c>
      <c r="E9" s="167"/>
      <c r="F9" s="161">
        <f>SUMIF(HK!A:A,"412*",HK!L:L)-SUMIF(HK!A:A,"412*",HK!K:K)</f>
        <v>0</v>
      </c>
      <c r="G9" s="148"/>
      <c r="H9" s="158"/>
      <c r="I9" s="148"/>
    </row>
    <row r="10" spans="1:9" ht="12" thickBot="1" x14ac:dyDescent="0.3">
      <c r="A10" s="75" t="s">
        <v>154</v>
      </c>
      <c r="B10" s="165">
        <f>SUMIF(HK!A:A,"413*",HK!D:D)-SUMIF(HK!A:A,"413*",HK!C:C)</f>
        <v>0</v>
      </c>
      <c r="C10" s="167">
        <f>SUMIF(HK!A:A,"413*",HK!J:J)</f>
        <v>0</v>
      </c>
      <c r="D10" s="167">
        <f>SUMIF(HK!A:A,"413*",HK!I:I)</f>
        <v>0</v>
      </c>
      <c r="E10" s="167"/>
      <c r="F10" s="161">
        <f>SUMIF(HK!A:A,"413*",HK!L:L)-SUMIF(HK!A:A,"413*",HK!K:K)</f>
        <v>0</v>
      </c>
      <c r="G10" s="148"/>
      <c r="H10" s="158"/>
      <c r="I10" s="148"/>
    </row>
    <row r="11" spans="1:9" ht="23.25" thickBot="1" x14ac:dyDescent="0.3">
      <c r="A11" s="75" t="s">
        <v>155</v>
      </c>
      <c r="B11" s="165">
        <f>SUMIF(HK!A:A,"417*",HK!D:D)-SUMIF(HK!A:A,"417*",HK!C:C)</f>
        <v>0</v>
      </c>
      <c r="C11" s="167">
        <f>SUMIF(HK!A:A,"417*",HK!J:J)</f>
        <v>0</v>
      </c>
      <c r="D11" s="167">
        <f>SUMIF(HK!A:A,"417*",HK!I:I)</f>
        <v>0</v>
      </c>
      <c r="E11" s="167"/>
      <c r="F11" s="161">
        <f>SUMIF(HK!A:A,"417*",HK!L:L)-SUMIF(HK!A:A,"417*",HK!K:K)</f>
        <v>0</v>
      </c>
      <c r="G11" s="148"/>
      <c r="H11" s="158"/>
      <c r="I11" s="148"/>
    </row>
    <row r="12" spans="1:9" ht="23.25" thickBot="1" x14ac:dyDescent="0.3">
      <c r="A12" s="75" t="s">
        <v>241</v>
      </c>
      <c r="B12" s="165">
        <f>SUMIF(HK!A:A,"414*",HK!D:D)-SUMIF(HK!A:A,"414*",HK!C:C)</f>
        <v>0</v>
      </c>
      <c r="C12" s="167">
        <f>SUMIF(HK!A:A,"414*",HK!J:J)</f>
        <v>0</v>
      </c>
      <c r="D12" s="167">
        <f>SUMIF(HK!A:A,"414*",HK!I:I)</f>
        <v>0</v>
      </c>
      <c r="E12" s="167"/>
      <c r="F12" s="161">
        <f>SUMIF(HK!A:A,"414*",HK!L:L)-SUMIF(HK!A:A,"414*",HK!K:K)</f>
        <v>0</v>
      </c>
      <c r="G12" s="148"/>
      <c r="H12" s="158"/>
      <c r="I12" s="148"/>
    </row>
    <row r="13" spans="1:9" ht="23.25" thickBot="1" x14ac:dyDescent="0.3">
      <c r="A13" s="75" t="s">
        <v>156</v>
      </c>
      <c r="B13" s="165">
        <f>SUMIF(HK!A:A,"415*",HK!D:D)-SUMIF(HK!A:A,"415*",HK!C:C)</f>
        <v>0</v>
      </c>
      <c r="C13" s="167">
        <f>SUMIF(HK!A:A,"415*",HK!J:J)</f>
        <v>0</v>
      </c>
      <c r="D13" s="167">
        <f>SUMIF(HK!A:A,"415*",HK!I:I)</f>
        <v>0</v>
      </c>
      <c r="E13" s="167"/>
      <c r="F13" s="161">
        <f>SUMIF(HK!A:A,"415*",HK!L:L)--SUMIF(HK!A:A,"415*",HK!K:K)</f>
        <v>0</v>
      </c>
      <c r="G13" s="148"/>
      <c r="H13" s="158"/>
      <c r="I13" s="148"/>
    </row>
    <row r="14" spans="1:9" ht="23.25" thickBot="1" x14ac:dyDescent="0.3">
      <c r="A14" s="75" t="s">
        <v>213</v>
      </c>
      <c r="B14" s="165">
        <f>SUMIF(HK!A:A,"416*",HK!D:D)-SUMIF(HK!A:A,"416*",HK!C:C)</f>
        <v>0</v>
      </c>
      <c r="C14" s="167">
        <f>SUMIF(HK!A:A,"416*",HK!J:J)</f>
        <v>0</v>
      </c>
      <c r="D14" s="167">
        <f>SUMIF(HK!A:A,"416*",HK!I:I)</f>
        <v>0</v>
      </c>
      <c r="E14" s="167"/>
      <c r="F14" s="161">
        <f>SUMIF(HK!A:A,"416*",HK!L:L)-SUMIF(HK!A:A,"416*",HK!K:K)</f>
        <v>0</v>
      </c>
      <c r="G14" s="148"/>
      <c r="H14" s="158"/>
      <c r="I14" s="148"/>
    </row>
    <row r="15" spans="1:9" ht="12" thickBot="1" x14ac:dyDescent="0.3">
      <c r="A15" s="75" t="s">
        <v>157</v>
      </c>
      <c r="B15" s="165">
        <f>SUMIF(HK!A:A,"421*",HK!D:D)-SUMIF(HK!A:A,"421*",HK!C:C)</f>
        <v>0</v>
      </c>
      <c r="C15" s="167">
        <f>SUMIF(HK!A:A,"421*",HK!J:J)</f>
        <v>0</v>
      </c>
      <c r="D15" s="167">
        <f>SUMIF(HK!A:A,"421*",HK!I:I)</f>
        <v>0</v>
      </c>
      <c r="E15" s="167"/>
      <c r="F15" s="161">
        <f>SUMIF(HK!A:A,"421*",HK!L:L)-SUMIF(HK!A:A,"421*",HK!K:K)</f>
        <v>0</v>
      </c>
      <c r="G15" s="148"/>
      <c r="H15" s="158"/>
      <c r="I15" s="148"/>
    </row>
    <row r="16" spans="1:9" ht="12" thickBot="1" x14ac:dyDescent="0.3">
      <c r="A16" s="75" t="s">
        <v>158</v>
      </c>
      <c r="B16" s="165">
        <f>SUMIF(HK!A:A,"422*",HK!D:D)-SUMIF(HK!A:A,"422*",HK!C:C)</f>
        <v>0</v>
      </c>
      <c r="C16" s="167">
        <f>SUMIF(HK!A:A,"422*",HK!J:J)</f>
        <v>0</v>
      </c>
      <c r="D16" s="167">
        <f>SUMIF(HK!A:A,"422*",HK!I:I)</f>
        <v>0</v>
      </c>
      <c r="E16" s="167"/>
      <c r="F16" s="161">
        <f>SUMIF(HK!A:A,"422*",HK!L:L)-SUMIF(HK!A:A,"422*",HK!K:K)</f>
        <v>0</v>
      </c>
      <c r="G16" s="148"/>
      <c r="H16" s="158"/>
      <c r="I16" s="148"/>
    </row>
    <row r="17" spans="1:9" ht="12" thickBot="1" x14ac:dyDescent="0.3">
      <c r="A17" s="75" t="s">
        <v>159</v>
      </c>
      <c r="B17" s="165">
        <f>SUMIF(HK!A:A,"423*",HK!D:D)-SUMIF(HK!A:A,"423*",HK!C:C)+SUMIF(HK!A:A,"427*",HK!D:D)-SUMIF(HK!A:A,"427*",HK!C:C)</f>
        <v>0</v>
      </c>
      <c r="C17" s="167">
        <f>SUMIF(HK!A:A,"423*",HK!J:J)</f>
        <v>0</v>
      </c>
      <c r="D17" s="167">
        <f>SUMIF(HK!A:A,"423*",HK!I:I)</f>
        <v>0</v>
      </c>
      <c r="E17" s="167"/>
      <c r="F17" s="161">
        <f>SUMIF(HK!A:A,"423*",HK!L:L)-SUMIF(HK!A:A,"423*",HK!K:K)+SUMIF(HK!A:A,"427*",HK!L:L)-SUMIF(HK!A:A,"427*",HK!K:K)</f>
        <v>0</v>
      </c>
      <c r="G17" s="148"/>
      <c r="H17" s="158"/>
      <c r="I17" s="148"/>
    </row>
    <row r="18" spans="1:9" ht="12" thickBot="1" x14ac:dyDescent="0.3">
      <c r="A18" s="75" t="s">
        <v>160</v>
      </c>
      <c r="B18" s="165">
        <f>SUMIF(HK!A:A,"428*",HK!D:D)-SUMIF(HK!A:A,"428*",HK!C:C)</f>
        <v>0</v>
      </c>
      <c r="C18" s="167">
        <f>SUMIF(HK!A:A,"428*",HK!J:J)</f>
        <v>0</v>
      </c>
      <c r="D18" s="167">
        <f>SUMIF(HK!A:A,"428*",HK!I:I)</f>
        <v>0</v>
      </c>
      <c r="E18" s="167"/>
      <c r="F18" s="161">
        <f>SUMIF(HK!A:A,"428*",HK!L:L)-SUMIF(HK!A:A,"428*",HK!K:K)</f>
        <v>0</v>
      </c>
      <c r="G18" s="148"/>
      <c r="H18" s="158"/>
      <c r="I18" s="148"/>
    </row>
    <row r="19" spans="1:9" ht="12" thickBot="1" x14ac:dyDescent="0.3">
      <c r="A19" s="75" t="s">
        <v>214</v>
      </c>
      <c r="B19" s="165">
        <f>SUMIF(HK!A:A,"429*",HK!D:D)-SUMIF(HK!A:A,"429*",HK!C:C)</f>
        <v>-141272.34000000003</v>
      </c>
      <c r="C19" s="167">
        <f>SUMIF(HK!A:A,"429*",HK!J:J)</f>
        <v>0</v>
      </c>
      <c r="D19" s="167">
        <f>SUMIF(HK!A:A,"429*",HK!I:I)</f>
        <v>90975.81</v>
      </c>
      <c r="E19" s="167"/>
      <c r="F19" s="161">
        <f>SUMIF(HK!A:A,"429*",HK!L:L)-SUMIF(HK!A:A,"429*",HK!K:K)</f>
        <v>-232248.15000000002</v>
      </c>
      <c r="G19" s="148"/>
      <c r="H19" s="158"/>
      <c r="I19" s="148"/>
    </row>
    <row r="20" spans="1:9" ht="23.25" thickBot="1" x14ac:dyDescent="0.3">
      <c r="A20" s="75" t="s">
        <v>215</v>
      </c>
      <c r="B20" s="165">
        <f>SUMIF(SUP!C:C,"087",SUP!E:E)</f>
        <v>-90975.81</v>
      </c>
      <c r="C20" s="167"/>
      <c r="D20" s="167"/>
      <c r="E20" s="167"/>
      <c r="F20" s="161">
        <f>SUMIF(SUP!C:C,"087",SUP!D:D)</f>
        <v>-69850.7</v>
      </c>
      <c r="G20" s="148"/>
      <c r="H20" s="158"/>
      <c r="I20" s="148"/>
    </row>
    <row r="21" spans="1:9" ht="12" thickBot="1" x14ac:dyDescent="0.3">
      <c r="A21" s="75" t="s">
        <v>161</v>
      </c>
      <c r="B21" s="165">
        <f>SUMIF(HK!A:A,"418*",HK!D:D)-SUMIF(HK!A:A,"418*",HK!C:C)</f>
        <v>0</v>
      </c>
      <c r="C21" s="167">
        <f>SUMIF(HK!A:A,"418*",HK!J:J)</f>
        <v>0</v>
      </c>
      <c r="D21" s="167">
        <f>SUMIF(HK!A:A,"418*",HK!I:I)</f>
        <v>0</v>
      </c>
      <c r="E21" s="167"/>
      <c r="F21" s="161">
        <f>SUMIF(HK!A:A,"418*",HK!L:L)-SUMIF(HK!A:A,"418*",HK!K:K)</f>
        <v>0</v>
      </c>
      <c r="G21" s="148"/>
      <c r="H21" s="158"/>
      <c r="I21" s="148"/>
    </row>
    <row r="22" spans="1:9" ht="23.25" thickBot="1" x14ac:dyDescent="0.3">
      <c r="A22" s="78" t="s">
        <v>216</v>
      </c>
      <c r="B22" s="204">
        <f>SUMIF(HK!A:A,"491*",HK!D:D)-SUMIF(HK!A:A,"491*",HK!C:C)</f>
        <v>0</v>
      </c>
      <c r="C22" s="183">
        <f>SUMIF(HK!A:A,"491*",HK!J:J)</f>
        <v>0</v>
      </c>
      <c r="D22" s="183">
        <f>SUMIF(HK!A:A,"491*",HK!I:I)</f>
        <v>0</v>
      </c>
      <c r="E22" s="183"/>
      <c r="F22" s="152">
        <f>SUMIF(HK!A:A,"491*",HK!L:L)-SUMIF(HK!A:A,"491*",HK!K:K)</f>
        <v>0</v>
      </c>
      <c r="G22" s="148"/>
      <c r="H22" s="158"/>
      <c r="I22" s="148"/>
    </row>
    <row r="23" spans="1:9" ht="22.5" customHeight="1" thickTop="1" x14ac:dyDescent="0.25">
      <c r="A23" s="50"/>
      <c r="B23" s="51"/>
      <c r="C23" s="51"/>
      <c r="D23" s="51"/>
      <c r="E23" s="51"/>
      <c r="F23" s="51"/>
    </row>
    <row r="24" spans="1:9" ht="12" thickBot="1" x14ac:dyDescent="0.3"/>
    <row r="25" spans="1:9" ht="13.5" customHeight="1" thickTop="1" thickBot="1" x14ac:dyDescent="0.3">
      <c r="A25" s="231" t="s">
        <v>210</v>
      </c>
      <c r="B25" s="228" t="s">
        <v>3</v>
      </c>
      <c r="C25" s="229"/>
      <c r="D25" s="229"/>
      <c r="E25" s="229"/>
      <c r="F25" s="230"/>
    </row>
    <row r="26" spans="1:9" ht="45.75" thickBot="1" x14ac:dyDescent="0.3">
      <c r="A26" s="232"/>
      <c r="B26" s="49" t="s">
        <v>217</v>
      </c>
      <c r="C26" s="49" t="s">
        <v>18</v>
      </c>
      <c r="D26" s="49" t="s">
        <v>19</v>
      </c>
      <c r="E26" s="49" t="s">
        <v>20</v>
      </c>
      <c r="F26" s="19" t="s">
        <v>150</v>
      </c>
    </row>
    <row r="27" spans="1:9" ht="22.5" customHeight="1" thickTop="1" thickBot="1" x14ac:dyDescent="0.3">
      <c r="A27" s="47" t="s">
        <v>151</v>
      </c>
      <c r="B27" s="163">
        <f>SUMIF(HKM!A:A,"411*",HKM!D:D)-SUMIF(HKM!A:A,"411*",HKM!C:C)</f>
        <v>5000</v>
      </c>
      <c r="C27" s="180">
        <f>SUMIF(HKM!A:A,"411*",HKM!J:J)</f>
        <v>0</v>
      </c>
      <c r="D27" s="180">
        <f>SUMIF(HKM!A:A,"411*",HKM!I:I)</f>
        <v>0</v>
      </c>
      <c r="E27" s="180"/>
      <c r="F27" s="178">
        <f>SUMIF(HKM!A:A,"411*",HKM!L:L)-SUMIF(HKM!A:A,"411*",HKM!K:K)</f>
        <v>5000</v>
      </c>
      <c r="G27" s="148"/>
      <c r="H27" s="158"/>
    </row>
    <row r="28" spans="1:9" ht="22.5" customHeight="1" thickBot="1" x14ac:dyDescent="0.3">
      <c r="A28" s="47" t="s">
        <v>152</v>
      </c>
      <c r="B28" s="165">
        <f>SUMIF(HKM!A:A,"252*",HKM!C:C)-SUMIF(HKM!A:A,"252*",HKM!D:D)</f>
        <v>0</v>
      </c>
      <c r="C28" s="167">
        <f>SUMIF(HKM!A:A,"252*",HKM!J:J)</f>
        <v>0</v>
      </c>
      <c r="D28" s="167">
        <f>SUMIF(HKM!A:A,"252*",HKM!I:I)</f>
        <v>0</v>
      </c>
      <c r="E28" s="167"/>
      <c r="F28" s="161">
        <f>SUMIF(HKM!A:A,"252*",HKM!K:K)-SUMIF(HKM!A:A,"252*",HKM!L:L)</f>
        <v>0</v>
      </c>
      <c r="G28" s="148"/>
      <c r="H28" s="158"/>
    </row>
    <row r="29" spans="1:9" ht="22.5" customHeight="1" thickBot="1" x14ac:dyDescent="0.3">
      <c r="A29" s="47" t="s">
        <v>211</v>
      </c>
      <c r="B29" s="165">
        <f>SUMIF(HKM!A:A,"419*",HKM!D:D)-SUMIF(HKM!A:A,"419*",HKM!C:C)</f>
        <v>0</v>
      </c>
      <c r="C29" s="167">
        <f>SUMIF(HKM!A:A,"419*",HKM!J:J)</f>
        <v>0</v>
      </c>
      <c r="D29" s="167">
        <f>SUMIF(HKM!A:A,"419*",HKM!I:I)</f>
        <v>0</v>
      </c>
      <c r="E29" s="167"/>
      <c r="F29" s="161">
        <f>SUMIF(HKM!A:A,"419*",HKM!L:L)-SUMIF(HKM!A:A,"419*",HKM!K:K)</f>
        <v>0</v>
      </c>
      <c r="G29" s="148"/>
      <c r="H29" s="158"/>
    </row>
    <row r="30" spans="1:9" ht="22.5" customHeight="1" thickBot="1" x14ac:dyDescent="0.3">
      <c r="A30" s="47" t="s">
        <v>212</v>
      </c>
      <c r="B30" s="165">
        <f>SUMIF(HKM!A:A,"353*",HKM!C:C)-SUMIF(HKM!A:A,"353*",HKM!D:D)</f>
        <v>0</v>
      </c>
      <c r="C30" s="167">
        <f>SUMIF(HKM!A:A,"353*",HKM!J:J)</f>
        <v>0</v>
      </c>
      <c r="D30" s="167">
        <f>SUMIF(HKM!A:A,"353*",HKM!I:I)</f>
        <v>0</v>
      </c>
      <c r="E30" s="167"/>
      <c r="F30" s="161">
        <f>SUMIF(HKM!A:A,"353*",HKM!K:K)-SUMIF(HKM!A:A,"353*",HKM!L:L)</f>
        <v>0</v>
      </c>
      <c r="G30" s="148"/>
      <c r="H30" s="158"/>
    </row>
    <row r="31" spans="1:9" ht="22.5" customHeight="1" thickBot="1" x14ac:dyDescent="0.3">
      <c r="A31" s="47" t="s">
        <v>153</v>
      </c>
      <c r="B31" s="165">
        <f>SUMIF(HKM!A:A,"412*",HKM!D:D)-SUMIF(HKM!A:A,"412*",HKM!C:C)</f>
        <v>0</v>
      </c>
      <c r="C31" s="167">
        <f>SUMIF(HKM!A:A,"412*",HKM!J:J)</f>
        <v>0</v>
      </c>
      <c r="D31" s="167">
        <f>SUMIF(HKM!A:A,"412*",HKM!I:I)</f>
        <v>0</v>
      </c>
      <c r="E31" s="167"/>
      <c r="F31" s="161">
        <f>SUMIF(HKM!A:A,"412*",HKM!L:L)-SUMIF(HKM!A:A,"412*",HKM!K:K)</f>
        <v>0</v>
      </c>
      <c r="G31" s="148"/>
      <c r="H31" s="158"/>
    </row>
    <row r="32" spans="1:9" ht="22.5" customHeight="1" thickBot="1" x14ac:dyDescent="0.3">
      <c r="A32" s="47" t="s">
        <v>154</v>
      </c>
      <c r="B32" s="165">
        <f>SUMIF(HKM!A:A,"413*",HKM!D:D)-SUMIF(HKM!A:A,"413*",HKM!C:C)</f>
        <v>0</v>
      </c>
      <c r="C32" s="167">
        <f>SUMIF(HKM!A:A,"413*",HKM!J:J)</f>
        <v>0</v>
      </c>
      <c r="D32" s="167">
        <f>SUMIF(HKM!A:A,"413*",HKM!I:I)</f>
        <v>0</v>
      </c>
      <c r="E32" s="167"/>
      <c r="F32" s="161">
        <f>SUMIF(HKM!A:A,"413*",HKM!L:L)-SUMIF(HKM!A:A,"413*",HKM!K:K)</f>
        <v>0</v>
      </c>
      <c r="G32" s="148"/>
      <c r="H32" s="158"/>
    </row>
    <row r="33" spans="1:10" ht="22.5" customHeight="1" thickBot="1" x14ac:dyDescent="0.3">
      <c r="A33" s="47" t="s">
        <v>155</v>
      </c>
      <c r="B33" s="165">
        <f>SUMIF(HKM!A:A,"417*",HKM!D:D)-SUMIF(HKM!A:A,"417*",HKM!C:C)</f>
        <v>0</v>
      </c>
      <c r="C33" s="167">
        <f>SUMIF(HKM!A:A,"417*",HKM!J:J)</f>
        <v>0</v>
      </c>
      <c r="D33" s="167">
        <f>SUMIF(HKM!A:A,"417*",HKM!I:I)</f>
        <v>0</v>
      </c>
      <c r="E33" s="167"/>
      <c r="F33" s="161">
        <f>SUMIF(HKM!A:A,"417*",HKM!L:L)-SUMIF(HKM!A:A,"417*",HKM!K:K)</f>
        <v>0</v>
      </c>
      <c r="G33" s="148"/>
      <c r="H33" s="158"/>
    </row>
    <row r="34" spans="1:10" ht="22.5" customHeight="1" thickBot="1" x14ac:dyDescent="0.3">
      <c r="A34" s="75" t="s">
        <v>241</v>
      </c>
      <c r="B34" s="165">
        <f>SUMIF(HKM!A:A,"414*",HKM!D:D)-SUMIF(HKM!A:A,"414*",HKM!C:C)</f>
        <v>0</v>
      </c>
      <c r="C34" s="167">
        <f>SUMIF(HKM!A:A,"414*",HKM!J:J)</f>
        <v>0</v>
      </c>
      <c r="D34" s="167">
        <f>SUMIF(HKM!A:A,"414*",HKM!I:I)</f>
        <v>0</v>
      </c>
      <c r="E34" s="167"/>
      <c r="F34" s="161">
        <f>SUMIF(HKM!A:A,"414*",HKM!L:L)-SUMIF(HKM!A:A,"414*",HKM!K:K)</f>
        <v>0</v>
      </c>
      <c r="G34" s="148"/>
      <c r="H34" s="158"/>
    </row>
    <row r="35" spans="1:10" ht="22.5" customHeight="1" thickBot="1" x14ac:dyDescent="0.3">
      <c r="A35" s="47" t="s">
        <v>156</v>
      </c>
      <c r="B35" s="165">
        <f>SUMIF(HKM!A:A,"415*",HKM!D:D)-SUMIF(HKM!A:A,"415*",HKM!C:C)</f>
        <v>0</v>
      </c>
      <c r="C35" s="167">
        <f>SUMIF(HKM!A:A,"415*",HKM!J:J)</f>
        <v>0</v>
      </c>
      <c r="D35" s="167">
        <f>SUMIF(HKM!A:A,"415*",HKM!I:I)</f>
        <v>0</v>
      </c>
      <c r="E35" s="167"/>
      <c r="F35" s="161">
        <f>SUMIF(HKM!A:A,"415*",HKM!L:L)-SUMIF(HKM!A:A,"415*",HKM!K:K)</f>
        <v>0</v>
      </c>
      <c r="G35" s="148"/>
      <c r="H35" s="158"/>
    </row>
    <row r="36" spans="1:10" ht="22.5" customHeight="1" thickBot="1" x14ac:dyDescent="0.3">
      <c r="A36" s="47" t="s">
        <v>213</v>
      </c>
      <c r="B36" s="165">
        <f>SUMIF(HKM!A:A,"416*",HKM!D:D)-SUMIF(HKM!A:A,"416*",HKM!C:C)</f>
        <v>0</v>
      </c>
      <c r="C36" s="167">
        <f>SUMIF(HKM!A:A,"416*",HKM!J:J)</f>
        <v>0</v>
      </c>
      <c r="D36" s="167">
        <f>SUMIF(HKM!A:A,"416*",HKM!I:I)</f>
        <v>0</v>
      </c>
      <c r="E36" s="167"/>
      <c r="F36" s="161">
        <f>SUMIF(HKM!A:A,"416*",HKM!L:L)-SUMIF(HKM!A:A,"416*",HKM!K:K)</f>
        <v>0</v>
      </c>
      <c r="G36" s="148"/>
      <c r="H36" s="158"/>
    </row>
    <row r="37" spans="1:10" ht="22.5" customHeight="1" thickBot="1" x14ac:dyDescent="0.3">
      <c r="A37" s="47" t="s">
        <v>157</v>
      </c>
      <c r="B37" s="165">
        <f>SUMIF(HKM!A:A,"421*",HKM!D:D)-SUMIF(HKM!A:A,"421*",HKM!C:C)</f>
        <v>0</v>
      </c>
      <c r="C37" s="167">
        <f>SUMIF(HKM!A:A,"421*",HKM!J:J)</f>
        <v>0</v>
      </c>
      <c r="D37" s="167">
        <f>SUMIF(HKM!A:A,"421*",HKM!I:I)</f>
        <v>0</v>
      </c>
      <c r="E37" s="167"/>
      <c r="F37" s="161">
        <f>SUMIF(HKM!A:A,"421*",HKM!L:L)-SUMIF(HKM!A:A,"421*",HKM!K:K)</f>
        <v>0</v>
      </c>
      <c r="G37" s="148"/>
      <c r="H37" s="158"/>
    </row>
    <row r="38" spans="1:10" ht="22.5" customHeight="1" thickBot="1" x14ac:dyDescent="0.3">
      <c r="A38" s="47" t="s">
        <v>158</v>
      </c>
      <c r="B38" s="165">
        <f>SUMIF(HKM!A:A,"422*",HKM!D:D)-SUMIF(HKM!A:A,"422*",HKM!C:C)</f>
        <v>0</v>
      </c>
      <c r="C38" s="167">
        <f>SUMIF(HKM!A:A,"422*",HKM!J:J)</f>
        <v>0</v>
      </c>
      <c r="D38" s="167">
        <f>SUMIF(HKM!A:A,"422*",HKM!I:I)</f>
        <v>0</v>
      </c>
      <c r="E38" s="167"/>
      <c r="F38" s="161">
        <f>SUMIF(HKM!A:A,"422*",HKM!L:L)-SUMIF(HKM!A:A,"422*",HKM!K:K)</f>
        <v>0</v>
      </c>
      <c r="G38" s="148"/>
      <c r="H38" s="158"/>
    </row>
    <row r="39" spans="1:10" ht="22.5" customHeight="1" thickBot="1" x14ac:dyDescent="0.3">
      <c r="A39" s="47" t="s">
        <v>159</v>
      </c>
      <c r="B39" s="165">
        <f>SUMIF(HKM!A:A,"423*",HKM!D:D)-SUMIF(HKM!A:A,"423*",HKM!C:C)+SUMIF(HKM!A:A,"427*",HKM!D:D)-SUMIF(HKM!A:A,"427*",HKM!C:C)</f>
        <v>0</v>
      </c>
      <c r="C39" s="167">
        <f>SUMIF(HKM!A:A,"423*",HKM!J:J)</f>
        <v>0</v>
      </c>
      <c r="D39" s="167">
        <f>SUMIF(HKM!A:A,"423*",HKM!I:I)</f>
        <v>0</v>
      </c>
      <c r="E39" s="167"/>
      <c r="F39" s="161">
        <f>SUMIF(HKM!A:A,"423*",HKM!L:L)-SUMIF(HKM!A:A,"423*",HKM!K:K)+SUMIF(HKM!A:A,"427*",HKM!L:L)-SUMIF(HKM!A:A,"427*",HKM!K:K)</f>
        <v>0</v>
      </c>
      <c r="G39" s="148"/>
      <c r="H39" s="158"/>
      <c r="I39" s="110"/>
    </row>
    <row r="40" spans="1:10" ht="22.5" customHeight="1" thickBot="1" x14ac:dyDescent="0.3">
      <c r="A40" s="47" t="s">
        <v>160</v>
      </c>
      <c r="B40" s="165">
        <f>SUMIF(HKM!A:A,"428*",HKM!D:D)-SUMIF(HKM!A:A,"428*",HKM!C:C)</f>
        <v>0</v>
      </c>
      <c r="C40" s="167">
        <f>SUMIF(HKM!A:A,"428*",HKM!J:J)</f>
        <v>0</v>
      </c>
      <c r="D40" s="167">
        <f>SUMIF(HKM!A:A,"428*",HKM!I:I)</f>
        <v>0</v>
      </c>
      <c r="E40" s="167"/>
      <c r="F40" s="161">
        <f>SUMIF(HKM!A:A,"428*",HKM!L:L)-SUMIF(HKM!A:A,"428*",HKM!K:K)</f>
        <v>0</v>
      </c>
      <c r="G40" s="148"/>
      <c r="H40" s="158"/>
    </row>
    <row r="41" spans="1:10" ht="22.5" customHeight="1" thickBot="1" x14ac:dyDescent="0.3">
      <c r="A41" s="47" t="s">
        <v>214</v>
      </c>
      <c r="B41" s="165">
        <f>SUMIF(HKM!A:A,"429*",HKM!D:D)-SUMIF(HKM!A:A,"429*",HKM!C:C)</f>
        <v>-70905.460000000006</v>
      </c>
      <c r="C41" s="167">
        <f>SUMIF(HKM!A:A,"429*",HKM!J:J)</f>
        <v>-70366.880000000005</v>
      </c>
      <c r="D41" s="167">
        <f>SUMIF(HKM!A:A,"429*",HKM!I:I)</f>
        <v>0</v>
      </c>
      <c r="E41" s="167"/>
      <c r="F41" s="161">
        <f>SUMIF(HKM!A:A,"429*",HKM!L:L)-SUMIF(HKM!A:A,"429*",HKM!K:K)</f>
        <v>-141272.34000000003</v>
      </c>
      <c r="G41" s="148"/>
      <c r="H41" s="158"/>
    </row>
    <row r="42" spans="1:10" ht="22.5" customHeight="1" thickBot="1" x14ac:dyDescent="0.3">
      <c r="A42" s="47" t="s">
        <v>215</v>
      </c>
      <c r="B42" s="165">
        <f>SUMIF(SUPM!C:C,"087",SUPM!E:E)</f>
        <v>-70366.880000000005</v>
      </c>
      <c r="C42" s="167"/>
      <c r="D42" s="167"/>
      <c r="E42" s="167"/>
      <c r="F42" s="161">
        <f>SUMIF(SUPM!C:C,"087",SUPM!D:D)</f>
        <v>-90975.81</v>
      </c>
      <c r="G42" s="148"/>
      <c r="H42" s="158"/>
      <c r="J42" s="80"/>
    </row>
    <row r="43" spans="1:10" ht="22.5" customHeight="1" thickBot="1" x14ac:dyDescent="0.3">
      <c r="A43" s="47" t="s">
        <v>161</v>
      </c>
      <c r="B43" s="165">
        <f>SUMIF(HKM!A:A,"418*",HKM!D:D)-SUMIF(HKM!A:A,"418*",HKM!C:C)</f>
        <v>0</v>
      </c>
      <c r="C43" s="167">
        <f>SUMIF(HKM!A:A,"418*",HKM!J:J)</f>
        <v>0</v>
      </c>
      <c r="D43" s="167">
        <f>SUMIF(HKM!A:A,"418*",HKM!I:I)</f>
        <v>0</v>
      </c>
      <c r="E43" s="167"/>
      <c r="F43" s="161">
        <f>SUMIF(HKM!A:A,"418*",HKM!L:L)-SUMIF(HKM!A:A,"418*",HKM!K:K)</f>
        <v>0</v>
      </c>
      <c r="G43" s="148"/>
      <c r="H43" s="158"/>
    </row>
    <row r="44" spans="1:10" ht="22.5" customHeight="1" thickBot="1" x14ac:dyDescent="0.3">
      <c r="A44" s="48" t="s">
        <v>216</v>
      </c>
      <c r="B44" s="204">
        <f>SUMIF(HKM!A:A,"491*",HKM!D:D)-SUMIF(HKM!A:A,"491*",HKM!C:C)</f>
        <v>0</v>
      </c>
      <c r="C44" s="183">
        <f>SUMIF(HKM!A:A,"491*",HKM!J:J)</f>
        <v>0</v>
      </c>
      <c r="D44" s="183">
        <f>SUMIF(HKM!A:A,"491*",HKM!I:I)</f>
        <v>0</v>
      </c>
      <c r="E44" s="183"/>
      <c r="F44" s="152">
        <f>SUMIF(HKM!A:A,"491*",HKM!L:L)-SUMIF(HKM!A:A,"491*",HKM!K:K)</f>
        <v>0</v>
      </c>
      <c r="G44" s="148"/>
      <c r="H44" s="158"/>
    </row>
    <row r="45" spans="1:10" ht="12" thickTop="1" x14ac:dyDescent="0.25">
      <c r="B45" s="148"/>
      <c r="C45" s="148"/>
      <c r="D45" s="148"/>
      <c r="E45" s="148"/>
      <c r="F45" s="148"/>
      <c r="G45" s="148"/>
      <c r="H45" s="148"/>
    </row>
  </sheetData>
  <mergeCells count="4">
    <mergeCell ref="B3:F3"/>
    <mergeCell ref="A25:A26"/>
    <mergeCell ref="B25:F25"/>
    <mergeCell ref="A3:A4"/>
  </mergeCells>
  <pageMargins left="0.70866141732283472" right="0.70866141732283472" top="0.74803149606299213" bottom="0.74803149606299213" header="0.31496062992125984" footer="0.31496062992125984"/>
  <pageSetup paperSize="9" orientation="landscape" r:id="rId1"/>
  <rowBreaks count="1" manualBreakCount="1">
    <brk id="23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>
      <selection activeCell="A6" sqref="A6"/>
    </sheetView>
  </sheetViews>
  <sheetFormatPr defaultRowHeight="15" x14ac:dyDescent="0.25"/>
  <cols>
    <col min="1" max="1" width="32" customWidth="1"/>
  </cols>
  <sheetData>
    <row r="1" spans="1:2" x14ac:dyDescent="0.25">
      <c r="A1" t="s">
        <v>223</v>
      </c>
      <c r="B1" t="s">
        <v>229</v>
      </c>
    </row>
    <row r="2" spans="1:2" x14ac:dyDescent="0.25">
      <c r="A2" t="s">
        <v>224</v>
      </c>
      <c r="B2" t="s">
        <v>227</v>
      </c>
    </row>
    <row r="3" spans="1:2" x14ac:dyDescent="0.25">
      <c r="A3" t="s">
        <v>225</v>
      </c>
      <c r="B3" t="s">
        <v>228</v>
      </c>
    </row>
    <row r="4" spans="1:2" x14ac:dyDescent="0.25">
      <c r="A4" t="s">
        <v>226</v>
      </c>
      <c r="B4" t="s">
        <v>228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0000"/>
  </sheetPr>
  <dimension ref="A1:C7"/>
  <sheetViews>
    <sheetView showGridLines="0" tabSelected="1" zoomScaleNormal="100" workbookViewId="0">
      <selection activeCell="C8" sqref="C8"/>
    </sheetView>
  </sheetViews>
  <sheetFormatPr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1" t="s">
        <v>0</v>
      </c>
    </row>
    <row r="2" spans="1:3" ht="21.75" customHeight="1" thickTop="1" thickBot="1" x14ac:dyDescent="0.3">
      <c r="A2" s="9" t="s">
        <v>1</v>
      </c>
      <c r="B2" s="10" t="s">
        <v>2</v>
      </c>
      <c r="C2" s="10" t="s">
        <v>3</v>
      </c>
    </row>
    <row r="3" spans="1:3" ht="22.5" customHeight="1" thickTop="1" thickBot="1" x14ac:dyDescent="0.3">
      <c r="A3" s="11" t="s">
        <v>4</v>
      </c>
      <c r="B3" s="12">
        <v>5</v>
      </c>
      <c r="C3" s="12">
        <v>3</v>
      </c>
    </row>
    <row r="4" spans="1:3" ht="22.5" customHeight="1" thickBot="1" x14ac:dyDescent="0.3">
      <c r="A4" s="13" t="s">
        <v>5</v>
      </c>
      <c r="B4" s="14">
        <v>5</v>
      </c>
      <c r="C4" s="14">
        <v>3</v>
      </c>
    </row>
    <row r="5" spans="1:3" ht="22.5" customHeight="1" thickBot="1" x14ac:dyDescent="0.3">
      <c r="A5" s="15" t="s">
        <v>6</v>
      </c>
      <c r="B5" s="16">
        <v>1</v>
      </c>
      <c r="C5" s="16">
        <v>1</v>
      </c>
    </row>
    <row r="6" spans="1:3" ht="15.75" thickTop="1" x14ac:dyDescent="0.25"/>
    <row r="7" spans="1:3" x14ac:dyDescent="0.25">
      <c r="A7" s="233" t="s">
        <v>1335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222"/>
  <sheetViews>
    <sheetView workbookViewId="0">
      <selection activeCell="A2" sqref="A2"/>
    </sheetView>
  </sheetViews>
  <sheetFormatPr defaultRowHeight="15" x14ac:dyDescent="0.25"/>
  <cols>
    <col min="1" max="1" width="16.140625" style="100" customWidth="1"/>
    <col min="2" max="2" width="46.7109375" style="101" customWidth="1"/>
    <col min="3" max="3" width="15.28515625" style="102" customWidth="1"/>
    <col min="4" max="4" width="15.28515625" style="102" bestFit="1" customWidth="1"/>
    <col min="5" max="5" width="15.140625" style="102" customWidth="1"/>
    <col min="6" max="7" width="15.28515625" style="102" bestFit="1" customWidth="1"/>
    <col min="8" max="8" width="15.28515625" style="102" customWidth="1"/>
    <col min="9" max="11" width="15.28515625" style="102" bestFit="1" customWidth="1"/>
    <col min="12" max="12" width="14.85546875" style="102" customWidth="1"/>
    <col min="13" max="16384" width="9.140625" style="96"/>
  </cols>
  <sheetData>
    <row r="1" spans="1:12" ht="22.5" x14ac:dyDescent="0.25">
      <c r="A1" s="106" t="s">
        <v>239</v>
      </c>
      <c r="B1" s="107" t="s">
        <v>240</v>
      </c>
      <c r="C1" s="108" t="s">
        <v>242</v>
      </c>
      <c r="D1" s="108" t="s">
        <v>243</v>
      </c>
      <c r="E1" s="108" t="s">
        <v>244</v>
      </c>
      <c r="F1" s="108" t="s">
        <v>245</v>
      </c>
      <c r="G1" s="108" t="s">
        <v>246</v>
      </c>
      <c r="H1" s="108" t="s">
        <v>247</v>
      </c>
      <c r="I1" s="108" t="s">
        <v>248</v>
      </c>
      <c r="J1" s="108" t="s">
        <v>249</v>
      </c>
      <c r="K1" s="108" t="s">
        <v>250</v>
      </c>
      <c r="L1" s="108" t="s">
        <v>251</v>
      </c>
    </row>
    <row r="2" spans="1:12" x14ac:dyDescent="0.25">
      <c r="A2" s="97" t="s">
        <v>285</v>
      </c>
      <c r="B2" s="98" t="s">
        <v>286</v>
      </c>
      <c r="C2" s="99">
        <v>2419.9899999999998</v>
      </c>
      <c r="D2" s="99">
        <v>0</v>
      </c>
      <c r="E2" s="99">
        <v>2419.9899999999998</v>
      </c>
      <c r="F2" s="99">
        <v>0</v>
      </c>
      <c r="G2" s="99">
        <v>0</v>
      </c>
      <c r="H2" s="99">
        <v>0</v>
      </c>
      <c r="I2" s="99">
        <v>0</v>
      </c>
      <c r="J2" s="99">
        <v>0</v>
      </c>
      <c r="K2" s="99">
        <v>2419.9899999999998</v>
      </c>
      <c r="L2" s="99">
        <v>0</v>
      </c>
    </row>
    <row r="3" spans="1:12" x14ac:dyDescent="0.25">
      <c r="A3" s="97" t="s">
        <v>287</v>
      </c>
      <c r="B3" s="98" t="s">
        <v>28</v>
      </c>
      <c r="C3" s="99">
        <v>57355.95</v>
      </c>
      <c r="D3" s="99">
        <v>0</v>
      </c>
      <c r="E3" s="99">
        <v>57355.95</v>
      </c>
      <c r="F3" s="99">
        <v>0</v>
      </c>
      <c r="G3" s="99">
        <v>0</v>
      </c>
      <c r="H3" s="99">
        <v>0</v>
      </c>
      <c r="I3" s="99">
        <v>0</v>
      </c>
      <c r="J3" s="99">
        <v>0</v>
      </c>
      <c r="K3" s="99">
        <v>57355.95</v>
      </c>
      <c r="L3" s="99">
        <v>0</v>
      </c>
    </row>
    <row r="4" spans="1:12" x14ac:dyDescent="0.25">
      <c r="A4" s="97" t="s">
        <v>288</v>
      </c>
      <c r="B4" s="98" t="s">
        <v>289</v>
      </c>
      <c r="C4" s="99">
        <v>7691.25</v>
      </c>
      <c r="D4" s="99">
        <v>0</v>
      </c>
      <c r="E4" s="99">
        <v>7691.25</v>
      </c>
      <c r="F4" s="99">
        <v>0</v>
      </c>
      <c r="G4" s="99">
        <v>0</v>
      </c>
      <c r="H4" s="99">
        <v>0</v>
      </c>
      <c r="I4" s="99">
        <v>0</v>
      </c>
      <c r="J4" s="99">
        <v>0</v>
      </c>
      <c r="K4" s="99">
        <v>7691.25</v>
      </c>
      <c r="L4" s="99">
        <v>0</v>
      </c>
    </row>
    <row r="5" spans="1:12" x14ac:dyDescent="0.25">
      <c r="A5" s="97" t="s">
        <v>290</v>
      </c>
      <c r="B5" s="98" t="s">
        <v>291</v>
      </c>
      <c r="C5" s="99">
        <v>5031.0600000000004</v>
      </c>
      <c r="D5" s="99">
        <v>0</v>
      </c>
      <c r="E5" s="99">
        <v>5031.0600000000004</v>
      </c>
      <c r="F5" s="99">
        <v>0</v>
      </c>
      <c r="G5" s="99">
        <v>0</v>
      </c>
      <c r="H5" s="99">
        <v>0</v>
      </c>
      <c r="I5" s="99">
        <v>0</v>
      </c>
      <c r="J5" s="99">
        <v>0</v>
      </c>
      <c r="K5" s="99">
        <v>5031.0600000000004</v>
      </c>
      <c r="L5" s="99">
        <v>0</v>
      </c>
    </row>
    <row r="6" spans="1:12" x14ac:dyDescent="0.25">
      <c r="A6" s="97" t="s">
        <v>292</v>
      </c>
      <c r="B6" s="98" t="s">
        <v>293</v>
      </c>
      <c r="C6" s="99">
        <v>8172.19</v>
      </c>
      <c r="D6" s="99">
        <v>0</v>
      </c>
      <c r="E6" s="99">
        <v>8172.19</v>
      </c>
      <c r="F6" s="99">
        <v>0</v>
      </c>
      <c r="G6" s="99">
        <v>0</v>
      </c>
      <c r="H6" s="99">
        <v>0</v>
      </c>
      <c r="I6" s="99">
        <v>0</v>
      </c>
      <c r="J6" s="99">
        <v>0</v>
      </c>
      <c r="K6" s="99">
        <v>8172.19</v>
      </c>
      <c r="L6" s="99">
        <v>0</v>
      </c>
    </row>
    <row r="7" spans="1:12" x14ac:dyDescent="0.25">
      <c r="A7" s="97" t="s">
        <v>294</v>
      </c>
      <c r="B7" s="98" t="s">
        <v>295</v>
      </c>
      <c r="C7" s="99">
        <v>2738.82</v>
      </c>
      <c r="D7" s="99">
        <v>0</v>
      </c>
      <c r="E7" s="99">
        <v>2738.82</v>
      </c>
      <c r="F7" s="99">
        <v>0</v>
      </c>
      <c r="G7" s="99">
        <v>0</v>
      </c>
      <c r="H7" s="99">
        <v>0</v>
      </c>
      <c r="I7" s="99">
        <v>0</v>
      </c>
      <c r="J7" s="99">
        <v>0</v>
      </c>
      <c r="K7" s="99">
        <v>2738.82</v>
      </c>
      <c r="L7" s="99">
        <v>0</v>
      </c>
    </row>
    <row r="8" spans="1:12" x14ac:dyDescent="0.25">
      <c r="A8" s="97" t="s">
        <v>296</v>
      </c>
      <c r="B8" s="98" t="s">
        <v>297</v>
      </c>
      <c r="C8" s="99">
        <v>0</v>
      </c>
      <c r="D8" s="99">
        <v>408</v>
      </c>
      <c r="E8" s="99">
        <v>0</v>
      </c>
      <c r="F8" s="99">
        <v>969</v>
      </c>
      <c r="G8" s="99">
        <v>0</v>
      </c>
      <c r="H8" s="99">
        <v>51</v>
      </c>
      <c r="I8" s="99">
        <v>0</v>
      </c>
      <c r="J8" s="99">
        <v>612</v>
      </c>
      <c r="K8" s="99">
        <v>0</v>
      </c>
      <c r="L8" s="99">
        <v>1020</v>
      </c>
    </row>
    <row r="9" spans="1:12" x14ac:dyDescent="0.25">
      <c r="A9" s="97" t="s">
        <v>298</v>
      </c>
      <c r="B9" s="98" t="s">
        <v>299</v>
      </c>
      <c r="C9" s="99">
        <v>0</v>
      </c>
      <c r="D9" s="99">
        <v>1911.92</v>
      </c>
      <c r="E9" s="99">
        <v>0</v>
      </c>
      <c r="F9" s="99">
        <v>4540.8100000000004</v>
      </c>
      <c r="G9" s="99">
        <v>0</v>
      </c>
      <c r="H9" s="99">
        <v>238.99</v>
      </c>
      <c r="I9" s="99">
        <v>0</v>
      </c>
      <c r="J9" s="99">
        <v>2867.88</v>
      </c>
      <c r="K9" s="99">
        <v>0</v>
      </c>
      <c r="L9" s="99">
        <v>4779.8</v>
      </c>
    </row>
    <row r="10" spans="1:12" x14ac:dyDescent="0.25">
      <c r="A10" s="97" t="s">
        <v>300</v>
      </c>
      <c r="B10" s="98" t="s">
        <v>301</v>
      </c>
      <c r="C10" s="99">
        <v>0</v>
      </c>
      <c r="D10" s="99">
        <v>1171.8399999999999</v>
      </c>
      <c r="E10" s="99">
        <v>0</v>
      </c>
      <c r="F10" s="99">
        <v>2934.59</v>
      </c>
      <c r="G10" s="99">
        <v>0</v>
      </c>
      <c r="H10" s="99">
        <v>160.25</v>
      </c>
      <c r="I10" s="99">
        <v>0</v>
      </c>
      <c r="J10" s="99">
        <v>1923</v>
      </c>
      <c r="K10" s="99">
        <v>0</v>
      </c>
      <c r="L10" s="99">
        <v>3094.84</v>
      </c>
    </row>
    <row r="11" spans="1:12" x14ac:dyDescent="0.25">
      <c r="A11" s="97" t="s">
        <v>302</v>
      </c>
      <c r="B11" s="98" t="s">
        <v>303</v>
      </c>
      <c r="C11" s="99">
        <v>0</v>
      </c>
      <c r="D11" s="99">
        <v>559.04</v>
      </c>
      <c r="E11" s="99">
        <v>0</v>
      </c>
      <c r="F11" s="99">
        <v>1327.72</v>
      </c>
      <c r="G11" s="99">
        <v>0</v>
      </c>
      <c r="H11" s="99">
        <v>69.88</v>
      </c>
      <c r="I11" s="99">
        <v>0</v>
      </c>
      <c r="J11" s="99">
        <v>838.56</v>
      </c>
      <c r="K11" s="99">
        <v>0</v>
      </c>
      <c r="L11" s="99">
        <v>1397.6</v>
      </c>
    </row>
    <row r="12" spans="1:12" x14ac:dyDescent="0.25">
      <c r="A12" s="97" t="s">
        <v>304</v>
      </c>
      <c r="B12" s="98" t="s">
        <v>305</v>
      </c>
      <c r="C12" s="99">
        <v>0</v>
      </c>
      <c r="D12" s="99">
        <v>908.08</v>
      </c>
      <c r="E12" s="99">
        <v>0</v>
      </c>
      <c r="F12" s="99">
        <v>2156.69</v>
      </c>
      <c r="G12" s="99">
        <v>0</v>
      </c>
      <c r="H12" s="99">
        <v>113.51</v>
      </c>
      <c r="I12" s="99">
        <v>0</v>
      </c>
      <c r="J12" s="99">
        <v>1362.12</v>
      </c>
      <c r="K12" s="99">
        <v>0</v>
      </c>
      <c r="L12" s="99">
        <v>2270.1999999999998</v>
      </c>
    </row>
    <row r="13" spans="1:12" x14ac:dyDescent="0.25">
      <c r="A13" s="97" t="s">
        <v>306</v>
      </c>
      <c r="B13" s="98" t="s">
        <v>307</v>
      </c>
      <c r="C13" s="99">
        <v>0</v>
      </c>
      <c r="D13" s="99">
        <v>869.82</v>
      </c>
      <c r="E13" s="99">
        <v>0</v>
      </c>
      <c r="F13" s="99">
        <v>2125.25</v>
      </c>
      <c r="G13" s="99">
        <v>0</v>
      </c>
      <c r="H13" s="99">
        <v>114.13</v>
      </c>
      <c r="I13" s="99">
        <v>0</v>
      </c>
      <c r="J13" s="99">
        <v>1369.56</v>
      </c>
      <c r="K13" s="99">
        <v>0</v>
      </c>
      <c r="L13" s="99">
        <v>2239.38</v>
      </c>
    </row>
    <row r="14" spans="1:12" x14ac:dyDescent="0.25">
      <c r="A14" s="97" t="s">
        <v>308</v>
      </c>
      <c r="B14" s="98" t="s">
        <v>309</v>
      </c>
      <c r="C14" s="99">
        <v>0</v>
      </c>
      <c r="D14" s="99">
        <v>0</v>
      </c>
      <c r="E14" s="99">
        <v>0</v>
      </c>
      <c r="F14" s="99">
        <v>0</v>
      </c>
      <c r="G14" s="99">
        <v>0</v>
      </c>
      <c r="H14" s="99">
        <v>3293</v>
      </c>
      <c r="I14" s="99">
        <v>0</v>
      </c>
      <c r="J14" s="99">
        <v>3293</v>
      </c>
      <c r="K14" s="99">
        <v>-3293</v>
      </c>
      <c r="L14" s="99">
        <v>0</v>
      </c>
    </row>
    <row r="15" spans="1:12" x14ac:dyDescent="0.25">
      <c r="A15" s="97" t="s">
        <v>310</v>
      </c>
      <c r="B15" s="98" t="s">
        <v>311</v>
      </c>
      <c r="C15" s="99">
        <v>0</v>
      </c>
      <c r="D15" s="99">
        <v>0</v>
      </c>
      <c r="E15" s="99">
        <v>0</v>
      </c>
      <c r="F15" s="99">
        <v>0</v>
      </c>
      <c r="G15" s="99">
        <v>12.15</v>
      </c>
      <c r="H15" s="99">
        <v>12.15</v>
      </c>
      <c r="I15" s="99">
        <v>472.11</v>
      </c>
      <c r="J15" s="99">
        <v>472.11</v>
      </c>
      <c r="K15" s="99">
        <v>0</v>
      </c>
      <c r="L15" s="99">
        <v>0</v>
      </c>
    </row>
    <row r="16" spans="1:12" x14ac:dyDescent="0.25">
      <c r="A16" s="97" t="s">
        <v>312</v>
      </c>
      <c r="B16" s="98" t="s">
        <v>313</v>
      </c>
      <c r="C16" s="99">
        <v>0</v>
      </c>
      <c r="D16" s="99">
        <v>0</v>
      </c>
      <c r="E16" s="99">
        <v>340.35</v>
      </c>
      <c r="F16" s="99">
        <v>0</v>
      </c>
      <c r="G16" s="99">
        <v>-331.76</v>
      </c>
      <c r="H16" s="99">
        <v>8.59</v>
      </c>
      <c r="I16" s="99">
        <v>128.19999999999999</v>
      </c>
      <c r="J16" s="99">
        <v>128.19999999999999</v>
      </c>
      <c r="K16" s="99">
        <v>0</v>
      </c>
      <c r="L16" s="99">
        <v>0</v>
      </c>
    </row>
    <row r="17" spans="1:12" x14ac:dyDescent="0.25">
      <c r="A17" s="97" t="s">
        <v>314</v>
      </c>
      <c r="B17" s="98" t="s">
        <v>315</v>
      </c>
      <c r="C17" s="99">
        <v>0</v>
      </c>
      <c r="D17" s="99">
        <v>0</v>
      </c>
      <c r="E17" s="99">
        <v>0</v>
      </c>
      <c r="F17" s="99">
        <v>0</v>
      </c>
      <c r="G17" s="99">
        <v>37799.33</v>
      </c>
      <c r="H17" s="99">
        <v>37799.33</v>
      </c>
      <c r="I17" s="99">
        <v>384262.44</v>
      </c>
      <c r="J17" s="99">
        <v>384262.44</v>
      </c>
      <c r="K17" s="99">
        <v>0</v>
      </c>
      <c r="L17" s="99">
        <v>0</v>
      </c>
    </row>
    <row r="18" spans="1:12" x14ac:dyDescent="0.25">
      <c r="A18" s="97" t="s">
        <v>316</v>
      </c>
      <c r="B18" s="98" t="s">
        <v>317</v>
      </c>
      <c r="C18" s="99">
        <v>0</v>
      </c>
      <c r="D18" s="99">
        <v>0</v>
      </c>
      <c r="E18" s="99">
        <v>1.5</v>
      </c>
      <c r="F18" s="99">
        <v>0</v>
      </c>
      <c r="G18" s="99">
        <v>-1.5</v>
      </c>
      <c r="H18" s="99">
        <v>0</v>
      </c>
      <c r="I18" s="99">
        <v>1.51</v>
      </c>
      <c r="J18" s="99">
        <v>1.51</v>
      </c>
      <c r="K18" s="99">
        <v>0</v>
      </c>
      <c r="L18" s="99">
        <v>0</v>
      </c>
    </row>
    <row r="19" spans="1:12" x14ac:dyDescent="0.25">
      <c r="A19" s="97" t="s">
        <v>318</v>
      </c>
      <c r="B19" s="98" t="s">
        <v>319</v>
      </c>
      <c r="C19" s="99">
        <v>39920.660000000003</v>
      </c>
      <c r="D19" s="99">
        <v>0</v>
      </c>
      <c r="E19" s="99">
        <v>45692.86</v>
      </c>
      <c r="F19" s="99">
        <v>0</v>
      </c>
      <c r="G19" s="99">
        <v>38306.29</v>
      </c>
      <c r="H19" s="99">
        <v>45284.36</v>
      </c>
      <c r="I19" s="99">
        <v>385238.31</v>
      </c>
      <c r="J19" s="99">
        <v>386444.18</v>
      </c>
      <c r="K19" s="99">
        <v>38714.79</v>
      </c>
      <c r="L19" s="99">
        <v>0</v>
      </c>
    </row>
    <row r="20" spans="1:12" x14ac:dyDescent="0.25">
      <c r="A20" s="97" t="s">
        <v>320</v>
      </c>
      <c r="B20" s="98" t="s">
        <v>321</v>
      </c>
      <c r="C20" s="99">
        <v>-424.92</v>
      </c>
      <c r="D20" s="99">
        <v>0</v>
      </c>
      <c r="E20" s="99">
        <v>484.12</v>
      </c>
      <c r="F20" s="99">
        <v>0</v>
      </c>
      <c r="G20" s="99">
        <v>42.63</v>
      </c>
      <c r="H20" s="99">
        <v>484.12</v>
      </c>
      <c r="I20" s="99">
        <v>7842.37</v>
      </c>
      <c r="J20" s="99">
        <v>7374.82</v>
      </c>
      <c r="K20" s="99">
        <v>42.63</v>
      </c>
      <c r="L20" s="99">
        <v>0</v>
      </c>
    </row>
    <row r="21" spans="1:12" x14ac:dyDescent="0.25">
      <c r="A21" s="97" t="s">
        <v>322</v>
      </c>
      <c r="B21" s="98" t="s">
        <v>323</v>
      </c>
      <c r="C21" s="99">
        <v>0</v>
      </c>
      <c r="D21" s="99">
        <v>123.19</v>
      </c>
      <c r="E21" s="99">
        <v>0</v>
      </c>
      <c r="F21" s="99">
        <v>12.83</v>
      </c>
      <c r="G21" s="99">
        <v>12.83</v>
      </c>
      <c r="H21" s="99">
        <v>24.43</v>
      </c>
      <c r="I21" s="99">
        <v>1374.48</v>
      </c>
      <c r="J21" s="99">
        <v>1275.72</v>
      </c>
      <c r="K21" s="99">
        <v>0</v>
      </c>
      <c r="L21" s="99">
        <v>24.43</v>
      </c>
    </row>
    <row r="22" spans="1:12" x14ac:dyDescent="0.25">
      <c r="A22" s="97" t="s">
        <v>324</v>
      </c>
      <c r="B22" s="98" t="s">
        <v>325</v>
      </c>
      <c r="C22" s="99">
        <v>0</v>
      </c>
      <c r="D22" s="99">
        <v>292.79000000000002</v>
      </c>
      <c r="E22" s="99">
        <v>0</v>
      </c>
      <c r="F22" s="99">
        <v>203.32</v>
      </c>
      <c r="G22" s="99">
        <v>0</v>
      </c>
      <c r="H22" s="99">
        <v>-48.54</v>
      </c>
      <c r="I22" s="99">
        <v>544.23</v>
      </c>
      <c r="J22" s="99">
        <v>406.22</v>
      </c>
      <c r="K22" s="99">
        <v>0</v>
      </c>
      <c r="L22" s="99">
        <v>154.78</v>
      </c>
    </row>
    <row r="23" spans="1:12" x14ac:dyDescent="0.25">
      <c r="A23" s="97" t="s">
        <v>326</v>
      </c>
      <c r="B23" s="98" t="s">
        <v>327</v>
      </c>
      <c r="C23" s="99">
        <v>51.55</v>
      </c>
      <c r="D23" s="99">
        <v>0</v>
      </c>
      <c r="E23" s="99">
        <v>22.25</v>
      </c>
      <c r="F23" s="99">
        <v>0</v>
      </c>
      <c r="G23" s="99">
        <v>0</v>
      </c>
      <c r="H23" s="99">
        <v>0</v>
      </c>
      <c r="I23" s="99">
        <v>0</v>
      </c>
      <c r="J23" s="99">
        <v>29.3</v>
      </c>
      <c r="K23" s="99">
        <v>22.25</v>
      </c>
      <c r="L23" s="99">
        <v>0</v>
      </c>
    </row>
    <row r="24" spans="1:12" x14ac:dyDescent="0.25">
      <c r="A24" s="97" t="s">
        <v>328</v>
      </c>
      <c r="B24" s="98" t="s">
        <v>329</v>
      </c>
      <c r="C24" s="99">
        <v>8065.73</v>
      </c>
      <c r="D24" s="99">
        <v>0</v>
      </c>
      <c r="E24" s="99">
        <v>4460.6899999999996</v>
      </c>
      <c r="F24" s="99">
        <v>0</v>
      </c>
      <c r="G24" s="99">
        <v>46825.84</v>
      </c>
      <c r="H24" s="99">
        <v>47913.74</v>
      </c>
      <c r="I24" s="99">
        <v>366432.54</v>
      </c>
      <c r="J24" s="99">
        <v>371125.48</v>
      </c>
      <c r="K24" s="99">
        <v>3372.79</v>
      </c>
      <c r="L24" s="99">
        <v>0</v>
      </c>
    </row>
    <row r="25" spans="1:12" x14ac:dyDescent="0.25">
      <c r="A25" s="97" t="s">
        <v>330</v>
      </c>
      <c r="B25" s="98" t="s">
        <v>331</v>
      </c>
      <c r="C25" s="99">
        <v>0</v>
      </c>
      <c r="D25" s="99">
        <v>0</v>
      </c>
      <c r="E25" s="99">
        <v>0</v>
      </c>
      <c r="F25" s="99">
        <v>0</v>
      </c>
      <c r="G25" s="99">
        <v>221.1</v>
      </c>
      <c r="H25" s="99">
        <v>221.1</v>
      </c>
      <c r="I25" s="99">
        <v>2877.6</v>
      </c>
      <c r="J25" s="99">
        <v>2877.6</v>
      </c>
      <c r="K25" s="99">
        <v>0</v>
      </c>
      <c r="L25" s="99">
        <v>0</v>
      </c>
    </row>
    <row r="26" spans="1:12" x14ac:dyDescent="0.25">
      <c r="A26" s="97" t="s">
        <v>332</v>
      </c>
      <c r="B26" s="98" t="s">
        <v>333</v>
      </c>
      <c r="C26" s="99">
        <v>0</v>
      </c>
      <c r="D26" s="99">
        <v>0</v>
      </c>
      <c r="E26" s="99">
        <v>0</v>
      </c>
      <c r="F26" s="99">
        <v>0</v>
      </c>
      <c r="G26" s="99">
        <v>0</v>
      </c>
      <c r="H26" s="99">
        <v>0</v>
      </c>
      <c r="I26" s="99">
        <v>477692.34</v>
      </c>
      <c r="J26" s="99">
        <v>477692.34</v>
      </c>
      <c r="K26" s="99">
        <v>0</v>
      </c>
      <c r="L26" s="99">
        <v>0</v>
      </c>
    </row>
    <row r="27" spans="1:12" x14ac:dyDescent="0.25">
      <c r="A27" s="97" t="s">
        <v>334</v>
      </c>
      <c r="B27" s="98" t="s">
        <v>335</v>
      </c>
      <c r="C27" s="99">
        <v>0</v>
      </c>
      <c r="D27" s="99">
        <v>0</v>
      </c>
      <c r="E27" s="99">
        <v>0</v>
      </c>
      <c r="F27" s="99">
        <v>0</v>
      </c>
      <c r="G27" s="99">
        <v>91663.57</v>
      </c>
      <c r="H27" s="99">
        <v>91663.57</v>
      </c>
      <c r="I27" s="99">
        <v>549937.61</v>
      </c>
      <c r="J27" s="99">
        <v>549937.61</v>
      </c>
      <c r="K27" s="99">
        <v>0</v>
      </c>
      <c r="L27" s="99">
        <v>0</v>
      </c>
    </row>
    <row r="28" spans="1:12" x14ac:dyDescent="0.25">
      <c r="A28" s="97" t="s">
        <v>336</v>
      </c>
      <c r="B28" s="98" t="s">
        <v>337</v>
      </c>
      <c r="C28" s="99">
        <v>0</v>
      </c>
      <c r="D28" s="99">
        <v>0</v>
      </c>
      <c r="E28" s="99">
        <v>0</v>
      </c>
      <c r="F28" s="99">
        <v>0</v>
      </c>
      <c r="G28" s="99">
        <v>38550</v>
      </c>
      <c r="H28" s="99">
        <v>38550</v>
      </c>
      <c r="I28" s="99">
        <v>306370</v>
      </c>
      <c r="J28" s="99">
        <v>306370</v>
      </c>
      <c r="K28" s="99">
        <v>0</v>
      </c>
      <c r="L28" s="99">
        <v>0</v>
      </c>
    </row>
    <row r="29" spans="1:12" x14ac:dyDescent="0.25">
      <c r="A29" s="97" t="s">
        <v>338</v>
      </c>
      <c r="B29" s="98" t="s">
        <v>339</v>
      </c>
      <c r="C29" s="99">
        <v>11162.41</v>
      </c>
      <c r="D29" s="99">
        <v>0</v>
      </c>
      <c r="E29" s="99">
        <v>14656.49</v>
      </c>
      <c r="F29" s="99">
        <v>0</v>
      </c>
      <c r="G29" s="99">
        <v>7717.93</v>
      </c>
      <c r="H29" s="99">
        <v>7872.41</v>
      </c>
      <c r="I29" s="99">
        <v>72189.119999999995</v>
      </c>
      <c r="J29" s="99">
        <v>68849.52</v>
      </c>
      <c r="K29" s="99">
        <v>14502.01</v>
      </c>
      <c r="L29" s="99">
        <v>0</v>
      </c>
    </row>
    <row r="30" spans="1:12" x14ac:dyDescent="0.25">
      <c r="A30" s="97" t="s">
        <v>340</v>
      </c>
      <c r="B30" s="98" t="s">
        <v>341</v>
      </c>
      <c r="C30" s="99">
        <v>13359.36</v>
      </c>
      <c r="D30" s="99">
        <v>0</v>
      </c>
      <c r="E30" s="99">
        <v>14012.66</v>
      </c>
      <c r="F30" s="99">
        <v>0</v>
      </c>
      <c r="G30" s="99">
        <v>6896.08</v>
      </c>
      <c r="H30" s="99">
        <v>7248.71</v>
      </c>
      <c r="I30" s="99">
        <v>76357.759999999995</v>
      </c>
      <c r="J30" s="99">
        <v>76057.09</v>
      </c>
      <c r="K30" s="99">
        <v>13660.03</v>
      </c>
      <c r="L30" s="99">
        <v>0</v>
      </c>
    </row>
    <row r="31" spans="1:12" x14ac:dyDescent="0.25">
      <c r="A31" s="97" t="s">
        <v>342</v>
      </c>
      <c r="B31" s="98" t="s">
        <v>343</v>
      </c>
      <c r="C31" s="99">
        <v>15212.39</v>
      </c>
      <c r="D31" s="99">
        <v>0</v>
      </c>
      <c r="E31" s="99">
        <v>0</v>
      </c>
      <c r="F31" s="99">
        <v>0</v>
      </c>
      <c r="G31" s="99">
        <v>24600.35</v>
      </c>
      <c r="H31" s="99">
        <v>0</v>
      </c>
      <c r="I31" s="99">
        <v>33438.46</v>
      </c>
      <c r="J31" s="99">
        <v>24050.5</v>
      </c>
      <c r="K31" s="99">
        <v>24600.35</v>
      </c>
      <c r="L31" s="99">
        <v>0</v>
      </c>
    </row>
    <row r="32" spans="1:12" x14ac:dyDescent="0.25">
      <c r="A32" s="97" t="s">
        <v>344</v>
      </c>
      <c r="B32" s="98" t="s">
        <v>345</v>
      </c>
      <c r="C32" s="99">
        <v>30.89</v>
      </c>
      <c r="D32" s="99">
        <v>0</v>
      </c>
      <c r="E32" s="99">
        <v>191.59</v>
      </c>
      <c r="F32" s="99">
        <v>0</v>
      </c>
      <c r="G32" s="99">
        <v>357.95</v>
      </c>
      <c r="H32" s="99">
        <v>244.29</v>
      </c>
      <c r="I32" s="99">
        <v>5139.51</v>
      </c>
      <c r="J32" s="99">
        <v>4865.1499999999996</v>
      </c>
      <c r="K32" s="99">
        <v>305.25</v>
      </c>
      <c r="L32" s="99">
        <v>0</v>
      </c>
    </row>
    <row r="33" spans="1:12" x14ac:dyDescent="0.25">
      <c r="A33" s="97" t="s">
        <v>346</v>
      </c>
      <c r="B33" s="98" t="s">
        <v>347</v>
      </c>
      <c r="C33" s="99">
        <v>223.91</v>
      </c>
      <c r="D33" s="99">
        <v>0</v>
      </c>
      <c r="E33" s="99">
        <v>0</v>
      </c>
      <c r="F33" s="99">
        <v>0</v>
      </c>
      <c r="G33" s="99">
        <v>0</v>
      </c>
      <c r="H33" s="99">
        <v>0</v>
      </c>
      <c r="I33" s="99">
        <v>2042.6</v>
      </c>
      <c r="J33" s="99">
        <v>2266.5100000000002</v>
      </c>
      <c r="K33" s="99">
        <v>0</v>
      </c>
      <c r="L33" s="99">
        <v>0</v>
      </c>
    </row>
    <row r="34" spans="1:12" x14ac:dyDescent="0.25">
      <c r="A34" s="97" t="s">
        <v>348</v>
      </c>
      <c r="B34" s="98" t="s">
        <v>349</v>
      </c>
      <c r="C34" s="99">
        <v>0</v>
      </c>
      <c r="D34" s="99">
        <v>0</v>
      </c>
      <c r="E34" s="99">
        <v>0</v>
      </c>
      <c r="F34" s="99">
        <v>0</v>
      </c>
      <c r="G34" s="99">
        <v>0</v>
      </c>
      <c r="H34" s="99">
        <v>0</v>
      </c>
      <c r="I34" s="99">
        <v>391.01</v>
      </c>
      <c r="J34" s="99">
        <v>391.01</v>
      </c>
      <c r="K34" s="99">
        <v>0</v>
      </c>
      <c r="L34" s="99">
        <v>0</v>
      </c>
    </row>
    <row r="35" spans="1:12" x14ac:dyDescent="0.25">
      <c r="A35" s="97" t="s">
        <v>350</v>
      </c>
      <c r="B35" s="98" t="s">
        <v>351</v>
      </c>
      <c r="C35" s="99">
        <v>8311.2000000000007</v>
      </c>
      <c r="D35" s="99">
        <v>0</v>
      </c>
      <c r="E35" s="99">
        <v>8311.2000000000007</v>
      </c>
      <c r="F35" s="99">
        <v>0</v>
      </c>
      <c r="G35" s="99">
        <v>0</v>
      </c>
      <c r="H35" s="99">
        <v>0</v>
      </c>
      <c r="I35" s="99">
        <v>0</v>
      </c>
      <c r="J35" s="99">
        <v>0</v>
      </c>
      <c r="K35" s="99">
        <v>8311.2000000000007</v>
      </c>
      <c r="L35" s="99">
        <v>0</v>
      </c>
    </row>
    <row r="36" spans="1:12" x14ac:dyDescent="0.25">
      <c r="A36" s="97" t="s">
        <v>352</v>
      </c>
      <c r="B36" s="98" t="s">
        <v>353</v>
      </c>
      <c r="C36" s="99">
        <v>0</v>
      </c>
      <c r="D36" s="99">
        <v>0</v>
      </c>
      <c r="E36" s="99">
        <v>0</v>
      </c>
      <c r="F36" s="99">
        <v>0</v>
      </c>
      <c r="G36" s="99">
        <v>20500.29</v>
      </c>
      <c r="H36" s="99">
        <v>20500.29</v>
      </c>
      <c r="I36" s="99">
        <v>20500.29</v>
      </c>
      <c r="J36" s="99">
        <v>20500.29</v>
      </c>
      <c r="K36" s="99">
        <v>0</v>
      </c>
      <c r="L36" s="99">
        <v>0</v>
      </c>
    </row>
    <row r="37" spans="1:12" x14ac:dyDescent="0.25">
      <c r="A37" s="97" t="s">
        <v>354</v>
      </c>
      <c r="B37" s="98" t="s">
        <v>355</v>
      </c>
      <c r="C37" s="99">
        <v>4250</v>
      </c>
      <c r="D37" s="99">
        <v>0</v>
      </c>
      <c r="E37" s="99">
        <v>0</v>
      </c>
      <c r="F37" s="99">
        <v>0</v>
      </c>
      <c r="G37" s="99">
        <v>0</v>
      </c>
      <c r="H37" s="99">
        <v>0</v>
      </c>
      <c r="I37" s="99">
        <v>0</v>
      </c>
      <c r="J37" s="99">
        <v>4250</v>
      </c>
      <c r="K37" s="99">
        <v>0</v>
      </c>
      <c r="L37" s="99">
        <v>0</v>
      </c>
    </row>
    <row r="38" spans="1:12" x14ac:dyDescent="0.25">
      <c r="A38" s="97" t="s">
        <v>356</v>
      </c>
      <c r="B38" s="98" t="s">
        <v>357</v>
      </c>
      <c r="C38" s="99">
        <v>203.78</v>
      </c>
      <c r="D38" s="99">
        <v>0</v>
      </c>
      <c r="E38" s="99">
        <v>428.9</v>
      </c>
      <c r="F38" s="99">
        <v>0</v>
      </c>
      <c r="G38" s="99">
        <v>9033.98</v>
      </c>
      <c r="H38" s="99">
        <v>8800.16</v>
      </c>
      <c r="I38" s="99">
        <v>61770.94</v>
      </c>
      <c r="J38" s="99">
        <v>61312</v>
      </c>
      <c r="K38" s="99">
        <v>662.72</v>
      </c>
      <c r="L38" s="99">
        <v>0</v>
      </c>
    </row>
    <row r="39" spans="1:12" x14ac:dyDescent="0.25">
      <c r="A39" s="97" t="s">
        <v>358</v>
      </c>
      <c r="B39" s="98" t="s">
        <v>359</v>
      </c>
      <c r="C39" s="99">
        <v>265.39</v>
      </c>
      <c r="D39" s="99">
        <v>0</v>
      </c>
      <c r="E39" s="99">
        <v>379.98</v>
      </c>
      <c r="F39" s="99">
        <v>0</v>
      </c>
      <c r="G39" s="99">
        <v>277.52999999999997</v>
      </c>
      <c r="H39" s="99">
        <v>59.17</v>
      </c>
      <c r="I39" s="99">
        <v>1428.98</v>
      </c>
      <c r="J39" s="99">
        <v>1096.03</v>
      </c>
      <c r="K39" s="99">
        <v>598.34</v>
      </c>
      <c r="L39" s="99">
        <v>0</v>
      </c>
    </row>
    <row r="40" spans="1:12" x14ac:dyDescent="0.25">
      <c r="A40" s="97" t="s">
        <v>360</v>
      </c>
      <c r="B40" s="98" t="s">
        <v>361</v>
      </c>
      <c r="C40" s="99">
        <v>0</v>
      </c>
      <c r="D40" s="99">
        <v>0</v>
      </c>
      <c r="E40" s="99">
        <v>0</v>
      </c>
      <c r="F40" s="99">
        <v>0</v>
      </c>
      <c r="G40" s="99">
        <v>0</v>
      </c>
      <c r="H40" s="99">
        <v>0</v>
      </c>
      <c r="I40" s="99">
        <v>0</v>
      </c>
      <c r="J40" s="99">
        <v>0</v>
      </c>
      <c r="K40" s="99">
        <v>0</v>
      </c>
      <c r="L40" s="99">
        <v>0</v>
      </c>
    </row>
    <row r="41" spans="1:12" x14ac:dyDescent="0.25">
      <c r="A41" s="97" t="s">
        <v>362</v>
      </c>
      <c r="B41" s="98" t="s">
        <v>363</v>
      </c>
      <c r="C41" s="99">
        <v>0</v>
      </c>
      <c r="D41" s="99">
        <v>99178.66</v>
      </c>
      <c r="E41" s="99">
        <v>0</v>
      </c>
      <c r="F41" s="99">
        <v>121681.1</v>
      </c>
      <c r="G41" s="99">
        <v>45101.3</v>
      </c>
      <c r="H41" s="99">
        <v>45993</v>
      </c>
      <c r="I41" s="99">
        <v>453987.33</v>
      </c>
      <c r="J41" s="99">
        <v>477381.47</v>
      </c>
      <c r="K41" s="99">
        <v>0</v>
      </c>
      <c r="L41" s="99">
        <v>122572.8</v>
      </c>
    </row>
    <row r="42" spans="1:12" x14ac:dyDescent="0.25">
      <c r="A42" s="97" t="s">
        <v>364</v>
      </c>
      <c r="B42" s="98" t="s">
        <v>365</v>
      </c>
      <c r="C42" s="99">
        <v>0</v>
      </c>
      <c r="D42" s="99">
        <v>0</v>
      </c>
      <c r="E42" s="99">
        <v>0</v>
      </c>
      <c r="F42" s="99">
        <v>0</v>
      </c>
      <c r="G42" s="99">
        <v>1.83</v>
      </c>
      <c r="H42" s="99">
        <v>1.83</v>
      </c>
      <c r="I42" s="99">
        <v>3.75</v>
      </c>
      <c r="J42" s="99">
        <v>3.75</v>
      </c>
      <c r="K42" s="99">
        <v>0</v>
      </c>
      <c r="L42" s="99">
        <v>0</v>
      </c>
    </row>
    <row r="43" spans="1:12" x14ac:dyDescent="0.25">
      <c r="A43" s="97" t="s">
        <v>366</v>
      </c>
      <c r="B43" s="98" t="s">
        <v>367</v>
      </c>
      <c r="C43" s="99">
        <v>0</v>
      </c>
      <c r="D43" s="99">
        <v>4624.8999999999996</v>
      </c>
      <c r="E43" s="99">
        <v>0</v>
      </c>
      <c r="F43" s="99">
        <v>1183.5999999999999</v>
      </c>
      <c r="G43" s="99">
        <v>1183.5999999999999</v>
      </c>
      <c r="H43" s="99">
        <v>19927.43</v>
      </c>
      <c r="I43" s="99">
        <v>19413.64</v>
      </c>
      <c r="J43" s="99">
        <v>34716.17</v>
      </c>
      <c r="K43" s="99">
        <v>0</v>
      </c>
      <c r="L43" s="99">
        <v>19927.43</v>
      </c>
    </row>
    <row r="44" spans="1:12" x14ac:dyDescent="0.25">
      <c r="A44" s="97" t="s">
        <v>368</v>
      </c>
      <c r="B44" s="98" t="s">
        <v>369</v>
      </c>
      <c r="C44" s="99">
        <v>0</v>
      </c>
      <c r="D44" s="99">
        <v>259.68</v>
      </c>
      <c r="E44" s="99">
        <v>0</v>
      </c>
      <c r="F44" s="99">
        <v>524.42999999999995</v>
      </c>
      <c r="G44" s="99">
        <v>524.42999999999995</v>
      </c>
      <c r="H44" s="99">
        <v>356.95</v>
      </c>
      <c r="I44" s="99">
        <v>3335.41</v>
      </c>
      <c r="J44" s="99">
        <v>3432.68</v>
      </c>
      <c r="K44" s="99">
        <v>0</v>
      </c>
      <c r="L44" s="99">
        <v>356.95</v>
      </c>
    </row>
    <row r="45" spans="1:12" x14ac:dyDescent="0.25">
      <c r="A45" s="97" t="s">
        <v>370</v>
      </c>
      <c r="B45" s="98" t="s">
        <v>371</v>
      </c>
      <c r="C45" s="99">
        <v>0</v>
      </c>
      <c r="D45" s="99">
        <v>15.52</v>
      </c>
      <c r="E45" s="99">
        <v>0</v>
      </c>
      <c r="F45" s="99">
        <v>94.44</v>
      </c>
      <c r="G45" s="99">
        <v>94.44</v>
      </c>
      <c r="H45" s="99">
        <v>69.33</v>
      </c>
      <c r="I45" s="99">
        <v>2226</v>
      </c>
      <c r="J45" s="99">
        <v>2279.81</v>
      </c>
      <c r="K45" s="99">
        <v>0</v>
      </c>
      <c r="L45" s="99">
        <v>69.33</v>
      </c>
    </row>
    <row r="46" spans="1:12" x14ac:dyDescent="0.25">
      <c r="A46" s="97" t="s">
        <v>372</v>
      </c>
      <c r="B46" s="98" t="s">
        <v>373</v>
      </c>
      <c r="C46" s="99">
        <v>0</v>
      </c>
      <c r="D46" s="99">
        <v>566.82000000000005</v>
      </c>
      <c r="E46" s="99">
        <v>0</v>
      </c>
      <c r="F46" s="99">
        <v>625.29</v>
      </c>
      <c r="G46" s="99">
        <v>0</v>
      </c>
      <c r="H46" s="99">
        <v>676.16</v>
      </c>
      <c r="I46" s="99">
        <v>794.65</v>
      </c>
      <c r="J46" s="99">
        <v>1529.28</v>
      </c>
      <c r="K46" s="99">
        <v>0</v>
      </c>
      <c r="L46" s="99">
        <v>1301.45</v>
      </c>
    </row>
    <row r="47" spans="1:12" x14ac:dyDescent="0.25">
      <c r="A47" s="97" t="s">
        <v>374</v>
      </c>
      <c r="B47" s="98" t="s">
        <v>375</v>
      </c>
      <c r="C47" s="99">
        <v>0</v>
      </c>
      <c r="D47" s="99">
        <v>1370</v>
      </c>
      <c r="E47" s="99">
        <v>0</v>
      </c>
      <c r="F47" s="99">
        <v>0</v>
      </c>
      <c r="G47" s="99">
        <v>0</v>
      </c>
      <c r="H47" s="99">
        <v>583.19000000000005</v>
      </c>
      <c r="I47" s="99">
        <v>1370</v>
      </c>
      <c r="J47" s="99">
        <v>583.19000000000005</v>
      </c>
      <c r="K47" s="99">
        <v>0</v>
      </c>
      <c r="L47" s="99">
        <v>583.19000000000005</v>
      </c>
    </row>
    <row r="48" spans="1:12" x14ac:dyDescent="0.25">
      <c r="A48" s="97" t="s">
        <v>376</v>
      </c>
      <c r="B48" s="98" t="s">
        <v>377</v>
      </c>
      <c r="C48" s="99">
        <v>0</v>
      </c>
      <c r="D48" s="99">
        <v>0</v>
      </c>
      <c r="E48" s="99">
        <v>0</v>
      </c>
      <c r="F48" s="99">
        <v>456.04</v>
      </c>
      <c r="G48" s="99">
        <v>0</v>
      </c>
      <c r="H48" s="99">
        <v>287.27</v>
      </c>
      <c r="I48" s="99">
        <v>0</v>
      </c>
      <c r="J48" s="99">
        <v>743.31</v>
      </c>
      <c r="K48" s="99">
        <v>0</v>
      </c>
      <c r="L48" s="99">
        <v>743.31</v>
      </c>
    </row>
    <row r="49" spans="1:12" x14ac:dyDescent="0.25">
      <c r="A49" s="97" t="s">
        <v>378</v>
      </c>
      <c r="B49" s="98" t="s">
        <v>379</v>
      </c>
      <c r="C49" s="99">
        <v>0</v>
      </c>
      <c r="D49" s="99">
        <v>304.23</v>
      </c>
      <c r="E49" s="99">
        <v>0</v>
      </c>
      <c r="F49" s="99">
        <v>0</v>
      </c>
      <c r="G49" s="99">
        <v>0</v>
      </c>
      <c r="H49" s="99">
        <v>0</v>
      </c>
      <c r="I49" s="99">
        <v>304.23</v>
      </c>
      <c r="J49" s="99">
        <v>0</v>
      </c>
      <c r="K49" s="99">
        <v>0</v>
      </c>
      <c r="L49" s="99">
        <v>0</v>
      </c>
    </row>
    <row r="50" spans="1:12" x14ac:dyDescent="0.25">
      <c r="A50" s="97" t="s">
        <v>380</v>
      </c>
      <c r="B50" s="98" t="s">
        <v>381</v>
      </c>
      <c r="C50" s="99">
        <v>0</v>
      </c>
      <c r="D50" s="99">
        <v>0</v>
      </c>
      <c r="E50" s="99">
        <v>0</v>
      </c>
      <c r="F50" s="99">
        <v>0</v>
      </c>
      <c r="G50" s="99">
        <v>162</v>
      </c>
      <c r="H50" s="99">
        <v>162</v>
      </c>
      <c r="I50" s="99">
        <v>1944</v>
      </c>
      <c r="J50" s="99">
        <v>1944</v>
      </c>
      <c r="K50" s="99">
        <v>0</v>
      </c>
      <c r="L50" s="99">
        <v>0</v>
      </c>
    </row>
    <row r="51" spans="1:12" x14ac:dyDescent="0.25">
      <c r="A51" s="97" t="s">
        <v>382</v>
      </c>
      <c r="B51" s="98" t="s">
        <v>383</v>
      </c>
      <c r="C51" s="99">
        <v>0</v>
      </c>
      <c r="D51" s="99">
        <v>42.3</v>
      </c>
      <c r="E51" s="99">
        <v>0</v>
      </c>
      <c r="F51" s="99">
        <v>14348.86</v>
      </c>
      <c r="G51" s="99">
        <v>16104.28</v>
      </c>
      <c r="H51" s="99">
        <v>9603.9599999999991</v>
      </c>
      <c r="I51" s="99">
        <v>23362.57</v>
      </c>
      <c r="J51" s="99">
        <v>31168.81</v>
      </c>
      <c r="K51" s="99">
        <v>0</v>
      </c>
      <c r="L51" s="99">
        <v>7848.54</v>
      </c>
    </row>
    <row r="52" spans="1:12" x14ac:dyDescent="0.25">
      <c r="A52" s="97" t="s">
        <v>384</v>
      </c>
      <c r="B52" s="98" t="s">
        <v>385</v>
      </c>
      <c r="C52" s="99">
        <v>0</v>
      </c>
      <c r="D52" s="99">
        <v>3970.69</v>
      </c>
      <c r="E52" s="99">
        <v>0</v>
      </c>
      <c r="F52" s="99">
        <v>4228.79</v>
      </c>
      <c r="G52" s="99">
        <v>5645.89</v>
      </c>
      <c r="H52" s="99">
        <v>5584.35</v>
      </c>
      <c r="I52" s="99">
        <v>68245.47</v>
      </c>
      <c r="J52" s="99">
        <v>68442.03</v>
      </c>
      <c r="K52" s="99">
        <v>0</v>
      </c>
      <c r="L52" s="99">
        <v>4167.25</v>
      </c>
    </row>
    <row r="53" spans="1:12" x14ac:dyDescent="0.25">
      <c r="A53" s="97" t="s">
        <v>386</v>
      </c>
      <c r="B53" s="98" t="s">
        <v>387</v>
      </c>
      <c r="C53" s="99">
        <v>0</v>
      </c>
      <c r="D53" s="99">
        <v>0</v>
      </c>
      <c r="E53" s="99">
        <v>0</v>
      </c>
      <c r="F53" s="99">
        <v>0</v>
      </c>
      <c r="G53" s="99">
        <v>87.1</v>
      </c>
      <c r="H53" s="99">
        <v>87.1</v>
      </c>
      <c r="I53" s="99">
        <v>1133.5999999999999</v>
      </c>
      <c r="J53" s="99">
        <v>1133.5999999999999</v>
      </c>
      <c r="K53" s="99">
        <v>0</v>
      </c>
      <c r="L53" s="99">
        <v>0</v>
      </c>
    </row>
    <row r="54" spans="1:12" x14ac:dyDescent="0.25">
      <c r="A54" s="97" t="s">
        <v>388</v>
      </c>
      <c r="B54" s="98" t="s">
        <v>389</v>
      </c>
      <c r="C54" s="99">
        <v>0</v>
      </c>
      <c r="D54" s="99">
        <v>0</v>
      </c>
      <c r="E54" s="99">
        <v>57.76</v>
      </c>
      <c r="F54" s="99">
        <v>0</v>
      </c>
      <c r="G54" s="99">
        <v>0</v>
      </c>
      <c r="H54" s="99">
        <v>57.76</v>
      </c>
      <c r="I54" s="99">
        <v>314.22000000000003</v>
      </c>
      <c r="J54" s="99">
        <v>314.22000000000003</v>
      </c>
      <c r="K54" s="99">
        <v>0</v>
      </c>
      <c r="L54" s="99">
        <v>0</v>
      </c>
    </row>
    <row r="55" spans="1:12" x14ac:dyDescent="0.25">
      <c r="A55" s="97" t="s">
        <v>390</v>
      </c>
      <c r="B55" s="98" t="s">
        <v>391</v>
      </c>
      <c r="C55" s="99">
        <v>0</v>
      </c>
      <c r="D55" s="99">
        <v>543.29999999999995</v>
      </c>
      <c r="E55" s="99">
        <v>0</v>
      </c>
      <c r="F55" s="99">
        <v>582.34</v>
      </c>
      <c r="G55" s="99">
        <v>582.34</v>
      </c>
      <c r="H55" s="99">
        <v>569.33000000000004</v>
      </c>
      <c r="I55" s="99">
        <v>6892.87</v>
      </c>
      <c r="J55" s="99">
        <v>6918.9</v>
      </c>
      <c r="K55" s="99">
        <v>0</v>
      </c>
      <c r="L55" s="99">
        <v>569.33000000000004</v>
      </c>
    </row>
    <row r="56" spans="1:12" x14ac:dyDescent="0.25">
      <c r="A56" s="97" t="s">
        <v>392</v>
      </c>
      <c r="B56" s="98" t="s">
        <v>393</v>
      </c>
      <c r="C56" s="99">
        <v>0</v>
      </c>
      <c r="D56" s="99">
        <v>63.01</v>
      </c>
      <c r="E56" s="99">
        <v>0</v>
      </c>
      <c r="F56" s="99">
        <v>65.52</v>
      </c>
      <c r="G56" s="99">
        <v>65.52</v>
      </c>
      <c r="H56" s="99">
        <v>67.38</v>
      </c>
      <c r="I56" s="99">
        <v>786.89</v>
      </c>
      <c r="J56" s="99">
        <v>791.26</v>
      </c>
      <c r="K56" s="99">
        <v>0</v>
      </c>
      <c r="L56" s="99">
        <v>67.38</v>
      </c>
    </row>
    <row r="57" spans="1:12" x14ac:dyDescent="0.25">
      <c r="A57" s="97" t="s">
        <v>394</v>
      </c>
      <c r="B57" s="98" t="s">
        <v>395</v>
      </c>
      <c r="C57" s="99">
        <v>0</v>
      </c>
      <c r="D57" s="99">
        <v>1794.8</v>
      </c>
      <c r="E57" s="99">
        <v>0</v>
      </c>
      <c r="F57" s="99">
        <v>1942.06</v>
      </c>
      <c r="G57" s="99">
        <v>1942.06</v>
      </c>
      <c r="H57" s="99">
        <v>1919.54</v>
      </c>
      <c r="I57" s="99">
        <v>23351.75</v>
      </c>
      <c r="J57" s="99">
        <v>23476.49</v>
      </c>
      <c r="K57" s="99">
        <v>0</v>
      </c>
      <c r="L57" s="99">
        <v>1919.54</v>
      </c>
    </row>
    <row r="58" spans="1:12" x14ac:dyDescent="0.25">
      <c r="A58" s="97" t="s">
        <v>396</v>
      </c>
      <c r="B58" s="98" t="s">
        <v>397</v>
      </c>
      <c r="C58" s="99">
        <v>0</v>
      </c>
      <c r="D58" s="99">
        <v>566.88</v>
      </c>
      <c r="E58" s="99">
        <v>0</v>
      </c>
      <c r="F58" s="99">
        <v>619.87</v>
      </c>
      <c r="G58" s="99">
        <v>641.28</v>
      </c>
      <c r="H58" s="99">
        <v>627.75</v>
      </c>
      <c r="I58" s="99">
        <v>7347.81</v>
      </c>
      <c r="J58" s="99">
        <v>7387.27</v>
      </c>
      <c r="K58" s="99">
        <v>0</v>
      </c>
      <c r="L58" s="99">
        <v>606.34</v>
      </c>
    </row>
    <row r="59" spans="1:12" x14ac:dyDescent="0.25">
      <c r="A59" s="97" t="s">
        <v>398</v>
      </c>
      <c r="B59" s="98" t="s">
        <v>399</v>
      </c>
      <c r="C59" s="99">
        <v>0</v>
      </c>
      <c r="D59" s="99">
        <v>0</v>
      </c>
      <c r="E59" s="99">
        <v>0</v>
      </c>
      <c r="F59" s="99">
        <v>0</v>
      </c>
      <c r="G59" s="99">
        <v>3993.73</v>
      </c>
      <c r="H59" s="99">
        <v>3993.73</v>
      </c>
      <c r="I59" s="99">
        <v>35373.49</v>
      </c>
      <c r="J59" s="99">
        <v>35373.49</v>
      </c>
      <c r="K59" s="99">
        <v>0</v>
      </c>
      <c r="L59" s="99">
        <v>0</v>
      </c>
    </row>
    <row r="60" spans="1:12" x14ac:dyDescent="0.25">
      <c r="A60" s="97" t="s">
        <v>400</v>
      </c>
      <c r="B60" s="98" t="s">
        <v>401</v>
      </c>
      <c r="C60" s="99">
        <v>0</v>
      </c>
      <c r="D60" s="99">
        <v>0</v>
      </c>
      <c r="E60" s="99">
        <v>0</v>
      </c>
      <c r="F60" s="99">
        <v>0</v>
      </c>
      <c r="G60" s="99">
        <v>7144.18</v>
      </c>
      <c r="H60" s="99">
        <v>7144.18</v>
      </c>
      <c r="I60" s="99">
        <v>26671.83</v>
      </c>
      <c r="J60" s="99">
        <v>26671.83</v>
      </c>
      <c r="K60" s="99">
        <v>0</v>
      </c>
      <c r="L60" s="99">
        <v>0</v>
      </c>
    </row>
    <row r="61" spans="1:12" x14ac:dyDescent="0.25">
      <c r="A61" s="97" t="s">
        <v>402</v>
      </c>
      <c r="B61" s="98" t="s">
        <v>403</v>
      </c>
      <c r="C61" s="99">
        <v>0</v>
      </c>
      <c r="D61" s="99">
        <v>0</v>
      </c>
      <c r="E61" s="99">
        <v>0</v>
      </c>
      <c r="F61" s="99">
        <v>0</v>
      </c>
      <c r="G61" s="99">
        <v>2645.35</v>
      </c>
      <c r="H61" s="99">
        <v>2645.35</v>
      </c>
      <c r="I61" s="99">
        <v>27753.18</v>
      </c>
      <c r="J61" s="99">
        <v>27753.18</v>
      </c>
      <c r="K61" s="99">
        <v>0</v>
      </c>
      <c r="L61" s="99">
        <v>0</v>
      </c>
    </row>
    <row r="62" spans="1:12" x14ac:dyDescent="0.25">
      <c r="A62" s="97" t="s">
        <v>404</v>
      </c>
      <c r="B62" s="98" t="s">
        <v>405</v>
      </c>
      <c r="C62" s="99">
        <v>0</v>
      </c>
      <c r="D62" s="99">
        <v>0</v>
      </c>
      <c r="E62" s="99">
        <v>0</v>
      </c>
      <c r="F62" s="99">
        <v>0</v>
      </c>
      <c r="G62" s="99">
        <v>0.68</v>
      </c>
      <c r="H62" s="99">
        <v>0.68</v>
      </c>
      <c r="I62" s="99">
        <v>3.4</v>
      </c>
      <c r="J62" s="99">
        <v>3.4</v>
      </c>
      <c r="K62" s="99">
        <v>0</v>
      </c>
      <c r="L62" s="99">
        <v>0</v>
      </c>
    </row>
    <row r="63" spans="1:12" x14ac:dyDescent="0.25">
      <c r="A63" s="97" t="s">
        <v>406</v>
      </c>
      <c r="B63" s="98" t="s">
        <v>407</v>
      </c>
      <c r="C63" s="99">
        <v>0</v>
      </c>
      <c r="D63" s="99">
        <v>0</v>
      </c>
      <c r="E63" s="99">
        <v>0</v>
      </c>
      <c r="F63" s="99">
        <v>0</v>
      </c>
      <c r="G63" s="99">
        <v>1937.36</v>
      </c>
      <c r="H63" s="99">
        <v>1937.36</v>
      </c>
      <c r="I63" s="99">
        <v>18333.28</v>
      </c>
      <c r="J63" s="99">
        <v>18333.28</v>
      </c>
      <c r="K63" s="99">
        <v>0</v>
      </c>
      <c r="L63" s="99">
        <v>0</v>
      </c>
    </row>
    <row r="64" spans="1:12" x14ac:dyDescent="0.25">
      <c r="A64" s="97" t="s">
        <v>408</v>
      </c>
      <c r="B64" s="98" t="s">
        <v>409</v>
      </c>
      <c r="C64" s="99">
        <v>0</v>
      </c>
      <c r="D64" s="99">
        <v>0</v>
      </c>
      <c r="E64" s="99">
        <v>0</v>
      </c>
      <c r="F64" s="99">
        <v>0</v>
      </c>
      <c r="G64" s="99">
        <v>4020.32</v>
      </c>
      <c r="H64" s="99">
        <v>4020.32</v>
      </c>
      <c r="I64" s="99">
        <v>13896.89</v>
      </c>
      <c r="J64" s="99">
        <v>13896.89</v>
      </c>
      <c r="K64" s="99">
        <v>0</v>
      </c>
      <c r="L64" s="99">
        <v>0</v>
      </c>
    </row>
    <row r="65" spans="1:12" x14ac:dyDescent="0.25">
      <c r="A65" s="97" t="s">
        <v>410</v>
      </c>
      <c r="B65" s="98" t="s">
        <v>411</v>
      </c>
      <c r="C65" s="99">
        <v>0</v>
      </c>
      <c r="D65" s="99">
        <v>296.86</v>
      </c>
      <c r="E65" s="99">
        <v>0</v>
      </c>
      <c r="F65" s="99">
        <v>-1634.97</v>
      </c>
      <c r="G65" s="99">
        <v>0</v>
      </c>
      <c r="H65" s="99">
        <v>3601.52</v>
      </c>
      <c r="I65" s="99">
        <v>6082.72</v>
      </c>
      <c r="J65" s="99">
        <v>7752.41</v>
      </c>
      <c r="K65" s="99">
        <v>0</v>
      </c>
      <c r="L65" s="99">
        <v>1966.55</v>
      </c>
    </row>
    <row r="66" spans="1:12" x14ac:dyDescent="0.25">
      <c r="A66" s="97" t="s">
        <v>412</v>
      </c>
      <c r="B66" s="98" t="s">
        <v>413</v>
      </c>
      <c r="C66" s="99">
        <v>0</v>
      </c>
      <c r="D66" s="99">
        <v>0</v>
      </c>
      <c r="E66" s="99">
        <v>0</v>
      </c>
      <c r="F66" s="99">
        <v>0</v>
      </c>
      <c r="G66" s="99">
        <v>0</v>
      </c>
      <c r="H66" s="99">
        <v>0</v>
      </c>
      <c r="I66" s="99">
        <v>280.68</v>
      </c>
      <c r="J66" s="99">
        <v>280.68</v>
      </c>
      <c r="K66" s="99">
        <v>0</v>
      </c>
      <c r="L66" s="99">
        <v>0</v>
      </c>
    </row>
    <row r="67" spans="1:12" x14ac:dyDescent="0.25">
      <c r="A67" s="97" t="s">
        <v>414</v>
      </c>
      <c r="B67" s="98" t="s">
        <v>415</v>
      </c>
      <c r="C67" s="99">
        <v>0</v>
      </c>
      <c r="D67" s="99">
        <v>250657.75</v>
      </c>
      <c r="E67" s="99">
        <v>0</v>
      </c>
      <c r="F67" s="99">
        <v>275359.5</v>
      </c>
      <c r="G67" s="99">
        <v>9920.16</v>
      </c>
      <c r="H67" s="99">
        <v>0</v>
      </c>
      <c r="I67" s="99">
        <v>30307.14</v>
      </c>
      <c r="J67" s="99">
        <v>45088.73</v>
      </c>
      <c r="K67" s="99">
        <v>0</v>
      </c>
      <c r="L67" s="99">
        <v>265439.34000000003</v>
      </c>
    </row>
    <row r="68" spans="1:12" x14ac:dyDescent="0.25">
      <c r="A68" s="97" t="s">
        <v>416</v>
      </c>
      <c r="B68" s="98" t="s">
        <v>417</v>
      </c>
      <c r="C68" s="99">
        <v>0</v>
      </c>
      <c r="D68" s="99">
        <v>1660.52</v>
      </c>
      <c r="E68" s="99">
        <v>0</v>
      </c>
      <c r="F68" s="99">
        <v>1121.6099999999999</v>
      </c>
      <c r="G68" s="99">
        <v>1121.6099999999999</v>
      </c>
      <c r="H68" s="99">
        <v>563.6</v>
      </c>
      <c r="I68" s="99">
        <v>7523.18</v>
      </c>
      <c r="J68" s="99">
        <v>6426.26</v>
      </c>
      <c r="K68" s="99">
        <v>0</v>
      </c>
      <c r="L68" s="99">
        <v>563.6</v>
      </c>
    </row>
    <row r="69" spans="1:12" x14ac:dyDescent="0.25">
      <c r="A69" s="97" t="s">
        <v>418</v>
      </c>
      <c r="B69" s="98" t="s">
        <v>419</v>
      </c>
      <c r="C69" s="99">
        <v>0</v>
      </c>
      <c r="D69" s="99">
        <v>0</v>
      </c>
      <c r="E69" s="99">
        <v>0</v>
      </c>
      <c r="F69" s="99">
        <v>0</v>
      </c>
      <c r="G69" s="99">
        <v>0</v>
      </c>
      <c r="H69" s="99">
        <v>0</v>
      </c>
      <c r="I69" s="99">
        <v>17.27</v>
      </c>
      <c r="J69" s="99">
        <v>17.27</v>
      </c>
      <c r="K69" s="99">
        <v>0</v>
      </c>
      <c r="L69" s="99">
        <v>0</v>
      </c>
    </row>
    <row r="70" spans="1:12" x14ac:dyDescent="0.25">
      <c r="A70" s="97" t="s">
        <v>420</v>
      </c>
      <c r="B70" s="98" t="s">
        <v>421</v>
      </c>
      <c r="C70" s="99">
        <v>0</v>
      </c>
      <c r="D70" s="99">
        <v>0</v>
      </c>
      <c r="E70" s="99">
        <v>0</v>
      </c>
      <c r="F70" s="99">
        <v>0</v>
      </c>
      <c r="G70" s="99">
        <v>37113.5</v>
      </c>
      <c r="H70" s="99">
        <v>37113.5</v>
      </c>
      <c r="I70" s="99">
        <v>492375.77</v>
      </c>
      <c r="J70" s="99">
        <v>492375.77</v>
      </c>
      <c r="K70" s="99">
        <v>0</v>
      </c>
      <c r="L70" s="99">
        <v>0</v>
      </c>
    </row>
    <row r="71" spans="1:12" x14ac:dyDescent="0.25">
      <c r="A71" s="97" t="s">
        <v>422</v>
      </c>
      <c r="B71" s="98" t="s">
        <v>423</v>
      </c>
      <c r="C71" s="99">
        <v>0</v>
      </c>
      <c r="D71" s="99">
        <v>0</v>
      </c>
      <c r="E71" s="99">
        <v>0</v>
      </c>
      <c r="F71" s="99">
        <v>0</v>
      </c>
      <c r="G71" s="99">
        <v>39.729999999999997</v>
      </c>
      <c r="H71" s="99">
        <v>0</v>
      </c>
      <c r="I71" s="99">
        <v>39.729999999999997</v>
      </c>
      <c r="J71" s="99">
        <v>0</v>
      </c>
      <c r="K71" s="99">
        <v>39.729999999999997</v>
      </c>
      <c r="L71" s="99">
        <v>0</v>
      </c>
    </row>
    <row r="72" spans="1:12" x14ac:dyDescent="0.25">
      <c r="A72" s="97" t="s">
        <v>424</v>
      </c>
      <c r="B72" s="98" t="s">
        <v>425</v>
      </c>
      <c r="C72" s="99">
        <v>0</v>
      </c>
      <c r="D72" s="99">
        <v>96.54</v>
      </c>
      <c r="E72" s="99">
        <v>0</v>
      </c>
      <c r="F72" s="99">
        <v>263.77</v>
      </c>
      <c r="G72" s="99">
        <v>263.77</v>
      </c>
      <c r="H72" s="99">
        <v>0</v>
      </c>
      <c r="I72" s="99">
        <v>2428.06</v>
      </c>
      <c r="J72" s="99">
        <v>2331.52</v>
      </c>
      <c r="K72" s="99">
        <v>0</v>
      </c>
      <c r="L72" s="99">
        <v>0</v>
      </c>
    </row>
    <row r="73" spans="1:12" x14ac:dyDescent="0.25">
      <c r="A73" s="97" t="s">
        <v>426</v>
      </c>
      <c r="B73" s="98" t="s">
        <v>427</v>
      </c>
      <c r="C73" s="99">
        <v>0</v>
      </c>
      <c r="D73" s="99">
        <v>40846.29</v>
      </c>
      <c r="E73" s="99">
        <v>0</v>
      </c>
      <c r="F73" s="99">
        <v>40846.29</v>
      </c>
      <c r="G73" s="99">
        <v>0</v>
      </c>
      <c r="H73" s="99">
        <v>0</v>
      </c>
      <c r="I73" s="99">
        <v>0</v>
      </c>
      <c r="J73" s="99">
        <v>0</v>
      </c>
      <c r="K73" s="99">
        <v>0</v>
      </c>
      <c r="L73" s="99">
        <v>40846.29</v>
      </c>
    </row>
    <row r="74" spans="1:12" x14ac:dyDescent="0.25">
      <c r="A74" s="97" t="s">
        <v>428</v>
      </c>
      <c r="B74" s="98" t="s">
        <v>429</v>
      </c>
      <c r="C74" s="99">
        <v>0</v>
      </c>
      <c r="D74" s="99">
        <v>0</v>
      </c>
      <c r="E74" s="99">
        <v>0</v>
      </c>
      <c r="F74" s="99">
        <v>0</v>
      </c>
      <c r="G74" s="99">
        <v>0</v>
      </c>
      <c r="H74" s="99">
        <v>0</v>
      </c>
      <c r="I74" s="99">
        <v>2602.31</v>
      </c>
      <c r="J74" s="99">
        <v>2602.31</v>
      </c>
      <c r="K74" s="99">
        <v>0</v>
      </c>
      <c r="L74" s="99">
        <v>0</v>
      </c>
    </row>
    <row r="75" spans="1:12" x14ac:dyDescent="0.25">
      <c r="A75" s="97" t="s">
        <v>430</v>
      </c>
      <c r="B75" s="98" t="s">
        <v>431</v>
      </c>
      <c r="C75" s="99">
        <v>124.24</v>
      </c>
      <c r="D75" s="99">
        <v>0</v>
      </c>
      <c r="E75" s="99">
        <v>121.41</v>
      </c>
      <c r="F75" s="99">
        <v>0</v>
      </c>
      <c r="G75" s="99">
        <v>2.02</v>
      </c>
      <c r="H75" s="99">
        <v>0</v>
      </c>
      <c r="I75" s="99">
        <v>349.65</v>
      </c>
      <c r="J75" s="99">
        <v>350.46</v>
      </c>
      <c r="K75" s="99">
        <v>123.43</v>
      </c>
      <c r="L75" s="99">
        <v>0</v>
      </c>
    </row>
    <row r="76" spans="1:12" x14ac:dyDescent="0.25">
      <c r="A76" s="97" t="s">
        <v>432</v>
      </c>
      <c r="B76" s="98" t="s">
        <v>433</v>
      </c>
      <c r="C76" s="99">
        <v>1647.25</v>
      </c>
      <c r="D76" s="99">
        <v>0</v>
      </c>
      <c r="E76" s="99">
        <v>1302.2</v>
      </c>
      <c r="F76" s="99">
        <v>0</v>
      </c>
      <c r="G76" s="99">
        <v>-1302.2</v>
      </c>
      <c r="H76" s="99">
        <v>-1655.29</v>
      </c>
      <c r="I76" s="99">
        <v>-16453.02</v>
      </c>
      <c r="J76" s="99">
        <v>-16461.060000000001</v>
      </c>
      <c r="K76" s="99">
        <v>1655.29</v>
      </c>
      <c r="L76" s="99">
        <v>0</v>
      </c>
    </row>
    <row r="77" spans="1:12" x14ac:dyDescent="0.25">
      <c r="A77" s="97" t="s">
        <v>434</v>
      </c>
      <c r="B77" s="98" t="s">
        <v>435</v>
      </c>
      <c r="C77" s="99">
        <v>0</v>
      </c>
      <c r="D77" s="99">
        <v>0</v>
      </c>
      <c r="E77" s="99">
        <v>0</v>
      </c>
      <c r="F77" s="99">
        <v>0</v>
      </c>
      <c r="G77" s="99">
        <v>0</v>
      </c>
      <c r="H77" s="99">
        <v>0</v>
      </c>
      <c r="I77" s="99">
        <v>0</v>
      </c>
      <c r="J77" s="99">
        <v>0</v>
      </c>
      <c r="K77" s="99">
        <v>0</v>
      </c>
      <c r="L77" s="99">
        <v>0</v>
      </c>
    </row>
    <row r="78" spans="1:12" x14ac:dyDescent="0.25">
      <c r="A78" s="97" t="s">
        <v>436</v>
      </c>
      <c r="B78" s="98" t="s">
        <v>437</v>
      </c>
      <c r="C78" s="99">
        <v>0</v>
      </c>
      <c r="D78" s="99">
        <v>0</v>
      </c>
      <c r="E78" s="99">
        <v>0</v>
      </c>
      <c r="F78" s="99">
        <v>0</v>
      </c>
      <c r="G78" s="99">
        <v>0</v>
      </c>
      <c r="H78" s="99">
        <v>39.729999999999997</v>
      </c>
      <c r="I78" s="99">
        <v>0</v>
      </c>
      <c r="J78" s="99">
        <v>39.729999999999997</v>
      </c>
      <c r="K78" s="99">
        <v>0</v>
      </c>
      <c r="L78" s="99">
        <v>39.729999999999997</v>
      </c>
    </row>
    <row r="79" spans="1:12" x14ac:dyDescent="0.25">
      <c r="A79" s="97" t="s">
        <v>438</v>
      </c>
      <c r="B79" s="98" t="s">
        <v>439</v>
      </c>
      <c r="C79" s="99">
        <v>0</v>
      </c>
      <c r="D79" s="99">
        <v>0</v>
      </c>
      <c r="E79" s="99">
        <v>0</v>
      </c>
      <c r="F79" s="99">
        <v>0</v>
      </c>
      <c r="G79" s="99">
        <v>61817.93</v>
      </c>
      <c r="H79" s="99">
        <v>61817.93</v>
      </c>
      <c r="I79" s="99">
        <v>519025.36</v>
      </c>
      <c r="J79" s="99">
        <v>519025.36</v>
      </c>
      <c r="K79" s="99">
        <v>0</v>
      </c>
      <c r="L79" s="99">
        <v>0</v>
      </c>
    </row>
    <row r="80" spans="1:12" x14ac:dyDescent="0.25">
      <c r="A80" s="97" t="s">
        <v>440</v>
      </c>
      <c r="B80" s="98" t="s">
        <v>151</v>
      </c>
      <c r="C80" s="99">
        <v>0</v>
      </c>
      <c r="D80" s="99">
        <v>5000</v>
      </c>
      <c r="E80" s="99">
        <v>0</v>
      </c>
      <c r="F80" s="99">
        <v>5000</v>
      </c>
      <c r="G80" s="99">
        <v>0</v>
      </c>
      <c r="H80" s="99">
        <v>0</v>
      </c>
      <c r="I80" s="99">
        <v>0</v>
      </c>
      <c r="J80" s="99">
        <v>0</v>
      </c>
      <c r="K80" s="99">
        <v>0</v>
      </c>
      <c r="L80" s="99">
        <v>5000</v>
      </c>
    </row>
    <row r="81" spans="1:12" x14ac:dyDescent="0.25">
      <c r="A81" s="97" t="s">
        <v>441</v>
      </c>
      <c r="B81" s="98" t="s">
        <v>442</v>
      </c>
      <c r="C81" s="99">
        <v>70905.460000000006</v>
      </c>
      <c r="D81" s="99">
        <v>0</v>
      </c>
      <c r="E81" s="99">
        <v>70905.460000000006</v>
      </c>
      <c r="F81" s="99">
        <v>0</v>
      </c>
      <c r="G81" s="99">
        <v>0</v>
      </c>
      <c r="H81" s="99">
        <v>0</v>
      </c>
      <c r="I81" s="99">
        <v>0</v>
      </c>
      <c r="J81" s="99">
        <v>0</v>
      </c>
      <c r="K81" s="99">
        <v>70905.460000000006</v>
      </c>
      <c r="L81" s="99">
        <v>0</v>
      </c>
    </row>
    <row r="82" spans="1:12" x14ac:dyDescent="0.25">
      <c r="A82" s="97" t="s">
        <v>443</v>
      </c>
      <c r="B82" s="98" t="s">
        <v>444</v>
      </c>
      <c r="C82" s="99">
        <v>70366.880000000005</v>
      </c>
      <c r="D82" s="99">
        <v>0</v>
      </c>
      <c r="E82" s="99">
        <v>70366.880000000005</v>
      </c>
      <c r="F82" s="99">
        <v>0</v>
      </c>
      <c r="G82" s="99">
        <v>0</v>
      </c>
      <c r="H82" s="99">
        <v>0</v>
      </c>
      <c r="I82" s="99">
        <v>0</v>
      </c>
      <c r="J82" s="99">
        <v>0</v>
      </c>
      <c r="K82" s="99">
        <v>70366.880000000005</v>
      </c>
      <c r="L82" s="99">
        <v>0</v>
      </c>
    </row>
    <row r="83" spans="1:12" x14ac:dyDescent="0.25">
      <c r="A83" s="97" t="s">
        <v>445</v>
      </c>
      <c r="B83" s="98" t="s">
        <v>446</v>
      </c>
      <c r="C83" s="99">
        <v>0</v>
      </c>
      <c r="D83" s="99">
        <v>0</v>
      </c>
      <c r="E83" s="99">
        <v>90975.81</v>
      </c>
      <c r="F83" s="99">
        <v>0</v>
      </c>
      <c r="G83" s="99">
        <v>0</v>
      </c>
      <c r="H83" s="99">
        <v>0</v>
      </c>
      <c r="I83" s="99">
        <v>90975.81</v>
      </c>
      <c r="J83" s="99">
        <v>0</v>
      </c>
      <c r="K83" s="99">
        <v>90975.81</v>
      </c>
      <c r="L83" s="99">
        <v>0</v>
      </c>
    </row>
    <row r="84" spans="1:12" x14ac:dyDescent="0.25">
      <c r="A84" s="97" t="s">
        <v>447</v>
      </c>
      <c r="B84" s="98" t="s">
        <v>448</v>
      </c>
      <c r="C84" s="99">
        <v>90975.81</v>
      </c>
      <c r="D84" s="99">
        <v>0</v>
      </c>
      <c r="E84" s="99">
        <v>0</v>
      </c>
      <c r="F84" s="99">
        <v>0</v>
      </c>
      <c r="G84" s="99">
        <v>0</v>
      </c>
      <c r="H84" s="99">
        <v>0</v>
      </c>
      <c r="I84" s="99">
        <v>0</v>
      </c>
      <c r="J84" s="99">
        <v>90975.81</v>
      </c>
      <c r="K84" s="99">
        <v>0</v>
      </c>
      <c r="L84" s="99">
        <v>0</v>
      </c>
    </row>
    <row r="85" spans="1:12" x14ac:dyDescent="0.25">
      <c r="A85" s="97" t="s">
        <v>449</v>
      </c>
      <c r="B85" s="98" t="s">
        <v>450</v>
      </c>
      <c r="C85" s="99">
        <v>0</v>
      </c>
      <c r="D85" s="99">
        <v>229.73</v>
      </c>
      <c r="E85" s="99">
        <v>0</v>
      </c>
      <c r="F85" s="99">
        <v>566.97</v>
      </c>
      <c r="G85" s="99">
        <v>0</v>
      </c>
      <c r="H85" s="99">
        <v>32.229999999999997</v>
      </c>
      <c r="I85" s="99">
        <v>0</v>
      </c>
      <c r="J85" s="99">
        <v>369.47</v>
      </c>
      <c r="K85" s="99">
        <v>0</v>
      </c>
      <c r="L85" s="99">
        <v>599.20000000000005</v>
      </c>
    </row>
    <row r="86" spans="1:12" x14ac:dyDescent="0.25">
      <c r="A86" s="97" t="s">
        <v>451</v>
      </c>
      <c r="B86" s="98" t="s">
        <v>452</v>
      </c>
      <c r="C86" s="99">
        <v>0</v>
      </c>
      <c r="D86" s="99">
        <v>-107.46</v>
      </c>
      <c r="E86" s="99">
        <v>0</v>
      </c>
      <c r="F86" s="99">
        <v>-252.36</v>
      </c>
      <c r="G86" s="99">
        <v>12.06</v>
      </c>
      <c r="H86" s="99">
        <v>0</v>
      </c>
      <c r="I86" s="99">
        <v>156.96</v>
      </c>
      <c r="J86" s="99">
        <v>0</v>
      </c>
      <c r="K86" s="99">
        <v>0</v>
      </c>
      <c r="L86" s="99">
        <v>-264.42</v>
      </c>
    </row>
    <row r="87" spans="1:12" x14ac:dyDescent="0.25">
      <c r="A87" s="97" t="s">
        <v>453</v>
      </c>
      <c r="B87" s="98" t="s">
        <v>454</v>
      </c>
      <c r="C87" s="99">
        <v>0</v>
      </c>
      <c r="D87" s="99">
        <v>0</v>
      </c>
      <c r="E87" s="99">
        <v>0</v>
      </c>
      <c r="F87" s="99">
        <v>-143.96</v>
      </c>
      <c r="G87" s="99">
        <v>0</v>
      </c>
      <c r="H87" s="99">
        <v>0</v>
      </c>
      <c r="I87" s="99">
        <v>143.96</v>
      </c>
      <c r="J87" s="99">
        <v>0</v>
      </c>
      <c r="K87" s="99">
        <v>0</v>
      </c>
      <c r="L87" s="99">
        <v>-143.96</v>
      </c>
    </row>
    <row r="88" spans="1:12" x14ac:dyDescent="0.25">
      <c r="A88" s="97" t="s">
        <v>455</v>
      </c>
      <c r="B88" s="98" t="s">
        <v>456</v>
      </c>
      <c r="C88" s="99">
        <v>0</v>
      </c>
      <c r="D88" s="99">
        <v>-164.45</v>
      </c>
      <c r="E88" s="99">
        <v>0</v>
      </c>
      <c r="F88" s="99">
        <v>-164.45</v>
      </c>
      <c r="G88" s="99">
        <v>934.28</v>
      </c>
      <c r="H88" s="99">
        <v>164.45</v>
      </c>
      <c r="I88" s="99">
        <v>934.28</v>
      </c>
      <c r="J88" s="99">
        <v>164.45</v>
      </c>
      <c r="K88" s="99">
        <v>0</v>
      </c>
      <c r="L88" s="99">
        <v>-934.28</v>
      </c>
    </row>
    <row r="89" spans="1:12" x14ac:dyDescent="0.25">
      <c r="A89" s="97" t="s">
        <v>457</v>
      </c>
      <c r="B89" s="98" t="s">
        <v>458</v>
      </c>
      <c r="C89" s="99">
        <v>0</v>
      </c>
      <c r="D89" s="99">
        <v>0</v>
      </c>
      <c r="E89" s="99">
        <v>269.12</v>
      </c>
      <c r="F89" s="99">
        <v>0</v>
      </c>
      <c r="G89" s="99">
        <v>22.16</v>
      </c>
      <c r="H89" s="99">
        <v>0</v>
      </c>
      <c r="I89" s="99">
        <v>291.27999999999997</v>
      </c>
      <c r="J89" s="99">
        <v>0</v>
      </c>
      <c r="K89" s="99">
        <v>291.27999999999997</v>
      </c>
      <c r="L89" s="99">
        <v>0</v>
      </c>
    </row>
    <row r="90" spans="1:12" x14ac:dyDescent="0.25">
      <c r="A90" s="97" t="s">
        <v>459</v>
      </c>
      <c r="B90" s="98" t="s">
        <v>460</v>
      </c>
      <c r="C90" s="99">
        <v>0</v>
      </c>
      <c r="D90" s="99">
        <v>0</v>
      </c>
      <c r="E90" s="99">
        <v>118.99</v>
      </c>
      <c r="F90" s="99">
        <v>0</v>
      </c>
      <c r="G90" s="99">
        <v>0</v>
      </c>
      <c r="H90" s="99">
        <v>0</v>
      </c>
      <c r="I90" s="99">
        <v>118.99</v>
      </c>
      <c r="J90" s="99">
        <v>0</v>
      </c>
      <c r="K90" s="99">
        <v>118.99</v>
      </c>
      <c r="L90" s="99">
        <v>0</v>
      </c>
    </row>
    <row r="91" spans="1:12" x14ac:dyDescent="0.25">
      <c r="A91" s="97" t="s">
        <v>461</v>
      </c>
      <c r="B91" s="98" t="s">
        <v>462</v>
      </c>
      <c r="C91" s="99">
        <v>0</v>
      </c>
      <c r="D91" s="99">
        <v>0</v>
      </c>
      <c r="E91" s="99">
        <v>252.88</v>
      </c>
      <c r="F91" s="99">
        <v>0</v>
      </c>
      <c r="G91" s="99">
        <v>4.09</v>
      </c>
      <c r="H91" s="99">
        <v>0</v>
      </c>
      <c r="I91" s="99">
        <v>256.97000000000003</v>
      </c>
      <c r="J91" s="99">
        <v>0</v>
      </c>
      <c r="K91" s="99">
        <v>256.97000000000003</v>
      </c>
      <c r="L91" s="99">
        <v>0</v>
      </c>
    </row>
    <row r="92" spans="1:12" x14ac:dyDescent="0.25">
      <c r="A92" s="97" t="s">
        <v>463</v>
      </c>
      <c r="B92" s="98" t="s">
        <v>464</v>
      </c>
      <c r="C92" s="99">
        <v>0</v>
      </c>
      <c r="D92" s="99">
        <v>0</v>
      </c>
      <c r="E92" s="99">
        <v>0.85</v>
      </c>
      <c r="F92" s="99">
        <v>0</v>
      </c>
      <c r="G92" s="99">
        <v>308.82</v>
      </c>
      <c r="H92" s="99">
        <v>0</v>
      </c>
      <c r="I92" s="99">
        <v>309.67</v>
      </c>
      <c r="J92" s="99">
        <v>0</v>
      </c>
      <c r="K92" s="99">
        <v>309.67</v>
      </c>
      <c r="L92" s="99">
        <v>0</v>
      </c>
    </row>
    <row r="93" spans="1:12" x14ac:dyDescent="0.25">
      <c r="A93" s="97" t="s">
        <v>465</v>
      </c>
      <c r="B93" s="98" t="s">
        <v>466</v>
      </c>
      <c r="C93" s="99">
        <v>0</v>
      </c>
      <c r="D93" s="99">
        <v>0</v>
      </c>
      <c r="E93" s="99">
        <v>126.82</v>
      </c>
      <c r="F93" s="99">
        <v>0</v>
      </c>
      <c r="G93" s="99">
        <v>13.6</v>
      </c>
      <c r="H93" s="99">
        <v>0</v>
      </c>
      <c r="I93" s="99">
        <v>140.41999999999999</v>
      </c>
      <c r="J93" s="99">
        <v>0</v>
      </c>
      <c r="K93" s="99">
        <v>140.41999999999999</v>
      </c>
      <c r="L93" s="99">
        <v>0</v>
      </c>
    </row>
    <row r="94" spans="1:12" x14ac:dyDescent="0.25">
      <c r="A94" s="97" t="s">
        <v>467</v>
      </c>
      <c r="B94" s="98" t="s">
        <v>468</v>
      </c>
      <c r="C94" s="99">
        <v>0</v>
      </c>
      <c r="D94" s="99">
        <v>0</v>
      </c>
      <c r="E94" s="99">
        <v>116.1</v>
      </c>
      <c r="F94" s="99">
        <v>0</v>
      </c>
      <c r="G94" s="99">
        <v>52.94</v>
      </c>
      <c r="H94" s="99">
        <v>0</v>
      </c>
      <c r="I94" s="99">
        <v>169.04</v>
      </c>
      <c r="J94" s="99">
        <v>0</v>
      </c>
      <c r="K94" s="99">
        <v>169.04</v>
      </c>
      <c r="L94" s="99">
        <v>0</v>
      </c>
    </row>
    <row r="95" spans="1:12" x14ac:dyDescent="0.25">
      <c r="A95" s="97" t="s">
        <v>469</v>
      </c>
      <c r="B95" s="98" t="s">
        <v>470</v>
      </c>
      <c r="C95" s="99">
        <v>0</v>
      </c>
      <c r="D95" s="99">
        <v>0</v>
      </c>
      <c r="E95" s="99">
        <v>136.66999999999999</v>
      </c>
      <c r="F95" s="99">
        <v>0</v>
      </c>
      <c r="G95" s="99">
        <v>20.45</v>
      </c>
      <c r="H95" s="99">
        <v>0</v>
      </c>
      <c r="I95" s="99">
        <v>157.12</v>
      </c>
      <c r="J95" s="99">
        <v>0</v>
      </c>
      <c r="K95" s="99">
        <v>157.12</v>
      </c>
      <c r="L95" s="99">
        <v>0</v>
      </c>
    </row>
    <row r="96" spans="1:12" x14ac:dyDescent="0.25">
      <c r="A96" s="97" t="s">
        <v>471</v>
      </c>
      <c r="B96" s="98" t="s">
        <v>472</v>
      </c>
      <c r="C96" s="99">
        <v>0</v>
      </c>
      <c r="D96" s="99">
        <v>0</v>
      </c>
      <c r="E96" s="99">
        <v>1297.6500000000001</v>
      </c>
      <c r="F96" s="99">
        <v>0</v>
      </c>
      <c r="G96" s="99">
        <v>265.10000000000002</v>
      </c>
      <c r="H96" s="99">
        <v>0</v>
      </c>
      <c r="I96" s="99">
        <v>1562.75</v>
      </c>
      <c r="J96" s="99">
        <v>0</v>
      </c>
      <c r="K96" s="99">
        <v>1562.75</v>
      </c>
      <c r="L96" s="99">
        <v>0</v>
      </c>
    </row>
    <row r="97" spans="1:12" x14ac:dyDescent="0.25">
      <c r="A97" s="97" t="s">
        <v>473</v>
      </c>
      <c r="B97" s="98" t="s">
        <v>474</v>
      </c>
      <c r="C97" s="99">
        <v>0</v>
      </c>
      <c r="D97" s="99">
        <v>0</v>
      </c>
      <c r="E97" s="99">
        <v>119.61</v>
      </c>
      <c r="F97" s="99">
        <v>0</v>
      </c>
      <c r="G97" s="99">
        <v>8.59</v>
      </c>
      <c r="H97" s="99">
        <v>0</v>
      </c>
      <c r="I97" s="99">
        <v>128.19999999999999</v>
      </c>
      <c r="J97" s="99">
        <v>0</v>
      </c>
      <c r="K97" s="99">
        <v>128.19999999999999</v>
      </c>
      <c r="L97" s="99">
        <v>0</v>
      </c>
    </row>
    <row r="98" spans="1:12" x14ac:dyDescent="0.25">
      <c r="A98" s="97" t="s">
        <v>475</v>
      </c>
      <c r="B98" s="98" t="s">
        <v>476</v>
      </c>
      <c r="C98" s="99">
        <v>0</v>
      </c>
      <c r="D98" s="99">
        <v>0</v>
      </c>
      <c r="E98" s="99">
        <v>7.27</v>
      </c>
      <c r="F98" s="99">
        <v>0</v>
      </c>
      <c r="G98" s="99">
        <v>0</v>
      </c>
      <c r="H98" s="99">
        <v>0</v>
      </c>
      <c r="I98" s="99">
        <v>7.27</v>
      </c>
      <c r="J98" s="99">
        <v>0</v>
      </c>
      <c r="K98" s="99">
        <v>7.27</v>
      </c>
      <c r="L98" s="99">
        <v>0</v>
      </c>
    </row>
    <row r="99" spans="1:12" x14ac:dyDescent="0.25">
      <c r="A99" s="97" t="s">
        <v>477</v>
      </c>
      <c r="B99" s="98" t="s">
        <v>478</v>
      </c>
      <c r="C99" s="99">
        <v>0</v>
      </c>
      <c r="D99" s="99">
        <v>0</v>
      </c>
      <c r="E99" s="99">
        <v>100.66</v>
      </c>
      <c r="F99" s="99">
        <v>0</v>
      </c>
      <c r="G99" s="99">
        <v>19.02</v>
      </c>
      <c r="H99" s="99">
        <v>0</v>
      </c>
      <c r="I99" s="99">
        <v>217.35</v>
      </c>
      <c r="J99" s="99">
        <v>97.67</v>
      </c>
      <c r="K99" s="99">
        <v>119.68</v>
      </c>
      <c r="L99" s="99">
        <v>0</v>
      </c>
    </row>
    <row r="100" spans="1:12" x14ac:dyDescent="0.25">
      <c r="A100" s="97" t="s">
        <v>479</v>
      </c>
      <c r="B100" s="98" t="s">
        <v>480</v>
      </c>
      <c r="C100" s="99">
        <v>0</v>
      </c>
      <c r="D100" s="99">
        <v>0</v>
      </c>
      <c r="E100" s="99">
        <v>225</v>
      </c>
      <c r="F100" s="99">
        <v>0</v>
      </c>
      <c r="G100" s="99">
        <v>75</v>
      </c>
      <c r="H100" s="99">
        <v>0</v>
      </c>
      <c r="I100" s="99">
        <v>300</v>
      </c>
      <c r="J100" s="99">
        <v>0</v>
      </c>
      <c r="K100" s="99">
        <v>300</v>
      </c>
      <c r="L100" s="99">
        <v>0</v>
      </c>
    </row>
    <row r="101" spans="1:12" x14ac:dyDescent="0.25">
      <c r="A101" s="97" t="s">
        <v>481</v>
      </c>
      <c r="B101" s="98" t="s">
        <v>482</v>
      </c>
      <c r="C101" s="99">
        <v>0</v>
      </c>
      <c r="D101" s="99">
        <v>0</v>
      </c>
      <c r="E101" s="99">
        <v>0.44</v>
      </c>
      <c r="F101" s="99">
        <v>0</v>
      </c>
      <c r="G101" s="99">
        <v>0.37</v>
      </c>
      <c r="H101" s="99">
        <v>0</v>
      </c>
      <c r="I101" s="99">
        <v>127.01</v>
      </c>
      <c r="J101" s="99">
        <v>126.2</v>
      </c>
      <c r="K101" s="99">
        <v>0.81</v>
      </c>
      <c r="L101" s="99">
        <v>0</v>
      </c>
    </row>
    <row r="102" spans="1:12" x14ac:dyDescent="0.25">
      <c r="A102" s="97" t="s">
        <v>483</v>
      </c>
      <c r="B102" s="98" t="s">
        <v>484</v>
      </c>
      <c r="C102" s="99">
        <v>0</v>
      </c>
      <c r="D102" s="99">
        <v>0</v>
      </c>
      <c r="E102" s="99">
        <v>24.3</v>
      </c>
      <c r="F102" s="99">
        <v>0</v>
      </c>
      <c r="G102" s="99">
        <v>1.03</v>
      </c>
      <c r="H102" s="99">
        <v>0</v>
      </c>
      <c r="I102" s="99">
        <v>25.33</v>
      </c>
      <c r="J102" s="99">
        <v>0</v>
      </c>
      <c r="K102" s="99">
        <v>25.33</v>
      </c>
      <c r="L102" s="99">
        <v>0</v>
      </c>
    </row>
    <row r="103" spans="1:12" x14ac:dyDescent="0.25">
      <c r="A103" s="97" t="s">
        <v>485</v>
      </c>
      <c r="B103" s="98" t="s">
        <v>486</v>
      </c>
      <c r="C103" s="99">
        <v>0</v>
      </c>
      <c r="D103" s="99">
        <v>0</v>
      </c>
      <c r="E103" s="99">
        <v>147.44999999999999</v>
      </c>
      <c r="F103" s="99">
        <v>0</v>
      </c>
      <c r="G103" s="99">
        <v>489.6</v>
      </c>
      <c r="H103" s="99">
        <v>0</v>
      </c>
      <c r="I103" s="99">
        <v>1737.05</v>
      </c>
      <c r="J103" s="99">
        <v>1100</v>
      </c>
      <c r="K103" s="99">
        <v>637.04999999999995</v>
      </c>
      <c r="L103" s="99">
        <v>0</v>
      </c>
    </row>
    <row r="104" spans="1:12" x14ac:dyDescent="0.25">
      <c r="A104" s="97" t="s">
        <v>487</v>
      </c>
      <c r="B104" s="98" t="s">
        <v>488</v>
      </c>
      <c r="C104" s="99">
        <v>0</v>
      </c>
      <c r="D104" s="99">
        <v>0</v>
      </c>
      <c r="E104" s="99">
        <v>50.28</v>
      </c>
      <c r="F104" s="99">
        <v>0</v>
      </c>
      <c r="G104" s="99">
        <v>150</v>
      </c>
      <c r="H104" s="99">
        <v>0</v>
      </c>
      <c r="I104" s="99">
        <v>320.27999999999997</v>
      </c>
      <c r="J104" s="99">
        <v>120</v>
      </c>
      <c r="K104" s="99">
        <v>200.28</v>
      </c>
      <c r="L104" s="99">
        <v>0</v>
      </c>
    </row>
    <row r="105" spans="1:12" x14ac:dyDescent="0.25">
      <c r="A105" s="97" t="s">
        <v>489</v>
      </c>
      <c r="B105" s="98" t="s">
        <v>490</v>
      </c>
      <c r="C105" s="99">
        <v>0</v>
      </c>
      <c r="D105" s="99">
        <v>0</v>
      </c>
      <c r="E105" s="99">
        <v>157235.19</v>
      </c>
      <c r="F105" s="99">
        <v>0</v>
      </c>
      <c r="G105" s="99">
        <v>17066.900000000001</v>
      </c>
      <c r="H105" s="99">
        <v>0</v>
      </c>
      <c r="I105" s="99">
        <v>174402.09</v>
      </c>
      <c r="J105" s="99">
        <v>100</v>
      </c>
      <c r="K105" s="99">
        <v>174302.09</v>
      </c>
      <c r="L105" s="99">
        <v>0</v>
      </c>
    </row>
    <row r="106" spans="1:12" x14ac:dyDescent="0.25">
      <c r="A106" s="97" t="s">
        <v>491</v>
      </c>
      <c r="B106" s="98" t="s">
        <v>492</v>
      </c>
      <c r="C106" s="99">
        <v>0</v>
      </c>
      <c r="D106" s="99">
        <v>0</v>
      </c>
      <c r="E106" s="99">
        <v>170224.95</v>
      </c>
      <c r="F106" s="99">
        <v>0</v>
      </c>
      <c r="G106" s="99">
        <v>26723.919999999998</v>
      </c>
      <c r="H106" s="99">
        <v>0</v>
      </c>
      <c r="I106" s="99">
        <v>196948.87</v>
      </c>
      <c r="J106" s="99">
        <v>0</v>
      </c>
      <c r="K106" s="99">
        <v>196948.87</v>
      </c>
      <c r="L106" s="99">
        <v>0</v>
      </c>
    </row>
    <row r="107" spans="1:12" x14ac:dyDescent="0.25">
      <c r="A107" s="97" t="s">
        <v>493</v>
      </c>
      <c r="B107" s="98" t="s">
        <v>494</v>
      </c>
      <c r="C107" s="99">
        <v>0</v>
      </c>
      <c r="D107" s="99">
        <v>0</v>
      </c>
      <c r="E107" s="99">
        <v>7191.53</v>
      </c>
      <c r="F107" s="99">
        <v>0</v>
      </c>
      <c r="G107" s="99">
        <v>1265.4000000000001</v>
      </c>
      <c r="H107" s="99">
        <v>0</v>
      </c>
      <c r="I107" s="99">
        <v>8456.93</v>
      </c>
      <c r="J107" s="99">
        <v>0</v>
      </c>
      <c r="K107" s="99">
        <v>8456.93</v>
      </c>
      <c r="L107" s="99">
        <v>0</v>
      </c>
    </row>
    <row r="108" spans="1:12" x14ac:dyDescent="0.25">
      <c r="A108" s="97" t="s">
        <v>495</v>
      </c>
      <c r="B108" s="98" t="s">
        <v>496</v>
      </c>
      <c r="C108" s="99">
        <v>0</v>
      </c>
      <c r="D108" s="99">
        <v>0</v>
      </c>
      <c r="E108" s="99">
        <v>5936.84</v>
      </c>
      <c r="F108" s="99">
        <v>0</v>
      </c>
      <c r="G108" s="99">
        <v>188.45</v>
      </c>
      <c r="H108" s="99">
        <v>0</v>
      </c>
      <c r="I108" s="99">
        <v>6125.29</v>
      </c>
      <c r="J108" s="99">
        <v>0</v>
      </c>
      <c r="K108" s="99">
        <v>6125.29</v>
      </c>
      <c r="L108" s="99">
        <v>0</v>
      </c>
    </row>
    <row r="109" spans="1:12" x14ac:dyDescent="0.25">
      <c r="A109" s="97" t="s">
        <v>497</v>
      </c>
      <c r="B109" s="98" t="s">
        <v>498</v>
      </c>
      <c r="C109" s="99">
        <v>0</v>
      </c>
      <c r="D109" s="99">
        <v>0</v>
      </c>
      <c r="E109" s="99">
        <v>-0.03</v>
      </c>
      <c r="F109" s="99">
        <v>0</v>
      </c>
      <c r="G109" s="99">
        <v>0</v>
      </c>
      <c r="H109" s="99">
        <v>0</v>
      </c>
      <c r="I109" s="99">
        <v>-0.03</v>
      </c>
      <c r="J109" s="99">
        <v>0</v>
      </c>
      <c r="K109" s="99">
        <v>-0.03</v>
      </c>
      <c r="L109" s="99">
        <v>0</v>
      </c>
    </row>
    <row r="110" spans="1:12" x14ac:dyDescent="0.25">
      <c r="A110" s="97" t="s">
        <v>499</v>
      </c>
      <c r="B110" s="98" t="s">
        <v>500</v>
      </c>
      <c r="C110" s="99">
        <v>0</v>
      </c>
      <c r="D110" s="99">
        <v>0</v>
      </c>
      <c r="E110" s="99">
        <v>-10505.67</v>
      </c>
      <c r="F110" s="99">
        <v>0</v>
      </c>
      <c r="G110" s="99">
        <v>3966.77</v>
      </c>
      <c r="H110" s="99">
        <v>0</v>
      </c>
      <c r="I110" s="99">
        <v>-6538.9</v>
      </c>
      <c r="J110" s="99">
        <v>0</v>
      </c>
      <c r="K110" s="99">
        <v>-6538.9</v>
      </c>
      <c r="L110" s="99">
        <v>0</v>
      </c>
    </row>
    <row r="111" spans="1:12" x14ac:dyDescent="0.25">
      <c r="A111" s="97" t="s">
        <v>501</v>
      </c>
      <c r="B111" s="98" t="s">
        <v>502</v>
      </c>
      <c r="C111" s="99">
        <v>0</v>
      </c>
      <c r="D111" s="99">
        <v>0</v>
      </c>
      <c r="E111" s="99">
        <v>-3249.6</v>
      </c>
      <c r="F111" s="99">
        <v>0</v>
      </c>
      <c r="G111" s="99">
        <v>190.92</v>
      </c>
      <c r="H111" s="99">
        <v>0</v>
      </c>
      <c r="I111" s="99">
        <v>-3058.68</v>
      </c>
      <c r="J111" s="99">
        <v>0</v>
      </c>
      <c r="K111" s="99">
        <v>-3058.68</v>
      </c>
      <c r="L111" s="99">
        <v>0</v>
      </c>
    </row>
    <row r="112" spans="1:12" x14ac:dyDescent="0.25">
      <c r="A112" s="97" t="s">
        <v>503</v>
      </c>
      <c r="B112" s="98" t="s">
        <v>504</v>
      </c>
      <c r="C112" s="99">
        <v>0</v>
      </c>
      <c r="D112" s="99">
        <v>0</v>
      </c>
      <c r="E112" s="99">
        <v>0</v>
      </c>
      <c r="F112" s="99">
        <v>0</v>
      </c>
      <c r="G112" s="99">
        <v>0</v>
      </c>
      <c r="H112" s="99">
        <v>0</v>
      </c>
      <c r="I112" s="99">
        <v>0</v>
      </c>
      <c r="J112" s="99">
        <v>0</v>
      </c>
      <c r="K112" s="99">
        <v>0</v>
      </c>
      <c r="L112" s="99">
        <v>0</v>
      </c>
    </row>
    <row r="113" spans="1:12" x14ac:dyDescent="0.25">
      <c r="A113" s="97" t="s">
        <v>505</v>
      </c>
      <c r="B113" s="98" t="s">
        <v>506</v>
      </c>
      <c r="C113" s="99">
        <v>0</v>
      </c>
      <c r="D113" s="99">
        <v>0</v>
      </c>
      <c r="E113" s="99">
        <v>0</v>
      </c>
      <c r="F113" s="99">
        <v>0</v>
      </c>
      <c r="G113" s="99">
        <v>0</v>
      </c>
      <c r="H113" s="99">
        <v>0</v>
      </c>
      <c r="I113" s="99">
        <v>0</v>
      </c>
      <c r="J113" s="99">
        <v>0</v>
      </c>
      <c r="K113" s="99">
        <v>0</v>
      </c>
      <c r="L113" s="99">
        <v>0</v>
      </c>
    </row>
    <row r="114" spans="1:12" x14ac:dyDescent="0.25">
      <c r="A114" s="97" t="s">
        <v>507</v>
      </c>
      <c r="B114" s="98" t="s">
        <v>508</v>
      </c>
      <c r="C114" s="99">
        <v>0</v>
      </c>
      <c r="D114" s="99">
        <v>0</v>
      </c>
      <c r="E114" s="99">
        <v>-809.32</v>
      </c>
      <c r="F114" s="99">
        <v>0</v>
      </c>
      <c r="G114" s="99">
        <v>308.2</v>
      </c>
      <c r="H114" s="99">
        <v>0</v>
      </c>
      <c r="I114" s="99">
        <v>-501.12</v>
      </c>
      <c r="J114" s="99">
        <v>0</v>
      </c>
      <c r="K114" s="99">
        <v>-501.12</v>
      </c>
      <c r="L114" s="99">
        <v>0</v>
      </c>
    </row>
    <row r="115" spans="1:12" x14ac:dyDescent="0.25">
      <c r="A115" s="97" t="s">
        <v>509</v>
      </c>
      <c r="B115" s="98" t="s">
        <v>510</v>
      </c>
      <c r="C115" s="99">
        <v>0</v>
      </c>
      <c r="D115" s="99">
        <v>0</v>
      </c>
      <c r="E115" s="99">
        <v>-241.18</v>
      </c>
      <c r="F115" s="99">
        <v>0</v>
      </c>
      <c r="G115" s="99">
        <v>32.590000000000003</v>
      </c>
      <c r="H115" s="99">
        <v>0</v>
      </c>
      <c r="I115" s="99">
        <v>-208.59</v>
      </c>
      <c r="J115" s="99">
        <v>0</v>
      </c>
      <c r="K115" s="99">
        <v>-208.59</v>
      </c>
      <c r="L115" s="99">
        <v>0</v>
      </c>
    </row>
    <row r="116" spans="1:12" x14ac:dyDescent="0.25">
      <c r="A116" s="97" t="s">
        <v>511</v>
      </c>
      <c r="B116" s="98" t="s">
        <v>512</v>
      </c>
      <c r="C116" s="99">
        <v>0</v>
      </c>
      <c r="D116" s="99">
        <v>0</v>
      </c>
      <c r="E116" s="99">
        <v>0</v>
      </c>
      <c r="F116" s="99">
        <v>0</v>
      </c>
      <c r="G116" s="99">
        <v>37.9</v>
      </c>
      <c r="H116" s="99">
        <v>0</v>
      </c>
      <c r="I116" s="99">
        <v>37.9</v>
      </c>
      <c r="J116" s="99">
        <v>0</v>
      </c>
      <c r="K116" s="99">
        <v>37.9</v>
      </c>
      <c r="L116" s="99">
        <v>0</v>
      </c>
    </row>
    <row r="117" spans="1:12" x14ac:dyDescent="0.25">
      <c r="A117" s="97" t="s">
        <v>513</v>
      </c>
      <c r="B117" s="98" t="s">
        <v>514</v>
      </c>
      <c r="C117" s="99">
        <v>0</v>
      </c>
      <c r="D117" s="99">
        <v>0</v>
      </c>
      <c r="E117" s="99">
        <v>-110.36</v>
      </c>
      <c r="F117" s="99">
        <v>0</v>
      </c>
      <c r="G117" s="99">
        <v>24.43</v>
      </c>
      <c r="H117" s="99">
        <v>12.83</v>
      </c>
      <c r="I117" s="99">
        <v>1275.72</v>
      </c>
      <c r="J117" s="99">
        <v>1374.48</v>
      </c>
      <c r="K117" s="99">
        <v>-98.76</v>
      </c>
      <c r="L117" s="99">
        <v>0</v>
      </c>
    </row>
    <row r="118" spans="1:12" x14ac:dyDescent="0.25">
      <c r="A118" s="97" t="s">
        <v>515</v>
      </c>
      <c r="B118" s="98" t="s">
        <v>516</v>
      </c>
      <c r="C118" s="99">
        <v>0</v>
      </c>
      <c r="D118" s="99">
        <v>0</v>
      </c>
      <c r="E118" s="99">
        <v>-89.47</v>
      </c>
      <c r="F118" s="99">
        <v>0</v>
      </c>
      <c r="G118" s="99">
        <v>-48.54</v>
      </c>
      <c r="H118" s="99">
        <v>0</v>
      </c>
      <c r="I118" s="99">
        <v>406.22</v>
      </c>
      <c r="J118" s="99">
        <v>544.23</v>
      </c>
      <c r="K118" s="99">
        <v>-138.01</v>
      </c>
      <c r="L118" s="99">
        <v>0</v>
      </c>
    </row>
    <row r="119" spans="1:12" x14ac:dyDescent="0.25">
      <c r="A119" s="97" t="s">
        <v>517</v>
      </c>
      <c r="B119" s="98" t="s">
        <v>518</v>
      </c>
      <c r="C119" s="99">
        <v>0</v>
      </c>
      <c r="D119" s="99">
        <v>0</v>
      </c>
      <c r="E119" s="99">
        <v>100</v>
      </c>
      <c r="F119" s="99">
        <v>0</v>
      </c>
      <c r="G119" s="99">
        <v>0</v>
      </c>
      <c r="H119" s="99">
        <v>0</v>
      </c>
      <c r="I119" s="99">
        <v>100</v>
      </c>
      <c r="J119" s="99">
        <v>0</v>
      </c>
      <c r="K119" s="99">
        <v>100</v>
      </c>
      <c r="L119" s="99">
        <v>0</v>
      </c>
    </row>
    <row r="120" spans="1:12" x14ac:dyDescent="0.25">
      <c r="A120" s="97" t="s">
        <v>519</v>
      </c>
      <c r="B120" s="98" t="s">
        <v>520</v>
      </c>
      <c r="C120" s="99">
        <v>0</v>
      </c>
      <c r="D120" s="99">
        <v>0</v>
      </c>
      <c r="E120" s="99">
        <v>5.63</v>
      </c>
      <c r="F120" s="99">
        <v>0</v>
      </c>
      <c r="G120" s="99">
        <v>0</v>
      </c>
      <c r="H120" s="99">
        <v>0</v>
      </c>
      <c r="I120" s="99">
        <v>5.63</v>
      </c>
      <c r="J120" s="99">
        <v>0</v>
      </c>
      <c r="K120" s="99">
        <v>5.63</v>
      </c>
      <c r="L120" s="99">
        <v>0</v>
      </c>
    </row>
    <row r="121" spans="1:12" x14ac:dyDescent="0.25">
      <c r="A121" s="97" t="s">
        <v>521</v>
      </c>
      <c r="B121" s="98" t="s">
        <v>522</v>
      </c>
      <c r="C121" s="99">
        <v>0</v>
      </c>
      <c r="D121" s="99">
        <v>0</v>
      </c>
      <c r="E121" s="99">
        <v>56.05</v>
      </c>
      <c r="F121" s="99">
        <v>0</v>
      </c>
      <c r="G121" s="99">
        <v>0</v>
      </c>
      <c r="H121" s="99">
        <v>0</v>
      </c>
      <c r="I121" s="99">
        <v>56.05</v>
      </c>
      <c r="J121" s="99">
        <v>0</v>
      </c>
      <c r="K121" s="99">
        <v>56.05</v>
      </c>
      <c r="L121" s="99">
        <v>0</v>
      </c>
    </row>
    <row r="122" spans="1:12" x14ac:dyDescent="0.25">
      <c r="A122" s="97" t="s">
        <v>523</v>
      </c>
      <c r="B122" s="98" t="s">
        <v>524</v>
      </c>
      <c r="C122" s="99">
        <v>0</v>
      </c>
      <c r="D122" s="99">
        <v>0</v>
      </c>
      <c r="E122" s="99">
        <v>47.48</v>
      </c>
      <c r="F122" s="99">
        <v>0</v>
      </c>
      <c r="G122" s="99">
        <v>7.97</v>
      </c>
      <c r="H122" s="99">
        <v>0</v>
      </c>
      <c r="I122" s="99">
        <v>55.45</v>
      </c>
      <c r="J122" s="99">
        <v>0</v>
      </c>
      <c r="K122" s="99">
        <v>55.45</v>
      </c>
      <c r="L122" s="99">
        <v>0</v>
      </c>
    </row>
    <row r="123" spans="1:12" x14ac:dyDescent="0.25">
      <c r="A123" s="97" t="s">
        <v>525</v>
      </c>
      <c r="B123" s="98" t="s">
        <v>526</v>
      </c>
      <c r="C123" s="99">
        <v>0</v>
      </c>
      <c r="D123" s="99">
        <v>0</v>
      </c>
      <c r="E123" s="99">
        <v>297</v>
      </c>
      <c r="F123" s="99">
        <v>0</v>
      </c>
      <c r="G123" s="99">
        <v>28.28</v>
      </c>
      <c r="H123" s="99">
        <v>0</v>
      </c>
      <c r="I123" s="99">
        <v>325.27999999999997</v>
      </c>
      <c r="J123" s="99">
        <v>0</v>
      </c>
      <c r="K123" s="99">
        <v>325.27999999999997</v>
      </c>
      <c r="L123" s="99">
        <v>0</v>
      </c>
    </row>
    <row r="124" spans="1:12" x14ac:dyDescent="0.25">
      <c r="A124" s="97" t="s">
        <v>527</v>
      </c>
      <c r="B124" s="98" t="s">
        <v>528</v>
      </c>
      <c r="C124" s="99">
        <v>0</v>
      </c>
      <c r="D124" s="99">
        <v>0</v>
      </c>
      <c r="E124" s="99">
        <v>248.7</v>
      </c>
      <c r="F124" s="99">
        <v>0</v>
      </c>
      <c r="G124" s="99">
        <v>14.75</v>
      </c>
      <c r="H124" s="99">
        <v>0</v>
      </c>
      <c r="I124" s="99">
        <v>263.45</v>
      </c>
      <c r="J124" s="99">
        <v>0</v>
      </c>
      <c r="K124" s="99">
        <v>263.45</v>
      </c>
      <c r="L124" s="99">
        <v>0</v>
      </c>
    </row>
    <row r="125" spans="1:12" x14ac:dyDescent="0.25">
      <c r="A125" s="100" t="s">
        <v>529</v>
      </c>
      <c r="B125" s="101" t="s">
        <v>530</v>
      </c>
      <c r="C125" s="102">
        <v>0</v>
      </c>
      <c r="D125" s="102">
        <v>0</v>
      </c>
      <c r="E125" s="102">
        <v>29.3</v>
      </c>
      <c r="F125" s="102">
        <v>0</v>
      </c>
      <c r="G125" s="102">
        <v>0</v>
      </c>
      <c r="H125" s="102">
        <v>0</v>
      </c>
      <c r="I125" s="102">
        <v>29.3</v>
      </c>
      <c r="J125" s="102">
        <v>0</v>
      </c>
      <c r="K125" s="102">
        <v>29.3</v>
      </c>
      <c r="L125" s="102">
        <v>0</v>
      </c>
    </row>
    <row r="126" spans="1:12" x14ac:dyDescent="0.25">
      <c r="A126" s="100" t="s">
        <v>531</v>
      </c>
      <c r="B126" s="101" t="s">
        <v>532</v>
      </c>
      <c r="C126" s="102">
        <v>0</v>
      </c>
      <c r="D126" s="102">
        <v>0</v>
      </c>
      <c r="E126" s="102">
        <v>13863.51</v>
      </c>
      <c r="F126" s="102">
        <v>0</v>
      </c>
      <c r="G126" s="102">
        <v>2533.16</v>
      </c>
      <c r="H126" s="102">
        <v>0</v>
      </c>
      <c r="I126" s="102">
        <v>16396.669999999998</v>
      </c>
      <c r="J126" s="102">
        <v>0</v>
      </c>
      <c r="K126" s="102">
        <v>16396.669999999998</v>
      </c>
      <c r="L126" s="102">
        <v>0</v>
      </c>
    </row>
    <row r="127" spans="1:12" x14ac:dyDescent="0.25">
      <c r="A127" s="100" t="s">
        <v>533</v>
      </c>
      <c r="B127" s="101" t="s">
        <v>534</v>
      </c>
      <c r="C127" s="102">
        <v>0</v>
      </c>
      <c r="D127" s="102">
        <v>0</v>
      </c>
      <c r="E127" s="102">
        <v>35</v>
      </c>
      <c r="F127" s="102">
        <v>0</v>
      </c>
      <c r="G127" s="102">
        <v>33.19</v>
      </c>
      <c r="H127" s="102">
        <v>0</v>
      </c>
      <c r="I127" s="102">
        <v>68.19</v>
      </c>
      <c r="J127" s="102">
        <v>0</v>
      </c>
      <c r="K127" s="102">
        <v>68.19</v>
      </c>
      <c r="L127" s="102">
        <v>0</v>
      </c>
    </row>
    <row r="128" spans="1:12" x14ac:dyDescent="0.25">
      <c r="A128" s="100" t="s">
        <v>535</v>
      </c>
      <c r="B128" s="101" t="s">
        <v>536</v>
      </c>
      <c r="C128" s="102">
        <v>0</v>
      </c>
      <c r="D128" s="102">
        <v>0</v>
      </c>
      <c r="E128" s="102">
        <v>1945.51</v>
      </c>
      <c r="F128" s="102">
        <v>0</v>
      </c>
      <c r="G128" s="102">
        <v>135</v>
      </c>
      <c r="H128" s="102">
        <v>0</v>
      </c>
      <c r="I128" s="102">
        <v>2080.5100000000002</v>
      </c>
      <c r="J128" s="102">
        <v>0</v>
      </c>
      <c r="K128" s="102">
        <v>2080.5100000000002</v>
      </c>
      <c r="L128" s="102">
        <v>0</v>
      </c>
    </row>
    <row r="129" spans="1:12" x14ac:dyDescent="0.25">
      <c r="A129" s="100" t="s">
        <v>537</v>
      </c>
      <c r="B129" s="101" t="s">
        <v>538</v>
      </c>
      <c r="C129" s="102">
        <v>0</v>
      </c>
      <c r="D129" s="102">
        <v>0</v>
      </c>
      <c r="E129" s="102">
        <v>99.06</v>
      </c>
      <c r="F129" s="102">
        <v>0</v>
      </c>
      <c r="G129" s="102">
        <v>0</v>
      </c>
      <c r="H129" s="102">
        <v>0</v>
      </c>
      <c r="I129" s="102">
        <v>99.06</v>
      </c>
      <c r="J129" s="102">
        <v>0</v>
      </c>
      <c r="K129" s="102">
        <v>99.06</v>
      </c>
      <c r="L129" s="102">
        <v>0</v>
      </c>
    </row>
    <row r="130" spans="1:12" x14ac:dyDescent="0.25">
      <c r="A130" s="100" t="s">
        <v>539</v>
      </c>
      <c r="B130" s="101" t="s">
        <v>540</v>
      </c>
      <c r="C130" s="102">
        <v>0</v>
      </c>
      <c r="D130" s="102">
        <v>0</v>
      </c>
      <c r="E130" s="102">
        <v>39.22</v>
      </c>
      <c r="F130" s="102">
        <v>0</v>
      </c>
      <c r="G130" s="102">
        <v>1.83</v>
      </c>
      <c r="H130" s="102">
        <v>0</v>
      </c>
      <c r="I130" s="102">
        <v>41.05</v>
      </c>
      <c r="J130" s="102">
        <v>0</v>
      </c>
      <c r="K130" s="102">
        <v>41.05</v>
      </c>
      <c r="L130" s="102">
        <v>0</v>
      </c>
    </row>
    <row r="131" spans="1:12" x14ac:dyDescent="0.25">
      <c r="A131" s="100" t="s">
        <v>541</v>
      </c>
      <c r="B131" s="101" t="s">
        <v>542</v>
      </c>
      <c r="C131" s="102">
        <v>0</v>
      </c>
      <c r="D131" s="102">
        <v>0</v>
      </c>
      <c r="E131" s="102">
        <v>24200</v>
      </c>
      <c r="F131" s="102">
        <v>0</v>
      </c>
      <c r="G131" s="102">
        <v>2200</v>
      </c>
      <c r="H131" s="102">
        <v>0</v>
      </c>
      <c r="I131" s="102">
        <v>26400</v>
      </c>
      <c r="J131" s="102">
        <v>0</v>
      </c>
      <c r="K131" s="102">
        <v>26400</v>
      </c>
      <c r="L131" s="102">
        <v>0</v>
      </c>
    </row>
    <row r="132" spans="1:12" x14ac:dyDescent="0.25">
      <c r="A132" s="100" t="s">
        <v>543</v>
      </c>
      <c r="B132" s="101" t="s">
        <v>544</v>
      </c>
      <c r="C132" s="102">
        <v>0</v>
      </c>
      <c r="D132" s="102">
        <v>0</v>
      </c>
      <c r="E132" s="102">
        <v>2789.86</v>
      </c>
      <c r="F132" s="102">
        <v>0</v>
      </c>
      <c r="G132" s="102">
        <v>480.8</v>
      </c>
      <c r="H132" s="102">
        <v>0</v>
      </c>
      <c r="I132" s="102">
        <v>3420.66</v>
      </c>
      <c r="J132" s="102">
        <v>150</v>
      </c>
      <c r="K132" s="102">
        <v>3270.66</v>
      </c>
      <c r="L132" s="102">
        <v>0</v>
      </c>
    </row>
    <row r="133" spans="1:12" x14ac:dyDescent="0.25">
      <c r="A133" s="100" t="s">
        <v>545</v>
      </c>
      <c r="B133" s="101" t="s">
        <v>546</v>
      </c>
      <c r="C133" s="102">
        <v>0</v>
      </c>
      <c r="D133" s="102">
        <v>0</v>
      </c>
      <c r="E133" s="102">
        <v>0</v>
      </c>
      <c r="F133" s="102">
        <v>0</v>
      </c>
      <c r="G133" s="102">
        <v>0</v>
      </c>
      <c r="H133" s="102">
        <v>0</v>
      </c>
      <c r="I133" s="102">
        <v>0</v>
      </c>
      <c r="J133" s="102">
        <v>0</v>
      </c>
      <c r="K133" s="102">
        <v>0</v>
      </c>
      <c r="L133" s="102">
        <v>0</v>
      </c>
    </row>
    <row r="134" spans="1:12" x14ac:dyDescent="0.25">
      <c r="A134" s="100" t="s">
        <v>547</v>
      </c>
      <c r="B134" s="101" t="s">
        <v>548</v>
      </c>
      <c r="C134" s="102">
        <v>0</v>
      </c>
      <c r="D134" s="102">
        <v>0</v>
      </c>
      <c r="E134" s="102">
        <v>19.91</v>
      </c>
      <c r="F134" s="102">
        <v>0</v>
      </c>
      <c r="G134" s="102">
        <v>0</v>
      </c>
      <c r="H134" s="102">
        <v>0</v>
      </c>
      <c r="I134" s="102">
        <v>19.91</v>
      </c>
      <c r="J134" s="102">
        <v>0</v>
      </c>
      <c r="K134" s="102">
        <v>19.91</v>
      </c>
      <c r="L134" s="102">
        <v>0</v>
      </c>
    </row>
    <row r="135" spans="1:12" x14ac:dyDescent="0.25">
      <c r="A135" s="100" t="s">
        <v>549</v>
      </c>
      <c r="B135" s="101" t="s">
        <v>550</v>
      </c>
      <c r="C135" s="102">
        <v>0</v>
      </c>
      <c r="D135" s="102">
        <v>0</v>
      </c>
      <c r="E135" s="102">
        <v>572.35</v>
      </c>
      <c r="F135" s="102">
        <v>0</v>
      </c>
      <c r="G135" s="102">
        <v>18.82</v>
      </c>
      <c r="H135" s="102">
        <v>0</v>
      </c>
      <c r="I135" s="102">
        <v>591.16999999999996</v>
      </c>
      <c r="J135" s="102">
        <v>0</v>
      </c>
      <c r="K135" s="102">
        <v>591.16999999999996</v>
      </c>
      <c r="L135" s="102">
        <v>0</v>
      </c>
    </row>
    <row r="136" spans="1:12" x14ac:dyDescent="0.25">
      <c r="A136" s="100" t="s">
        <v>551</v>
      </c>
      <c r="B136" s="101" t="s">
        <v>552</v>
      </c>
      <c r="C136" s="102">
        <v>0</v>
      </c>
      <c r="D136" s="102">
        <v>0</v>
      </c>
      <c r="E136" s="102">
        <v>710.91</v>
      </c>
      <c r="F136" s="102">
        <v>0</v>
      </c>
      <c r="G136" s="102">
        <v>6.95</v>
      </c>
      <c r="H136" s="102">
        <v>0</v>
      </c>
      <c r="I136" s="102">
        <v>717.86</v>
      </c>
      <c r="J136" s="102">
        <v>0</v>
      </c>
      <c r="K136" s="102">
        <v>717.86</v>
      </c>
      <c r="L136" s="102">
        <v>0</v>
      </c>
    </row>
    <row r="137" spans="1:12" x14ac:dyDescent="0.25">
      <c r="A137" s="100" t="s">
        <v>553</v>
      </c>
      <c r="B137" s="101" t="s">
        <v>554</v>
      </c>
      <c r="C137" s="102">
        <v>0</v>
      </c>
      <c r="D137" s="102">
        <v>0</v>
      </c>
      <c r="E137" s="102">
        <v>0</v>
      </c>
      <c r="F137" s="102">
        <v>0</v>
      </c>
      <c r="G137" s="102">
        <v>7</v>
      </c>
      <c r="H137" s="102">
        <v>0</v>
      </c>
      <c r="I137" s="102">
        <v>7</v>
      </c>
      <c r="J137" s="102">
        <v>0</v>
      </c>
      <c r="K137" s="102">
        <v>7</v>
      </c>
      <c r="L137" s="102">
        <v>0</v>
      </c>
    </row>
    <row r="138" spans="1:12" x14ac:dyDescent="0.25">
      <c r="A138" s="100" t="s">
        <v>555</v>
      </c>
      <c r="B138" s="101" t="s">
        <v>556</v>
      </c>
      <c r="C138" s="102">
        <v>0</v>
      </c>
      <c r="D138" s="102">
        <v>0</v>
      </c>
      <c r="E138" s="102">
        <v>993.26</v>
      </c>
      <c r="F138" s="102">
        <v>0</v>
      </c>
      <c r="G138" s="102">
        <v>102.37</v>
      </c>
      <c r="H138" s="102">
        <v>0</v>
      </c>
      <c r="I138" s="102">
        <v>1095.6300000000001</v>
      </c>
      <c r="J138" s="102">
        <v>0</v>
      </c>
      <c r="K138" s="102">
        <v>1095.6300000000001</v>
      </c>
      <c r="L138" s="102">
        <v>0</v>
      </c>
    </row>
    <row r="139" spans="1:12" x14ac:dyDescent="0.25">
      <c r="A139" s="100" t="s">
        <v>557</v>
      </c>
      <c r="B139" s="101" t="s">
        <v>558</v>
      </c>
      <c r="C139" s="102">
        <v>0</v>
      </c>
      <c r="D139" s="102">
        <v>0</v>
      </c>
      <c r="E139" s="102">
        <v>491.09</v>
      </c>
      <c r="F139" s="102">
        <v>0</v>
      </c>
      <c r="G139" s="102">
        <v>2.4</v>
      </c>
      <c r="H139" s="102">
        <v>0</v>
      </c>
      <c r="I139" s="102">
        <v>493.49</v>
      </c>
      <c r="J139" s="102">
        <v>0</v>
      </c>
      <c r="K139" s="102">
        <v>493.49</v>
      </c>
      <c r="L139" s="102">
        <v>0</v>
      </c>
    </row>
    <row r="140" spans="1:12" x14ac:dyDescent="0.25">
      <c r="A140" s="100" t="s">
        <v>559</v>
      </c>
      <c r="B140" s="101" t="s">
        <v>560</v>
      </c>
      <c r="C140" s="102">
        <v>0</v>
      </c>
      <c r="D140" s="102">
        <v>0</v>
      </c>
      <c r="E140" s="102">
        <v>6976.32</v>
      </c>
      <c r="F140" s="102">
        <v>0</v>
      </c>
      <c r="G140" s="102">
        <v>872.22</v>
      </c>
      <c r="H140" s="102">
        <v>0</v>
      </c>
      <c r="I140" s="102">
        <v>7848.54</v>
      </c>
      <c r="J140" s="102">
        <v>0</v>
      </c>
      <c r="K140" s="102">
        <v>7848.54</v>
      </c>
      <c r="L140" s="102">
        <v>0</v>
      </c>
    </row>
    <row r="141" spans="1:12" x14ac:dyDescent="0.25">
      <c r="A141" s="100" t="s">
        <v>561</v>
      </c>
      <c r="B141" s="101" t="s">
        <v>562</v>
      </c>
      <c r="C141" s="102">
        <v>0</v>
      </c>
      <c r="D141" s="102">
        <v>0</v>
      </c>
      <c r="E141" s="102">
        <v>0</v>
      </c>
      <c r="F141" s="102">
        <v>0</v>
      </c>
      <c r="G141" s="102">
        <v>0</v>
      </c>
      <c r="H141" s="102">
        <v>0</v>
      </c>
      <c r="I141" s="102">
        <v>0</v>
      </c>
      <c r="J141" s="102">
        <v>0</v>
      </c>
      <c r="K141" s="102">
        <v>0</v>
      </c>
      <c r="L141" s="102">
        <v>0</v>
      </c>
    </row>
    <row r="142" spans="1:12" x14ac:dyDescent="0.25">
      <c r="A142" s="100" t="s">
        <v>563</v>
      </c>
      <c r="B142" s="101" t="s">
        <v>564</v>
      </c>
      <c r="C142" s="102">
        <v>0</v>
      </c>
      <c r="D142" s="102">
        <v>0</v>
      </c>
      <c r="E142" s="102">
        <v>-304.23</v>
      </c>
      <c r="F142" s="102">
        <v>0</v>
      </c>
      <c r="G142" s="102">
        <v>0</v>
      </c>
      <c r="H142" s="102">
        <v>0</v>
      </c>
      <c r="I142" s="102">
        <v>0</v>
      </c>
      <c r="J142" s="102">
        <v>304.23</v>
      </c>
      <c r="K142" s="102">
        <v>-304.23</v>
      </c>
      <c r="L142" s="102">
        <v>0</v>
      </c>
    </row>
    <row r="143" spans="1:12" x14ac:dyDescent="0.25">
      <c r="A143" s="100" t="s">
        <v>565</v>
      </c>
      <c r="B143" s="101" t="s">
        <v>566</v>
      </c>
      <c r="C143" s="102">
        <v>0</v>
      </c>
      <c r="D143" s="102">
        <v>0</v>
      </c>
      <c r="E143" s="102">
        <v>88</v>
      </c>
      <c r="F143" s="102">
        <v>0</v>
      </c>
      <c r="G143" s="102">
        <v>2</v>
      </c>
      <c r="H143" s="102">
        <v>0</v>
      </c>
      <c r="I143" s="102">
        <v>90</v>
      </c>
      <c r="J143" s="102">
        <v>0</v>
      </c>
      <c r="K143" s="102">
        <v>90</v>
      </c>
      <c r="L143" s="102">
        <v>0</v>
      </c>
    </row>
    <row r="144" spans="1:12" x14ac:dyDescent="0.25">
      <c r="A144" s="100" t="s">
        <v>567</v>
      </c>
      <c r="B144" s="101" t="s">
        <v>568</v>
      </c>
      <c r="C144" s="102">
        <v>0</v>
      </c>
      <c r="D144" s="102">
        <v>0</v>
      </c>
      <c r="E144" s="102">
        <v>108</v>
      </c>
      <c r="F144" s="102">
        <v>0</v>
      </c>
      <c r="G144" s="102">
        <v>0</v>
      </c>
      <c r="H144" s="102">
        <v>0</v>
      </c>
      <c r="I144" s="102">
        <v>108</v>
      </c>
      <c r="J144" s="102">
        <v>0</v>
      </c>
      <c r="K144" s="102">
        <v>108</v>
      </c>
      <c r="L144" s="102">
        <v>0</v>
      </c>
    </row>
    <row r="145" spans="1:12" x14ac:dyDescent="0.25">
      <c r="A145" s="100" t="s">
        <v>569</v>
      </c>
      <c r="B145" s="101" t="s">
        <v>570</v>
      </c>
      <c r="C145" s="102">
        <v>0</v>
      </c>
      <c r="D145" s="102">
        <v>0</v>
      </c>
      <c r="E145" s="102">
        <v>90</v>
      </c>
      <c r="F145" s="102">
        <v>0</v>
      </c>
      <c r="G145" s="102">
        <v>90</v>
      </c>
      <c r="H145" s="102">
        <v>0</v>
      </c>
      <c r="I145" s="102">
        <v>180</v>
      </c>
      <c r="J145" s="102">
        <v>0</v>
      </c>
      <c r="K145" s="102">
        <v>180</v>
      </c>
      <c r="L145" s="102">
        <v>0</v>
      </c>
    </row>
    <row r="146" spans="1:12" x14ac:dyDescent="0.25">
      <c r="A146" s="100" t="s">
        <v>571</v>
      </c>
      <c r="B146" s="101" t="s">
        <v>572</v>
      </c>
      <c r="C146" s="102">
        <v>0</v>
      </c>
      <c r="D146" s="102">
        <v>0</v>
      </c>
      <c r="E146" s="102">
        <v>1.54</v>
      </c>
      <c r="F146" s="102">
        <v>0</v>
      </c>
      <c r="G146" s="102">
        <v>0</v>
      </c>
      <c r="H146" s="102">
        <v>0</v>
      </c>
      <c r="I146" s="102">
        <v>1.54</v>
      </c>
      <c r="J146" s="102">
        <v>0</v>
      </c>
      <c r="K146" s="102">
        <v>1.54</v>
      </c>
      <c r="L146" s="102">
        <v>0</v>
      </c>
    </row>
    <row r="147" spans="1:12" x14ac:dyDescent="0.25">
      <c r="A147" s="100" t="s">
        <v>573</v>
      </c>
      <c r="B147" s="101" t="s">
        <v>574</v>
      </c>
      <c r="C147" s="102">
        <v>0</v>
      </c>
      <c r="D147" s="102">
        <v>0</v>
      </c>
      <c r="E147" s="102">
        <v>51722.05</v>
      </c>
      <c r="F147" s="102">
        <v>0</v>
      </c>
      <c r="G147" s="102">
        <v>4782.32</v>
      </c>
      <c r="H147" s="102">
        <v>0</v>
      </c>
      <c r="I147" s="102">
        <v>57092.44</v>
      </c>
      <c r="J147" s="102">
        <v>588.07000000000005</v>
      </c>
      <c r="K147" s="102">
        <v>56504.37</v>
      </c>
      <c r="L147" s="102">
        <v>0</v>
      </c>
    </row>
    <row r="148" spans="1:12" x14ac:dyDescent="0.25">
      <c r="A148" s="100" t="s">
        <v>575</v>
      </c>
      <c r="B148" s="101" t="s">
        <v>576</v>
      </c>
      <c r="C148" s="102">
        <v>0</v>
      </c>
      <c r="D148" s="102">
        <v>0</v>
      </c>
      <c r="E148" s="102">
        <v>6125.56</v>
      </c>
      <c r="F148" s="102">
        <v>0</v>
      </c>
      <c r="G148" s="102">
        <v>302</v>
      </c>
      <c r="H148" s="102">
        <v>0</v>
      </c>
      <c r="I148" s="102">
        <v>6427.56</v>
      </c>
      <c r="J148" s="102">
        <v>0</v>
      </c>
      <c r="K148" s="102">
        <v>6427.56</v>
      </c>
      <c r="L148" s="102">
        <v>0</v>
      </c>
    </row>
    <row r="149" spans="1:12" x14ac:dyDescent="0.25">
      <c r="A149" s="100" t="s">
        <v>577</v>
      </c>
      <c r="B149" s="101" t="s">
        <v>578</v>
      </c>
      <c r="C149" s="102">
        <v>0</v>
      </c>
      <c r="D149" s="102">
        <v>0</v>
      </c>
      <c r="E149" s="102">
        <v>154</v>
      </c>
      <c r="F149" s="102">
        <v>0</v>
      </c>
      <c r="G149" s="102">
        <v>14</v>
      </c>
      <c r="H149" s="102">
        <v>0</v>
      </c>
      <c r="I149" s="102">
        <v>168</v>
      </c>
      <c r="J149" s="102">
        <v>0</v>
      </c>
      <c r="K149" s="102">
        <v>168</v>
      </c>
      <c r="L149" s="102">
        <v>0</v>
      </c>
    </row>
    <row r="150" spans="1:12" x14ac:dyDescent="0.25">
      <c r="A150" s="100" t="s">
        <v>579</v>
      </c>
      <c r="B150" s="101" t="s">
        <v>580</v>
      </c>
      <c r="C150" s="102">
        <v>0</v>
      </c>
      <c r="D150" s="102">
        <v>0</v>
      </c>
      <c r="E150" s="102">
        <v>570.27</v>
      </c>
      <c r="F150" s="102">
        <v>0</v>
      </c>
      <c r="G150" s="102">
        <v>50.57</v>
      </c>
      <c r="H150" s="102">
        <v>0</v>
      </c>
      <c r="I150" s="102">
        <v>620.84</v>
      </c>
      <c r="J150" s="102">
        <v>0</v>
      </c>
      <c r="K150" s="102">
        <v>620.84</v>
      </c>
      <c r="L150" s="102">
        <v>0</v>
      </c>
    </row>
    <row r="151" spans="1:12" x14ac:dyDescent="0.25">
      <c r="A151" s="100" t="s">
        <v>581</v>
      </c>
      <c r="B151" s="101" t="s">
        <v>582</v>
      </c>
      <c r="C151" s="102">
        <v>0</v>
      </c>
      <c r="D151" s="102">
        <v>0</v>
      </c>
      <c r="E151" s="102">
        <v>102.5</v>
      </c>
      <c r="F151" s="102">
        <v>0</v>
      </c>
      <c r="G151" s="102">
        <v>19</v>
      </c>
      <c r="H151" s="102">
        <v>0</v>
      </c>
      <c r="I151" s="102">
        <v>121.5</v>
      </c>
      <c r="J151" s="102">
        <v>0</v>
      </c>
      <c r="K151" s="102">
        <v>121.5</v>
      </c>
      <c r="L151" s="102">
        <v>0</v>
      </c>
    </row>
    <row r="152" spans="1:12" x14ac:dyDescent="0.25">
      <c r="A152" s="100" t="s">
        <v>583</v>
      </c>
      <c r="B152" s="101" t="s">
        <v>584</v>
      </c>
      <c r="C152" s="102">
        <v>0</v>
      </c>
      <c r="D152" s="102">
        <v>0</v>
      </c>
      <c r="E152" s="102">
        <v>366.5</v>
      </c>
      <c r="F152" s="102">
        <v>0</v>
      </c>
      <c r="G152" s="102">
        <v>0</v>
      </c>
      <c r="H152" s="102">
        <v>0</v>
      </c>
      <c r="I152" s="102">
        <v>366.5</v>
      </c>
      <c r="J152" s="102">
        <v>0</v>
      </c>
      <c r="K152" s="102">
        <v>366.5</v>
      </c>
      <c r="L152" s="102">
        <v>0</v>
      </c>
    </row>
    <row r="153" spans="1:12" x14ac:dyDescent="0.25">
      <c r="A153" s="100" t="s">
        <v>585</v>
      </c>
      <c r="B153" s="101" t="s">
        <v>586</v>
      </c>
      <c r="C153" s="102">
        <v>0</v>
      </c>
      <c r="D153" s="102">
        <v>0</v>
      </c>
      <c r="E153" s="102">
        <v>1046.29</v>
      </c>
      <c r="F153" s="102">
        <v>0</v>
      </c>
      <c r="G153" s="102">
        <v>279.72000000000003</v>
      </c>
      <c r="H153" s="102">
        <v>0</v>
      </c>
      <c r="I153" s="102">
        <v>1326.01</v>
      </c>
      <c r="J153" s="102">
        <v>0</v>
      </c>
      <c r="K153" s="102">
        <v>1326.01</v>
      </c>
      <c r="L153" s="102">
        <v>0</v>
      </c>
    </row>
    <row r="154" spans="1:12" x14ac:dyDescent="0.25">
      <c r="A154" s="100" t="s">
        <v>587</v>
      </c>
      <c r="B154" s="101" t="s">
        <v>588</v>
      </c>
      <c r="C154" s="102">
        <v>0</v>
      </c>
      <c r="D154" s="102">
        <v>0</v>
      </c>
      <c r="E154" s="102">
        <v>480.36</v>
      </c>
      <c r="F154" s="102">
        <v>0</v>
      </c>
      <c r="G154" s="102">
        <v>69.33</v>
      </c>
      <c r="H154" s="102">
        <v>0</v>
      </c>
      <c r="I154" s="102">
        <v>549.69000000000005</v>
      </c>
      <c r="J154" s="102">
        <v>0</v>
      </c>
      <c r="K154" s="102">
        <v>549.69000000000005</v>
      </c>
      <c r="L154" s="102">
        <v>0</v>
      </c>
    </row>
    <row r="155" spans="1:12" x14ac:dyDescent="0.25">
      <c r="A155" s="100" t="s">
        <v>589</v>
      </c>
      <c r="B155" s="101" t="s">
        <v>590</v>
      </c>
      <c r="C155" s="102">
        <v>0</v>
      </c>
      <c r="D155" s="102">
        <v>0</v>
      </c>
      <c r="E155" s="102">
        <v>826</v>
      </c>
      <c r="F155" s="102">
        <v>0</v>
      </c>
      <c r="G155" s="102">
        <v>46</v>
      </c>
      <c r="H155" s="102">
        <v>0</v>
      </c>
      <c r="I155" s="102">
        <v>872</v>
      </c>
      <c r="J155" s="102">
        <v>0</v>
      </c>
      <c r="K155" s="102">
        <v>872</v>
      </c>
      <c r="L155" s="102">
        <v>0</v>
      </c>
    </row>
    <row r="156" spans="1:12" x14ac:dyDescent="0.25">
      <c r="A156" s="100" t="s">
        <v>591</v>
      </c>
      <c r="B156" s="101" t="s">
        <v>592</v>
      </c>
      <c r="C156" s="102">
        <v>0</v>
      </c>
      <c r="D156" s="102">
        <v>0</v>
      </c>
      <c r="E156" s="102">
        <v>1219.07</v>
      </c>
      <c r="F156" s="102">
        <v>0</v>
      </c>
      <c r="G156" s="102">
        <v>496.03</v>
      </c>
      <c r="H156" s="102">
        <v>0</v>
      </c>
      <c r="I156" s="102">
        <v>1715.1</v>
      </c>
      <c r="J156" s="102">
        <v>0</v>
      </c>
      <c r="K156" s="102">
        <v>1715.1</v>
      </c>
      <c r="L156" s="102">
        <v>0</v>
      </c>
    </row>
    <row r="157" spans="1:12" x14ac:dyDescent="0.25">
      <c r="A157" s="100" t="s">
        <v>593</v>
      </c>
      <c r="B157" s="101" t="s">
        <v>594</v>
      </c>
      <c r="C157" s="102">
        <v>0</v>
      </c>
      <c r="D157" s="102">
        <v>0</v>
      </c>
      <c r="E157" s="102">
        <v>337.31</v>
      </c>
      <c r="F157" s="102">
        <v>0</v>
      </c>
      <c r="G157" s="102">
        <v>212.48</v>
      </c>
      <c r="H157" s="102">
        <v>0</v>
      </c>
      <c r="I157" s="102">
        <v>549.79</v>
      </c>
      <c r="J157" s="102">
        <v>0</v>
      </c>
      <c r="K157" s="102">
        <v>549.79</v>
      </c>
      <c r="L157" s="102">
        <v>0</v>
      </c>
    </row>
    <row r="158" spans="1:12" x14ac:dyDescent="0.25">
      <c r="A158" s="100" t="s">
        <v>595</v>
      </c>
      <c r="B158" s="101" t="s">
        <v>596</v>
      </c>
      <c r="C158" s="102">
        <v>0</v>
      </c>
      <c r="D158" s="102">
        <v>0</v>
      </c>
      <c r="E158" s="102">
        <v>3645.17</v>
      </c>
      <c r="F158" s="102">
        <v>0</v>
      </c>
      <c r="G158" s="102">
        <v>113.4</v>
      </c>
      <c r="H158" s="102">
        <v>97.86</v>
      </c>
      <c r="I158" s="102">
        <v>4349.6899999999996</v>
      </c>
      <c r="J158" s="102">
        <v>688.98</v>
      </c>
      <c r="K158" s="102">
        <v>3660.71</v>
      </c>
      <c r="L158" s="102">
        <v>0</v>
      </c>
    </row>
    <row r="159" spans="1:12" x14ac:dyDescent="0.25">
      <c r="A159" s="100" t="s">
        <v>597</v>
      </c>
      <c r="B159" s="101" t="s">
        <v>598</v>
      </c>
      <c r="C159" s="102">
        <v>0</v>
      </c>
      <c r="D159" s="102">
        <v>0</v>
      </c>
      <c r="E159" s="102">
        <v>20753.68</v>
      </c>
      <c r="F159" s="102">
        <v>0</v>
      </c>
      <c r="G159" s="102">
        <v>1854</v>
      </c>
      <c r="H159" s="102">
        <v>0</v>
      </c>
      <c r="I159" s="102">
        <v>22607.68</v>
      </c>
      <c r="J159" s="102">
        <v>0</v>
      </c>
      <c r="K159" s="102">
        <v>22607.68</v>
      </c>
      <c r="L159" s="102">
        <v>0</v>
      </c>
    </row>
    <row r="160" spans="1:12" x14ac:dyDescent="0.25">
      <c r="A160" s="100" t="s">
        <v>599</v>
      </c>
      <c r="B160" s="101" t="s">
        <v>600</v>
      </c>
      <c r="C160" s="102">
        <v>0</v>
      </c>
      <c r="D160" s="102">
        <v>0</v>
      </c>
      <c r="E160" s="102">
        <v>15.54</v>
      </c>
      <c r="F160" s="102">
        <v>0</v>
      </c>
      <c r="G160" s="102">
        <v>180.13</v>
      </c>
      <c r="H160" s="102">
        <v>0</v>
      </c>
      <c r="I160" s="102">
        <v>402.25</v>
      </c>
      <c r="J160" s="102">
        <v>206.58</v>
      </c>
      <c r="K160" s="102">
        <v>195.67</v>
      </c>
      <c r="L160" s="102">
        <v>0</v>
      </c>
    </row>
    <row r="161" spans="1:12" x14ac:dyDescent="0.25">
      <c r="A161" s="100" t="s">
        <v>601</v>
      </c>
      <c r="B161" s="101" t="s">
        <v>602</v>
      </c>
      <c r="C161" s="102">
        <v>0</v>
      </c>
      <c r="D161" s="102">
        <v>0</v>
      </c>
      <c r="E161" s="102">
        <v>118.73</v>
      </c>
      <c r="F161" s="102">
        <v>0</v>
      </c>
      <c r="G161" s="102">
        <v>74.790000000000006</v>
      </c>
      <c r="H161" s="102">
        <v>0</v>
      </c>
      <c r="I161" s="102">
        <v>193.52</v>
      </c>
      <c r="J161" s="102">
        <v>0</v>
      </c>
      <c r="K161" s="102">
        <v>193.52</v>
      </c>
      <c r="L161" s="102">
        <v>0</v>
      </c>
    </row>
    <row r="162" spans="1:12" x14ac:dyDescent="0.25">
      <c r="A162" s="100" t="s">
        <v>603</v>
      </c>
      <c r="B162" s="101" t="s">
        <v>604</v>
      </c>
      <c r="C162" s="102">
        <v>0</v>
      </c>
      <c r="D162" s="102">
        <v>0</v>
      </c>
      <c r="E162" s="102">
        <v>1288.0899999999999</v>
      </c>
      <c r="F162" s="102">
        <v>0</v>
      </c>
      <c r="G162" s="102">
        <v>39.93</v>
      </c>
      <c r="H162" s="102">
        <v>34.450000000000003</v>
      </c>
      <c r="I162" s="102">
        <v>1527.76</v>
      </c>
      <c r="J162" s="102">
        <v>234.19</v>
      </c>
      <c r="K162" s="102">
        <v>1293.57</v>
      </c>
      <c r="L162" s="102">
        <v>0</v>
      </c>
    </row>
    <row r="163" spans="1:12" x14ac:dyDescent="0.25">
      <c r="A163" s="100" t="s">
        <v>605</v>
      </c>
      <c r="B163" s="101" t="s">
        <v>606</v>
      </c>
      <c r="C163" s="102">
        <v>0</v>
      </c>
      <c r="D163" s="102">
        <v>0</v>
      </c>
      <c r="E163" s="102">
        <v>337.24</v>
      </c>
      <c r="F163" s="102">
        <v>0</v>
      </c>
      <c r="G163" s="102">
        <v>32.229999999999997</v>
      </c>
      <c r="H163" s="102">
        <v>0</v>
      </c>
      <c r="I163" s="102">
        <v>369.47</v>
      </c>
      <c r="J163" s="102">
        <v>0</v>
      </c>
      <c r="K163" s="102">
        <v>369.47</v>
      </c>
      <c r="L163" s="102">
        <v>0</v>
      </c>
    </row>
    <row r="164" spans="1:12" x14ac:dyDescent="0.25">
      <c r="A164" s="100" t="s">
        <v>607</v>
      </c>
      <c r="B164" s="101" t="s">
        <v>608</v>
      </c>
      <c r="C164" s="102">
        <v>0</v>
      </c>
      <c r="D164" s="102">
        <v>0</v>
      </c>
      <c r="E164" s="102">
        <v>1465.1</v>
      </c>
      <c r="F164" s="102">
        <v>0</v>
      </c>
      <c r="G164" s="102">
        <v>121.94</v>
      </c>
      <c r="H164" s="102">
        <v>0</v>
      </c>
      <c r="I164" s="102">
        <v>1587.04</v>
      </c>
      <c r="J164" s="102">
        <v>0</v>
      </c>
      <c r="K164" s="102">
        <v>1587.04</v>
      </c>
      <c r="L164" s="102">
        <v>0</v>
      </c>
    </row>
    <row r="165" spans="1:12" x14ac:dyDescent="0.25">
      <c r="A165" s="100" t="s">
        <v>609</v>
      </c>
      <c r="B165" s="101" t="s">
        <v>610</v>
      </c>
      <c r="C165" s="102">
        <v>0</v>
      </c>
      <c r="D165" s="102">
        <v>0</v>
      </c>
      <c r="E165" s="102">
        <v>87.7</v>
      </c>
      <c r="F165" s="102">
        <v>0</v>
      </c>
      <c r="G165" s="102">
        <v>0</v>
      </c>
      <c r="H165" s="102">
        <v>0</v>
      </c>
      <c r="I165" s="102">
        <v>87.7</v>
      </c>
      <c r="J165" s="102">
        <v>0</v>
      </c>
      <c r="K165" s="102">
        <v>87.7</v>
      </c>
      <c r="L165" s="102">
        <v>0</v>
      </c>
    </row>
    <row r="166" spans="1:12" x14ac:dyDescent="0.25">
      <c r="A166" s="100" t="s">
        <v>611</v>
      </c>
      <c r="B166" s="101" t="s">
        <v>612</v>
      </c>
      <c r="C166" s="102">
        <v>0</v>
      </c>
      <c r="D166" s="102">
        <v>0</v>
      </c>
      <c r="E166" s="102">
        <v>137.37</v>
      </c>
      <c r="F166" s="102">
        <v>0</v>
      </c>
      <c r="G166" s="102">
        <v>0</v>
      </c>
      <c r="H166" s="102">
        <v>0</v>
      </c>
      <c r="I166" s="102">
        <v>137.37</v>
      </c>
      <c r="J166" s="102">
        <v>0</v>
      </c>
      <c r="K166" s="102">
        <v>137.37</v>
      </c>
      <c r="L166" s="102">
        <v>0</v>
      </c>
    </row>
    <row r="167" spans="1:12" x14ac:dyDescent="0.25">
      <c r="A167" s="100" t="s">
        <v>613</v>
      </c>
      <c r="B167" s="101" t="s">
        <v>413</v>
      </c>
      <c r="C167" s="102">
        <v>0</v>
      </c>
      <c r="D167" s="102">
        <v>0</v>
      </c>
      <c r="E167" s="102">
        <v>88.68</v>
      </c>
      <c r="F167" s="102">
        <v>0</v>
      </c>
      <c r="G167" s="102">
        <v>0</v>
      </c>
      <c r="H167" s="102">
        <v>0</v>
      </c>
      <c r="I167" s="102">
        <v>88.68</v>
      </c>
      <c r="J167" s="102">
        <v>0</v>
      </c>
      <c r="K167" s="102">
        <v>88.68</v>
      </c>
      <c r="L167" s="102">
        <v>0</v>
      </c>
    </row>
    <row r="168" spans="1:12" x14ac:dyDescent="0.25">
      <c r="A168" s="100" t="s">
        <v>614</v>
      </c>
      <c r="B168" s="101" t="s">
        <v>615</v>
      </c>
      <c r="C168" s="102">
        <v>0</v>
      </c>
      <c r="D168" s="102">
        <v>0</v>
      </c>
      <c r="E168" s="102">
        <v>30</v>
      </c>
      <c r="F168" s="102">
        <v>0</v>
      </c>
      <c r="G168" s="102">
        <v>0</v>
      </c>
      <c r="H168" s="102">
        <v>0</v>
      </c>
      <c r="I168" s="102">
        <v>30</v>
      </c>
      <c r="J168" s="102">
        <v>0</v>
      </c>
      <c r="K168" s="102">
        <v>30</v>
      </c>
      <c r="L168" s="102">
        <v>0</v>
      </c>
    </row>
    <row r="169" spans="1:12" x14ac:dyDescent="0.25">
      <c r="A169" s="100" t="s">
        <v>616</v>
      </c>
      <c r="B169" s="101" t="s">
        <v>617</v>
      </c>
      <c r="C169" s="102">
        <v>0</v>
      </c>
      <c r="D169" s="102">
        <v>0</v>
      </c>
      <c r="E169" s="102">
        <v>0</v>
      </c>
      <c r="F169" s="102">
        <v>0</v>
      </c>
      <c r="G169" s="102">
        <v>39.729999999999997</v>
      </c>
      <c r="H169" s="102">
        <v>0</v>
      </c>
      <c r="I169" s="102">
        <v>39.729999999999997</v>
      </c>
      <c r="J169" s="102">
        <v>0</v>
      </c>
      <c r="K169" s="102">
        <v>39.729999999999997</v>
      </c>
      <c r="L169" s="102">
        <v>0</v>
      </c>
    </row>
    <row r="170" spans="1:12" x14ac:dyDescent="0.25">
      <c r="A170" s="100" t="s">
        <v>618</v>
      </c>
      <c r="B170" s="101" t="s">
        <v>619</v>
      </c>
      <c r="C170" s="102">
        <v>0</v>
      </c>
      <c r="D170" s="102">
        <v>0</v>
      </c>
      <c r="E170" s="102">
        <v>0.95</v>
      </c>
      <c r="F170" s="102">
        <v>0</v>
      </c>
      <c r="G170" s="102">
        <v>0.08</v>
      </c>
      <c r="H170" s="102">
        <v>0</v>
      </c>
      <c r="I170" s="102">
        <v>1.03</v>
      </c>
      <c r="J170" s="102">
        <v>0</v>
      </c>
      <c r="K170" s="102">
        <v>1.03</v>
      </c>
      <c r="L170" s="102">
        <v>0</v>
      </c>
    </row>
    <row r="171" spans="1:12" x14ac:dyDescent="0.25">
      <c r="A171" s="100" t="s">
        <v>620</v>
      </c>
      <c r="B171" s="101" t="s">
        <v>621</v>
      </c>
      <c r="C171" s="102">
        <v>0</v>
      </c>
      <c r="D171" s="102">
        <v>0</v>
      </c>
      <c r="E171" s="102">
        <v>254.7</v>
      </c>
      <c r="F171" s="102">
        <v>0</v>
      </c>
      <c r="G171" s="102">
        <v>31.53</v>
      </c>
      <c r="H171" s="102">
        <v>0</v>
      </c>
      <c r="I171" s="102">
        <v>286.23</v>
      </c>
      <c r="J171" s="102">
        <v>0</v>
      </c>
      <c r="K171" s="102">
        <v>286.23</v>
      </c>
      <c r="L171" s="102">
        <v>0</v>
      </c>
    </row>
    <row r="172" spans="1:12" x14ac:dyDescent="0.25">
      <c r="A172" s="100" t="s">
        <v>622</v>
      </c>
      <c r="B172" s="101" t="s">
        <v>623</v>
      </c>
      <c r="C172" s="102">
        <v>0</v>
      </c>
      <c r="D172" s="102">
        <v>0</v>
      </c>
      <c r="E172" s="102">
        <v>21.13</v>
      </c>
      <c r="F172" s="102">
        <v>0</v>
      </c>
      <c r="G172" s="102">
        <v>0</v>
      </c>
      <c r="H172" s="102">
        <v>0</v>
      </c>
      <c r="I172" s="102">
        <v>21.13</v>
      </c>
      <c r="J172" s="102">
        <v>0</v>
      </c>
      <c r="K172" s="102">
        <v>21.13</v>
      </c>
      <c r="L172" s="102">
        <v>0</v>
      </c>
    </row>
    <row r="173" spans="1:12" x14ac:dyDescent="0.25">
      <c r="A173" s="100" t="s">
        <v>624</v>
      </c>
      <c r="B173" s="101" t="s">
        <v>625</v>
      </c>
      <c r="C173" s="102">
        <v>0</v>
      </c>
      <c r="D173" s="102">
        <v>0</v>
      </c>
      <c r="E173" s="102">
        <v>169</v>
      </c>
      <c r="F173" s="102">
        <v>0</v>
      </c>
      <c r="G173" s="102">
        <v>0</v>
      </c>
      <c r="H173" s="102">
        <v>0</v>
      </c>
      <c r="I173" s="102">
        <v>169</v>
      </c>
      <c r="J173" s="102">
        <v>0</v>
      </c>
      <c r="K173" s="102">
        <v>169</v>
      </c>
      <c r="L173" s="102">
        <v>0</v>
      </c>
    </row>
    <row r="174" spans="1:12" x14ac:dyDescent="0.25">
      <c r="A174" s="100" t="s">
        <v>626</v>
      </c>
      <c r="B174" s="101" t="s">
        <v>627</v>
      </c>
      <c r="C174" s="102">
        <v>0</v>
      </c>
      <c r="D174" s="102">
        <v>0</v>
      </c>
      <c r="E174" s="102">
        <v>8</v>
      </c>
      <c r="F174" s="102">
        <v>0</v>
      </c>
      <c r="G174" s="102">
        <v>0</v>
      </c>
      <c r="H174" s="102">
        <v>0</v>
      </c>
      <c r="I174" s="102">
        <v>8</v>
      </c>
      <c r="J174" s="102">
        <v>0</v>
      </c>
      <c r="K174" s="102">
        <v>8</v>
      </c>
      <c r="L174" s="102">
        <v>0</v>
      </c>
    </row>
    <row r="175" spans="1:12" x14ac:dyDescent="0.25">
      <c r="A175" s="100" t="s">
        <v>628</v>
      </c>
      <c r="B175" s="101" t="s">
        <v>629</v>
      </c>
      <c r="C175" s="102">
        <v>0</v>
      </c>
      <c r="D175" s="102">
        <v>0</v>
      </c>
      <c r="E175" s="102">
        <v>6.52</v>
      </c>
      <c r="F175" s="102">
        <v>0</v>
      </c>
      <c r="G175" s="102">
        <v>5.66</v>
      </c>
      <c r="H175" s="102">
        <v>0</v>
      </c>
      <c r="I175" s="102">
        <v>12.18</v>
      </c>
      <c r="J175" s="102">
        <v>0</v>
      </c>
      <c r="K175" s="102">
        <v>12.18</v>
      </c>
      <c r="L175" s="102">
        <v>0</v>
      </c>
    </row>
    <row r="176" spans="1:12" x14ac:dyDescent="0.25">
      <c r="A176" s="100" t="s">
        <v>630</v>
      </c>
      <c r="B176" s="101" t="s">
        <v>631</v>
      </c>
      <c r="C176" s="102">
        <v>0</v>
      </c>
      <c r="D176" s="102">
        <v>0</v>
      </c>
      <c r="E176" s="102">
        <v>1.19</v>
      </c>
      <c r="F176" s="102">
        <v>0</v>
      </c>
      <c r="G176" s="102">
        <v>0</v>
      </c>
      <c r="H176" s="102">
        <v>0</v>
      </c>
      <c r="I176" s="102">
        <v>1.19</v>
      </c>
      <c r="J176" s="102">
        <v>0</v>
      </c>
      <c r="K176" s="102">
        <v>1.19</v>
      </c>
      <c r="L176" s="102">
        <v>0</v>
      </c>
    </row>
    <row r="177" spans="1:12" x14ac:dyDescent="0.25">
      <c r="A177" s="100" t="s">
        <v>632</v>
      </c>
      <c r="B177" s="101" t="s">
        <v>633</v>
      </c>
      <c r="C177" s="102">
        <v>0</v>
      </c>
      <c r="D177" s="102">
        <v>0</v>
      </c>
      <c r="E177" s="102">
        <v>66.62</v>
      </c>
      <c r="F177" s="102">
        <v>0</v>
      </c>
      <c r="G177" s="102">
        <v>0</v>
      </c>
      <c r="H177" s="102">
        <v>0</v>
      </c>
      <c r="I177" s="102">
        <v>66.62</v>
      </c>
      <c r="J177" s="102">
        <v>0</v>
      </c>
      <c r="K177" s="102">
        <v>66.62</v>
      </c>
      <c r="L177" s="102">
        <v>0</v>
      </c>
    </row>
    <row r="178" spans="1:12" x14ac:dyDescent="0.25">
      <c r="A178" s="100" t="s">
        <v>634</v>
      </c>
      <c r="B178" s="101" t="s">
        <v>635</v>
      </c>
      <c r="C178" s="102">
        <v>0</v>
      </c>
      <c r="D178" s="102">
        <v>0</v>
      </c>
      <c r="E178" s="102">
        <v>37.9</v>
      </c>
      <c r="F178" s="102">
        <v>0</v>
      </c>
      <c r="G178" s="102">
        <v>-37.9</v>
      </c>
      <c r="H178" s="102">
        <v>0</v>
      </c>
      <c r="I178" s="102">
        <v>0</v>
      </c>
      <c r="J178" s="102">
        <v>0</v>
      </c>
      <c r="K178" s="102">
        <v>0</v>
      </c>
      <c r="L178" s="102">
        <v>0</v>
      </c>
    </row>
    <row r="179" spans="1:12" x14ac:dyDescent="0.25">
      <c r="A179" s="100" t="s">
        <v>636</v>
      </c>
      <c r="B179" s="101" t="s">
        <v>637</v>
      </c>
      <c r="C179" s="102">
        <v>0</v>
      </c>
      <c r="D179" s="102">
        <v>0</v>
      </c>
      <c r="E179" s="102">
        <v>3780.04</v>
      </c>
      <c r="F179" s="102">
        <v>0</v>
      </c>
      <c r="G179" s="102">
        <v>343.64</v>
      </c>
      <c r="H179" s="102">
        <v>0</v>
      </c>
      <c r="I179" s="102">
        <v>4123.68</v>
      </c>
      <c r="J179" s="102">
        <v>0</v>
      </c>
      <c r="K179" s="102">
        <v>4123.68</v>
      </c>
      <c r="L179" s="102">
        <v>0</v>
      </c>
    </row>
    <row r="180" spans="1:12" x14ac:dyDescent="0.25">
      <c r="A180" s="100" t="s">
        <v>638</v>
      </c>
      <c r="B180" s="101" t="s">
        <v>639</v>
      </c>
      <c r="C180" s="102">
        <v>0</v>
      </c>
      <c r="D180" s="102">
        <v>0</v>
      </c>
      <c r="E180" s="102">
        <v>2628.89</v>
      </c>
      <c r="F180" s="102">
        <v>0</v>
      </c>
      <c r="G180" s="102">
        <v>238.99</v>
      </c>
      <c r="H180" s="102">
        <v>0</v>
      </c>
      <c r="I180" s="102">
        <v>2867.88</v>
      </c>
      <c r="J180" s="102">
        <v>0</v>
      </c>
      <c r="K180" s="102">
        <v>2867.88</v>
      </c>
      <c r="L180" s="102">
        <v>0</v>
      </c>
    </row>
    <row r="181" spans="1:12" x14ac:dyDescent="0.25">
      <c r="A181" s="100" t="s">
        <v>640</v>
      </c>
      <c r="B181" s="101" t="s">
        <v>641</v>
      </c>
      <c r="C181" s="102">
        <v>0</v>
      </c>
      <c r="D181" s="102">
        <v>0</v>
      </c>
      <c r="E181" s="102">
        <v>561</v>
      </c>
      <c r="F181" s="102">
        <v>0</v>
      </c>
      <c r="G181" s="102">
        <v>51</v>
      </c>
      <c r="H181" s="102">
        <v>0</v>
      </c>
      <c r="I181" s="102">
        <v>612</v>
      </c>
      <c r="J181" s="102">
        <v>0</v>
      </c>
      <c r="K181" s="102">
        <v>612</v>
      </c>
      <c r="L181" s="102">
        <v>0</v>
      </c>
    </row>
    <row r="182" spans="1:12" x14ac:dyDescent="0.25">
      <c r="A182" s="100" t="s">
        <v>642</v>
      </c>
      <c r="B182" s="101" t="s">
        <v>643</v>
      </c>
      <c r="C182" s="102">
        <v>0</v>
      </c>
      <c r="D182" s="102">
        <v>0</v>
      </c>
      <c r="E182" s="102">
        <v>1255.43</v>
      </c>
      <c r="F182" s="102">
        <v>0</v>
      </c>
      <c r="G182" s="102">
        <v>114.13</v>
      </c>
      <c r="H182" s="102">
        <v>0</v>
      </c>
      <c r="I182" s="102">
        <v>1369.56</v>
      </c>
      <c r="J182" s="102">
        <v>0</v>
      </c>
      <c r="K182" s="102">
        <v>1369.56</v>
      </c>
      <c r="L182" s="102">
        <v>0</v>
      </c>
    </row>
    <row r="183" spans="1:12" x14ac:dyDescent="0.25">
      <c r="A183" s="100" t="s">
        <v>644</v>
      </c>
      <c r="B183" s="101" t="s">
        <v>645</v>
      </c>
      <c r="C183" s="102">
        <v>0</v>
      </c>
      <c r="D183" s="102">
        <v>0</v>
      </c>
      <c r="E183" s="102">
        <v>0</v>
      </c>
      <c r="F183" s="102">
        <v>0</v>
      </c>
      <c r="G183" s="102">
        <v>3293</v>
      </c>
      <c r="H183" s="102">
        <v>0</v>
      </c>
      <c r="I183" s="102">
        <v>3293</v>
      </c>
      <c r="J183" s="102">
        <v>0</v>
      </c>
      <c r="K183" s="102">
        <v>3293</v>
      </c>
      <c r="L183" s="102">
        <v>0</v>
      </c>
    </row>
    <row r="184" spans="1:12" x14ac:dyDescent="0.25">
      <c r="A184" s="100" t="s">
        <v>646</v>
      </c>
      <c r="B184" s="101" t="s">
        <v>647</v>
      </c>
      <c r="C184" s="102">
        <v>0</v>
      </c>
      <c r="D184" s="102">
        <v>0</v>
      </c>
      <c r="E184" s="102">
        <v>5862.66</v>
      </c>
      <c r="F184" s="102">
        <v>0</v>
      </c>
      <c r="G184" s="102">
        <v>563.6</v>
      </c>
      <c r="H184" s="102">
        <v>0</v>
      </c>
      <c r="I184" s="102">
        <v>6426.26</v>
      </c>
      <c r="J184" s="102">
        <v>0</v>
      </c>
      <c r="K184" s="102">
        <v>6426.26</v>
      </c>
      <c r="L184" s="102">
        <v>0</v>
      </c>
    </row>
    <row r="185" spans="1:12" x14ac:dyDescent="0.25">
      <c r="A185" s="100" t="s">
        <v>648</v>
      </c>
      <c r="B185" s="101" t="s">
        <v>649</v>
      </c>
      <c r="C185" s="102">
        <v>0</v>
      </c>
      <c r="D185" s="102">
        <v>0</v>
      </c>
      <c r="E185" s="102">
        <v>818.55</v>
      </c>
      <c r="F185" s="102">
        <v>0</v>
      </c>
      <c r="G185" s="102">
        <v>45.72</v>
      </c>
      <c r="H185" s="102">
        <v>0</v>
      </c>
      <c r="I185" s="102">
        <v>864.27</v>
      </c>
      <c r="J185" s="102">
        <v>0</v>
      </c>
      <c r="K185" s="102">
        <v>864.27</v>
      </c>
      <c r="L185" s="102">
        <v>0</v>
      </c>
    </row>
    <row r="186" spans="1:12" x14ac:dyDescent="0.25">
      <c r="A186" s="100" t="s">
        <v>650</v>
      </c>
      <c r="B186" s="101" t="s">
        <v>651</v>
      </c>
      <c r="C186" s="102">
        <v>0</v>
      </c>
      <c r="D186" s="102">
        <v>0</v>
      </c>
      <c r="E186" s="102">
        <v>586.08000000000004</v>
      </c>
      <c r="F186" s="102">
        <v>0</v>
      </c>
      <c r="G186" s="102">
        <v>86.32</v>
      </c>
      <c r="H186" s="102">
        <v>0</v>
      </c>
      <c r="I186" s="102">
        <v>672.97</v>
      </c>
      <c r="J186" s="102">
        <v>0.56999999999999995</v>
      </c>
      <c r="K186" s="102">
        <v>672.4</v>
      </c>
      <c r="L186" s="102">
        <v>0</v>
      </c>
    </row>
    <row r="187" spans="1:12" x14ac:dyDescent="0.25">
      <c r="A187" s="100" t="s">
        <v>652</v>
      </c>
      <c r="B187" s="101" t="s">
        <v>653</v>
      </c>
      <c r="C187" s="102">
        <v>0</v>
      </c>
      <c r="D187" s="102">
        <v>0</v>
      </c>
      <c r="E187" s="102">
        <v>0</v>
      </c>
      <c r="F187" s="102">
        <v>0</v>
      </c>
      <c r="G187" s="102">
        <v>164.45</v>
      </c>
      <c r="H187" s="102">
        <v>934.28</v>
      </c>
      <c r="I187" s="102">
        <v>164.45</v>
      </c>
      <c r="J187" s="102">
        <v>934.28</v>
      </c>
      <c r="K187" s="102">
        <v>-769.83</v>
      </c>
      <c r="L187" s="102">
        <v>0</v>
      </c>
    </row>
    <row r="188" spans="1:12" x14ac:dyDescent="0.25">
      <c r="A188" s="100" t="s">
        <v>654</v>
      </c>
      <c r="B188" s="101" t="s">
        <v>655</v>
      </c>
      <c r="C188" s="102">
        <v>0</v>
      </c>
      <c r="D188" s="102">
        <v>0</v>
      </c>
      <c r="E188" s="102">
        <v>0</v>
      </c>
      <c r="F188" s="102">
        <v>0</v>
      </c>
      <c r="G188" s="102">
        <v>0</v>
      </c>
      <c r="H188" s="102">
        <v>0</v>
      </c>
      <c r="I188" s="102">
        <v>0</v>
      </c>
      <c r="J188" s="102">
        <v>0</v>
      </c>
      <c r="K188" s="102">
        <v>0</v>
      </c>
      <c r="L188" s="102">
        <v>0</v>
      </c>
    </row>
    <row r="189" spans="1:12" x14ac:dyDescent="0.25">
      <c r="A189" s="100" t="s">
        <v>656</v>
      </c>
      <c r="B189" s="101" t="s">
        <v>657</v>
      </c>
      <c r="C189" s="102">
        <v>0</v>
      </c>
      <c r="D189" s="102">
        <v>0</v>
      </c>
      <c r="E189" s="102">
        <v>0</v>
      </c>
      <c r="F189" s="102">
        <v>0</v>
      </c>
      <c r="G189" s="102">
        <v>0</v>
      </c>
      <c r="H189" s="102">
        <v>0</v>
      </c>
      <c r="I189" s="102">
        <v>0</v>
      </c>
      <c r="J189" s="102">
        <v>0</v>
      </c>
      <c r="K189" s="102">
        <v>0</v>
      </c>
      <c r="L189" s="102">
        <v>0</v>
      </c>
    </row>
    <row r="190" spans="1:12" x14ac:dyDescent="0.25">
      <c r="A190" s="100" t="s">
        <v>658</v>
      </c>
      <c r="B190" s="101" t="s">
        <v>659</v>
      </c>
      <c r="C190" s="102">
        <v>0</v>
      </c>
      <c r="D190" s="102">
        <v>0</v>
      </c>
      <c r="E190" s="102">
        <v>0</v>
      </c>
      <c r="F190" s="102">
        <v>0</v>
      </c>
      <c r="G190" s="102">
        <v>0</v>
      </c>
      <c r="H190" s="102">
        <v>0</v>
      </c>
      <c r="I190" s="102">
        <v>0</v>
      </c>
      <c r="J190" s="102">
        <v>0</v>
      </c>
      <c r="K190" s="102">
        <v>0</v>
      </c>
      <c r="L190" s="102">
        <v>0</v>
      </c>
    </row>
    <row r="191" spans="1:12" x14ac:dyDescent="0.25">
      <c r="A191" s="100" t="s">
        <v>660</v>
      </c>
      <c r="B191" s="101" t="s">
        <v>661</v>
      </c>
      <c r="C191" s="102">
        <v>0</v>
      </c>
      <c r="D191" s="102">
        <v>0</v>
      </c>
      <c r="E191" s="102">
        <v>0</v>
      </c>
      <c r="F191" s="102">
        <v>0</v>
      </c>
      <c r="G191" s="102">
        <v>0</v>
      </c>
      <c r="H191" s="102">
        <v>0</v>
      </c>
      <c r="I191" s="102">
        <v>0</v>
      </c>
      <c r="J191" s="102">
        <v>0</v>
      </c>
      <c r="K191" s="102">
        <v>0</v>
      </c>
      <c r="L191" s="102">
        <v>0</v>
      </c>
    </row>
    <row r="192" spans="1:12" x14ac:dyDescent="0.25">
      <c r="A192" s="100" t="s">
        <v>662</v>
      </c>
      <c r="B192" s="101" t="s">
        <v>663</v>
      </c>
      <c r="C192" s="102">
        <v>0</v>
      </c>
      <c r="D192" s="102">
        <v>0</v>
      </c>
      <c r="E192" s="102">
        <v>0</v>
      </c>
      <c r="F192" s="102">
        <v>0</v>
      </c>
      <c r="G192" s="102">
        <v>0</v>
      </c>
      <c r="H192" s="102">
        <v>0</v>
      </c>
      <c r="I192" s="102">
        <v>0</v>
      </c>
      <c r="J192" s="102">
        <v>0</v>
      </c>
      <c r="K192" s="102">
        <v>0</v>
      </c>
      <c r="L192" s="102">
        <v>0</v>
      </c>
    </row>
    <row r="193" spans="1:12" x14ac:dyDescent="0.25">
      <c r="A193" s="100" t="s">
        <v>664</v>
      </c>
      <c r="B193" s="101" t="s">
        <v>665</v>
      </c>
      <c r="C193" s="102">
        <v>0</v>
      </c>
      <c r="D193" s="102">
        <v>0</v>
      </c>
      <c r="E193" s="102">
        <v>0</v>
      </c>
      <c r="F193" s="102">
        <v>0</v>
      </c>
      <c r="G193" s="102">
        <v>0</v>
      </c>
      <c r="H193" s="102">
        <v>20500.29</v>
      </c>
      <c r="I193" s="102">
        <v>0</v>
      </c>
      <c r="J193" s="102">
        <v>20500.29</v>
      </c>
      <c r="K193" s="102">
        <v>0</v>
      </c>
      <c r="L193" s="102">
        <v>20500.29</v>
      </c>
    </row>
    <row r="194" spans="1:12" x14ac:dyDescent="0.25">
      <c r="A194" s="100" t="s">
        <v>666</v>
      </c>
      <c r="B194" s="101" t="s">
        <v>667</v>
      </c>
      <c r="C194" s="102">
        <v>0</v>
      </c>
      <c r="D194" s="102">
        <v>0</v>
      </c>
      <c r="E194" s="102">
        <v>0</v>
      </c>
      <c r="F194" s="102">
        <v>2006.17</v>
      </c>
      <c r="G194" s="102">
        <v>0</v>
      </c>
      <c r="H194" s="102">
        <v>216.24</v>
      </c>
      <c r="I194" s="102">
        <v>0</v>
      </c>
      <c r="J194" s="102">
        <v>2222.41</v>
      </c>
      <c r="K194" s="102">
        <v>0</v>
      </c>
      <c r="L194" s="102">
        <v>2222.41</v>
      </c>
    </row>
    <row r="195" spans="1:12" x14ac:dyDescent="0.25">
      <c r="A195" s="100" t="s">
        <v>668</v>
      </c>
      <c r="B195" s="101" t="s">
        <v>669</v>
      </c>
      <c r="C195" s="102">
        <v>0</v>
      </c>
      <c r="D195" s="102">
        <v>0</v>
      </c>
      <c r="E195" s="102">
        <v>0</v>
      </c>
      <c r="F195" s="102">
        <v>124622.65</v>
      </c>
      <c r="G195" s="102">
        <v>0</v>
      </c>
      <c r="H195" s="102">
        <v>13808.81</v>
      </c>
      <c r="I195" s="102">
        <v>0</v>
      </c>
      <c r="J195" s="102">
        <v>138431.46</v>
      </c>
      <c r="K195" s="102">
        <v>0</v>
      </c>
      <c r="L195" s="102">
        <v>138431.46</v>
      </c>
    </row>
    <row r="196" spans="1:12" x14ac:dyDescent="0.25">
      <c r="A196" s="100" t="s">
        <v>670</v>
      </c>
      <c r="B196" s="101" t="s">
        <v>671</v>
      </c>
      <c r="C196" s="102">
        <v>0</v>
      </c>
      <c r="D196" s="102">
        <v>0</v>
      </c>
      <c r="E196" s="102">
        <v>0</v>
      </c>
      <c r="F196" s="102">
        <v>58903.22</v>
      </c>
      <c r="G196" s="102">
        <v>0</v>
      </c>
      <c r="H196" s="102">
        <v>6529.01</v>
      </c>
      <c r="I196" s="102">
        <v>0</v>
      </c>
      <c r="J196" s="102">
        <v>65432.23</v>
      </c>
      <c r="K196" s="102">
        <v>0</v>
      </c>
      <c r="L196" s="102">
        <v>65432.23</v>
      </c>
    </row>
    <row r="197" spans="1:12" x14ac:dyDescent="0.25">
      <c r="A197" s="100" t="s">
        <v>672</v>
      </c>
      <c r="B197" s="101" t="s">
        <v>673</v>
      </c>
      <c r="C197" s="102">
        <v>0</v>
      </c>
      <c r="D197" s="102">
        <v>0</v>
      </c>
      <c r="E197" s="102">
        <v>0</v>
      </c>
      <c r="F197" s="102">
        <v>214194.4</v>
      </c>
      <c r="G197" s="102">
        <v>0</v>
      </c>
      <c r="H197" s="102">
        <v>33699.47</v>
      </c>
      <c r="I197" s="102">
        <v>0</v>
      </c>
      <c r="J197" s="102">
        <v>247893.87</v>
      </c>
      <c r="K197" s="102">
        <v>0</v>
      </c>
      <c r="L197" s="102">
        <v>247893.87</v>
      </c>
    </row>
    <row r="198" spans="1:12" x14ac:dyDescent="0.25">
      <c r="A198" s="100" t="s">
        <v>674</v>
      </c>
      <c r="B198" s="101" t="s">
        <v>675</v>
      </c>
      <c r="C198" s="102">
        <v>0</v>
      </c>
      <c r="D198" s="102">
        <v>0</v>
      </c>
      <c r="E198" s="102">
        <v>0</v>
      </c>
      <c r="F198" s="102">
        <v>10883.62</v>
      </c>
      <c r="G198" s="102">
        <v>0</v>
      </c>
      <c r="H198" s="102">
        <v>1874.23</v>
      </c>
      <c r="I198" s="102">
        <v>0</v>
      </c>
      <c r="J198" s="102">
        <v>12757.85</v>
      </c>
      <c r="K198" s="102">
        <v>0</v>
      </c>
      <c r="L198" s="102">
        <v>12757.85</v>
      </c>
    </row>
    <row r="199" spans="1:12" x14ac:dyDescent="0.25">
      <c r="A199" s="100" t="s">
        <v>676</v>
      </c>
      <c r="B199" s="101" t="s">
        <v>677</v>
      </c>
      <c r="C199" s="102">
        <v>0</v>
      </c>
      <c r="D199" s="102">
        <v>0</v>
      </c>
      <c r="E199" s="102">
        <v>0</v>
      </c>
      <c r="F199" s="102">
        <v>-2613.36</v>
      </c>
      <c r="G199" s="102">
        <v>276.16000000000003</v>
      </c>
      <c r="H199" s="102">
        <v>0</v>
      </c>
      <c r="I199" s="102">
        <v>2889.52</v>
      </c>
      <c r="J199" s="102">
        <v>0</v>
      </c>
      <c r="K199" s="102">
        <v>0</v>
      </c>
      <c r="L199" s="102">
        <v>-2889.52</v>
      </c>
    </row>
    <row r="200" spans="1:12" x14ac:dyDescent="0.25">
      <c r="A200" s="100" t="s">
        <v>678</v>
      </c>
      <c r="B200" s="101" t="s">
        <v>679</v>
      </c>
      <c r="C200" s="102">
        <v>0</v>
      </c>
      <c r="D200" s="102">
        <v>0</v>
      </c>
      <c r="E200" s="102">
        <v>0</v>
      </c>
      <c r="F200" s="102">
        <v>-6995.54</v>
      </c>
      <c r="G200" s="102">
        <v>991.4</v>
      </c>
      <c r="H200" s="102">
        <v>0</v>
      </c>
      <c r="I200" s="102">
        <v>7986.94</v>
      </c>
      <c r="J200" s="102">
        <v>0</v>
      </c>
      <c r="K200" s="102">
        <v>0</v>
      </c>
      <c r="L200" s="102">
        <v>-7986.94</v>
      </c>
    </row>
    <row r="201" spans="1:12" x14ac:dyDescent="0.25">
      <c r="A201" s="100" t="s">
        <v>680</v>
      </c>
      <c r="B201" s="101" t="s">
        <v>681</v>
      </c>
      <c r="C201" s="102">
        <v>0</v>
      </c>
      <c r="D201" s="102">
        <v>0</v>
      </c>
      <c r="E201" s="102">
        <v>0</v>
      </c>
      <c r="F201" s="102">
        <v>5767.77</v>
      </c>
      <c r="G201" s="102">
        <v>0</v>
      </c>
      <c r="H201" s="102">
        <v>181.06</v>
      </c>
      <c r="I201" s="102">
        <v>0</v>
      </c>
      <c r="J201" s="102">
        <v>5948.83</v>
      </c>
      <c r="K201" s="102">
        <v>0</v>
      </c>
      <c r="L201" s="102">
        <v>5948.83</v>
      </c>
    </row>
    <row r="202" spans="1:12" x14ac:dyDescent="0.25">
      <c r="A202" s="100" t="s">
        <v>682</v>
      </c>
      <c r="B202" s="101" t="s">
        <v>683</v>
      </c>
      <c r="C202" s="102">
        <v>0</v>
      </c>
      <c r="D202" s="102">
        <v>0</v>
      </c>
      <c r="E202" s="102">
        <v>0</v>
      </c>
      <c r="F202" s="102">
        <v>5605.76</v>
      </c>
      <c r="G202" s="102">
        <v>0</v>
      </c>
      <c r="H202" s="102">
        <v>181.07</v>
      </c>
      <c r="I202" s="102">
        <v>0</v>
      </c>
      <c r="J202" s="102">
        <v>5786.83</v>
      </c>
      <c r="K202" s="102">
        <v>0</v>
      </c>
      <c r="L202" s="102">
        <v>5786.83</v>
      </c>
    </row>
    <row r="203" spans="1:12" x14ac:dyDescent="0.25">
      <c r="A203" s="100" t="s">
        <v>684</v>
      </c>
      <c r="B203" s="101" t="s">
        <v>619</v>
      </c>
      <c r="C203" s="102">
        <v>0</v>
      </c>
      <c r="D203" s="102">
        <v>0</v>
      </c>
      <c r="E203" s="102">
        <v>0</v>
      </c>
      <c r="F203" s="102">
        <v>1.1299999999999999</v>
      </c>
      <c r="G203" s="102">
        <v>0</v>
      </c>
      <c r="H203" s="102">
        <v>0.24</v>
      </c>
      <c r="I203" s="102">
        <v>0</v>
      </c>
      <c r="J203" s="102">
        <v>1.37</v>
      </c>
      <c r="K203" s="102">
        <v>0</v>
      </c>
      <c r="L203" s="102">
        <v>1.37</v>
      </c>
    </row>
    <row r="204" spans="1:12" x14ac:dyDescent="0.25">
      <c r="A204" s="100" t="s">
        <v>685</v>
      </c>
      <c r="B204" s="101" t="s">
        <v>686</v>
      </c>
      <c r="C204" s="102">
        <v>0</v>
      </c>
      <c r="D204" s="102">
        <v>0</v>
      </c>
      <c r="E204" s="102">
        <v>0</v>
      </c>
      <c r="F204" s="102">
        <v>1216.26</v>
      </c>
      <c r="G204" s="102">
        <v>0</v>
      </c>
      <c r="H204" s="102">
        <v>162.87</v>
      </c>
      <c r="I204" s="102">
        <v>0</v>
      </c>
      <c r="J204" s="102">
        <v>1379.13</v>
      </c>
      <c r="K204" s="102">
        <v>0</v>
      </c>
      <c r="L204" s="102">
        <v>1379.13</v>
      </c>
    </row>
    <row r="205" spans="1:12" x14ac:dyDescent="0.25">
      <c r="A205" s="100" t="s">
        <v>687</v>
      </c>
      <c r="B205" s="101" t="s">
        <v>688</v>
      </c>
      <c r="C205" s="102">
        <v>0</v>
      </c>
      <c r="D205" s="102">
        <v>0</v>
      </c>
      <c r="E205" s="102">
        <v>0</v>
      </c>
      <c r="F205" s="102">
        <v>0.65</v>
      </c>
      <c r="G205" s="102">
        <v>0</v>
      </c>
      <c r="H205" s="102">
        <v>0</v>
      </c>
      <c r="I205" s="102">
        <v>0</v>
      </c>
      <c r="J205" s="102">
        <v>0.65</v>
      </c>
      <c r="K205" s="102">
        <v>0</v>
      </c>
      <c r="L205" s="102">
        <v>0.65</v>
      </c>
    </row>
    <row r="206" spans="1:12" x14ac:dyDescent="0.25">
      <c r="A206" s="100" t="s">
        <v>689</v>
      </c>
      <c r="B206" s="101" t="s">
        <v>690</v>
      </c>
      <c r="C206" s="102">
        <v>100</v>
      </c>
      <c r="D206" s="102">
        <v>0</v>
      </c>
      <c r="E206" s="102">
        <v>0</v>
      </c>
      <c r="F206" s="102">
        <v>0</v>
      </c>
      <c r="G206" s="102">
        <v>0</v>
      </c>
      <c r="H206" s="102">
        <v>0</v>
      </c>
      <c r="I206" s="102">
        <v>0</v>
      </c>
      <c r="J206" s="102">
        <v>100</v>
      </c>
      <c r="K206" s="102">
        <v>0</v>
      </c>
      <c r="L206" s="102">
        <v>0</v>
      </c>
    </row>
    <row r="207" spans="1:12" x14ac:dyDescent="0.25">
      <c r="A207" s="100" t="s">
        <v>691</v>
      </c>
      <c r="B207" s="101" t="s">
        <v>692</v>
      </c>
      <c r="C207" s="102">
        <v>-100</v>
      </c>
      <c r="D207" s="102">
        <v>0</v>
      </c>
      <c r="E207" s="102">
        <v>0</v>
      </c>
      <c r="F207" s="102">
        <v>0</v>
      </c>
      <c r="G207" s="102">
        <v>0</v>
      </c>
      <c r="H207" s="102">
        <v>0</v>
      </c>
      <c r="I207" s="102">
        <v>0</v>
      </c>
      <c r="J207" s="102">
        <v>-100</v>
      </c>
      <c r="K207" s="102">
        <v>0</v>
      </c>
      <c r="L207" s="102">
        <v>0</v>
      </c>
    </row>
    <row r="208" spans="1:12" x14ac:dyDescent="0.25">
      <c r="A208" s="100" t="s">
        <v>693</v>
      </c>
      <c r="B208" s="101" t="s">
        <v>694</v>
      </c>
      <c r="C208" s="102">
        <v>0</v>
      </c>
      <c r="D208" s="102">
        <v>0</v>
      </c>
      <c r="E208" s="102">
        <v>14805.77</v>
      </c>
      <c r="F208" s="102">
        <v>0</v>
      </c>
      <c r="G208" s="102">
        <v>0</v>
      </c>
      <c r="H208" s="102">
        <v>14805.77</v>
      </c>
      <c r="I208" s="102">
        <v>0</v>
      </c>
      <c r="J208" s="102">
        <v>0</v>
      </c>
      <c r="K208" s="102">
        <v>0</v>
      </c>
      <c r="L208" s="102">
        <v>0</v>
      </c>
    </row>
    <row r="209" spans="1:12" x14ac:dyDescent="0.25">
      <c r="A209" s="100" t="s">
        <v>695</v>
      </c>
      <c r="B209" s="101" t="s">
        <v>696</v>
      </c>
      <c r="C209" s="102">
        <v>0</v>
      </c>
      <c r="D209" s="102">
        <v>0</v>
      </c>
      <c r="E209" s="102">
        <v>-10505.67</v>
      </c>
      <c r="F209" s="102">
        <v>0</v>
      </c>
      <c r="G209" s="102">
        <v>-1170.93</v>
      </c>
      <c r="H209" s="102">
        <v>-11676.6</v>
      </c>
      <c r="I209" s="102">
        <v>-11676.6</v>
      </c>
      <c r="J209" s="102">
        <v>-11676.6</v>
      </c>
      <c r="K209" s="102">
        <v>0</v>
      </c>
      <c r="L209" s="102">
        <v>0</v>
      </c>
    </row>
    <row r="210" spans="1:12" x14ac:dyDescent="0.25">
      <c r="A210" s="100" t="s">
        <v>697</v>
      </c>
      <c r="B210" s="101" t="s">
        <v>698</v>
      </c>
      <c r="C210" s="102">
        <v>0</v>
      </c>
      <c r="D210" s="102">
        <v>0</v>
      </c>
      <c r="E210" s="102">
        <v>-3249.6</v>
      </c>
      <c r="F210" s="102">
        <v>0</v>
      </c>
      <c r="G210" s="102">
        <v>-391.68</v>
      </c>
      <c r="H210" s="102">
        <v>-3641.28</v>
      </c>
      <c r="I210" s="102">
        <v>-3641.28</v>
      </c>
      <c r="J210" s="102">
        <v>-3641.28</v>
      </c>
      <c r="K210" s="102">
        <v>0</v>
      </c>
      <c r="L210" s="102">
        <v>0</v>
      </c>
    </row>
    <row r="211" spans="1:12" x14ac:dyDescent="0.25">
      <c r="A211" s="100" t="s">
        <v>699</v>
      </c>
      <c r="B211" s="101" t="s">
        <v>700</v>
      </c>
      <c r="C211" s="102">
        <v>0</v>
      </c>
      <c r="D211" s="102">
        <v>0</v>
      </c>
      <c r="E211" s="102">
        <v>0</v>
      </c>
      <c r="F211" s="102">
        <v>0</v>
      </c>
      <c r="G211" s="102">
        <v>0</v>
      </c>
      <c r="H211" s="102">
        <v>0</v>
      </c>
      <c r="I211" s="102">
        <v>0</v>
      </c>
      <c r="J211" s="102">
        <v>0</v>
      </c>
      <c r="K211" s="102">
        <v>0</v>
      </c>
      <c r="L211" s="102">
        <v>0</v>
      </c>
    </row>
    <row r="212" spans="1:12" x14ac:dyDescent="0.25">
      <c r="A212" s="100" t="s">
        <v>701</v>
      </c>
      <c r="B212" s="101" t="s">
        <v>702</v>
      </c>
      <c r="C212" s="102">
        <v>0</v>
      </c>
      <c r="D212" s="102">
        <v>0</v>
      </c>
      <c r="E212" s="102">
        <v>0</v>
      </c>
      <c r="F212" s="102">
        <v>0</v>
      </c>
      <c r="G212" s="102">
        <v>0</v>
      </c>
      <c r="H212" s="102">
        <v>0</v>
      </c>
      <c r="I212" s="102">
        <v>0</v>
      </c>
      <c r="J212" s="102">
        <v>0</v>
      </c>
      <c r="K212" s="102">
        <v>0</v>
      </c>
      <c r="L212" s="102">
        <v>0</v>
      </c>
    </row>
    <row r="213" spans="1:12" x14ac:dyDescent="0.25">
      <c r="A213" s="100" t="s">
        <v>703</v>
      </c>
      <c r="B213" s="101" t="s">
        <v>704</v>
      </c>
      <c r="C213" s="102">
        <v>0</v>
      </c>
      <c r="D213" s="102">
        <v>0</v>
      </c>
      <c r="E213" s="102">
        <v>-809.32</v>
      </c>
      <c r="F213" s="102">
        <v>0</v>
      </c>
      <c r="G213" s="102">
        <v>-85.54</v>
      </c>
      <c r="H213" s="102">
        <v>-894.86</v>
      </c>
      <c r="I213" s="102">
        <v>-894.86</v>
      </c>
      <c r="J213" s="102">
        <v>-894.86</v>
      </c>
      <c r="K213" s="102">
        <v>0</v>
      </c>
      <c r="L213" s="102">
        <v>0</v>
      </c>
    </row>
    <row r="214" spans="1:12" x14ac:dyDescent="0.25">
      <c r="A214" s="100" t="s">
        <v>705</v>
      </c>
      <c r="B214" s="101" t="s">
        <v>706</v>
      </c>
      <c r="C214" s="102">
        <v>0</v>
      </c>
      <c r="D214" s="102">
        <v>0</v>
      </c>
      <c r="E214" s="102">
        <v>-241.18</v>
      </c>
      <c r="F214" s="102">
        <v>0</v>
      </c>
      <c r="G214" s="102">
        <v>-7.14</v>
      </c>
      <c r="H214" s="102">
        <v>-248.32</v>
      </c>
      <c r="I214" s="102">
        <v>-248.32</v>
      </c>
      <c r="J214" s="102">
        <v>-248.32</v>
      </c>
      <c r="K214" s="102">
        <v>0</v>
      </c>
      <c r="L214" s="102">
        <v>0</v>
      </c>
    </row>
    <row r="215" spans="1:12" x14ac:dyDescent="0.25">
      <c r="A215" s="100" t="s">
        <v>707</v>
      </c>
      <c r="B215" s="101" t="s">
        <v>708</v>
      </c>
      <c r="C215" s="102">
        <v>0</v>
      </c>
      <c r="D215" s="102">
        <v>0</v>
      </c>
      <c r="E215" s="102">
        <v>-1194.5</v>
      </c>
      <c r="F215" s="102">
        <v>0</v>
      </c>
      <c r="G215" s="102">
        <v>0</v>
      </c>
      <c r="H215" s="102">
        <v>-1194.5</v>
      </c>
      <c r="I215" s="102">
        <v>0</v>
      </c>
      <c r="J215" s="102">
        <v>0</v>
      </c>
      <c r="K215" s="102">
        <v>0</v>
      </c>
      <c r="L215" s="102">
        <v>0</v>
      </c>
    </row>
    <row r="216" spans="1:12" x14ac:dyDescent="0.25">
      <c r="A216" s="100" t="s">
        <v>709</v>
      </c>
      <c r="B216" s="101" t="s">
        <v>710</v>
      </c>
      <c r="C216" s="102">
        <v>0</v>
      </c>
      <c r="D216" s="102">
        <v>0</v>
      </c>
      <c r="E216" s="102">
        <v>-420.46</v>
      </c>
      <c r="F216" s="102">
        <v>0</v>
      </c>
      <c r="G216" s="102">
        <v>0</v>
      </c>
      <c r="H216" s="102">
        <v>-420.46</v>
      </c>
      <c r="I216" s="102">
        <v>0</v>
      </c>
      <c r="J216" s="102">
        <v>0</v>
      </c>
      <c r="K216" s="102">
        <v>0</v>
      </c>
      <c r="L216" s="102">
        <v>0</v>
      </c>
    </row>
    <row r="217" spans="1:12" x14ac:dyDescent="0.25">
      <c r="A217" s="100" t="s">
        <v>711</v>
      </c>
      <c r="B217" s="101" t="s">
        <v>694</v>
      </c>
      <c r="C217" s="102">
        <v>0</v>
      </c>
      <c r="D217" s="102">
        <v>0</v>
      </c>
      <c r="E217" s="102">
        <v>0</v>
      </c>
      <c r="F217" s="102">
        <v>-28911.41</v>
      </c>
      <c r="G217" s="102">
        <v>-28984.19</v>
      </c>
      <c r="H217" s="102">
        <v>-72.78</v>
      </c>
      <c r="I217" s="102">
        <v>-88.65</v>
      </c>
      <c r="J217" s="102">
        <v>-88.65</v>
      </c>
      <c r="K217" s="102">
        <v>0</v>
      </c>
      <c r="L217" s="102">
        <v>0</v>
      </c>
    </row>
    <row r="218" spans="1:12" x14ac:dyDescent="0.25">
      <c r="A218" s="100" t="s">
        <v>712</v>
      </c>
      <c r="B218" s="101" t="s">
        <v>713</v>
      </c>
      <c r="C218" s="102">
        <v>0</v>
      </c>
      <c r="D218" s="102">
        <v>0</v>
      </c>
      <c r="E218" s="102">
        <v>0</v>
      </c>
      <c r="F218" s="102">
        <v>2582.7199999999998</v>
      </c>
      <c r="G218" s="102">
        <v>2849.66</v>
      </c>
      <c r="H218" s="102">
        <v>266.94</v>
      </c>
      <c r="I218" s="102">
        <v>2849.66</v>
      </c>
      <c r="J218" s="102">
        <v>2849.66</v>
      </c>
      <c r="K218" s="102">
        <v>0</v>
      </c>
      <c r="L218" s="102">
        <v>0</v>
      </c>
    </row>
    <row r="219" spans="1:12" x14ac:dyDescent="0.25">
      <c r="A219" s="100" t="s">
        <v>714</v>
      </c>
      <c r="B219" s="101" t="s">
        <v>715</v>
      </c>
      <c r="C219" s="102">
        <v>0</v>
      </c>
      <c r="D219" s="102">
        <v>0</v>
      </c>
      <c r="E219" s="102">
        <v>0</v>
      </c>
      <c r="F219" s="102">
        <v>14877.12</v>
      </c>
      <c r="G219" s="102">
        <v>17205.48</v>
      </c>
      <c r="H219" s="102">
        <v>2328.36</v>
      </c>
      <c r="I219" s="102">
        <v>17205.48</v>
      </c>
      <c r="J219" s="102">
        <v>17205.48</v>
      </c>
      <c r="K219" s="102">
        <v>0</v>
      </c>
      <c r="L219" s="102">
        <v>0</v>
      </c>
    </row>
    <row r="220" spans="1:12" x14ac:dyDescent="0.25">
      <c r="A220" s="100" t="s">
        <v>716</v>
      </c>
      <c r="B220" s="101" t="s">
        <v>717</v>
      </c>
      <c r="C220" s="102">
        <v>0</v>
      </c>
      <c r="D220" s="102">
        <v>0</v>
      </c>
      <c r="E220" s="102">
        <v>0</v>
      </c>
      <c r="F220" s="102">
        <v>4820.3100000000004</v>
      </c>
      <c r="G220" s="102">
        <v>5236.32</v>
      </c>
      <c r="H220" s="102">
        <v>416.01</v>
      </c>
      <c r="I220" s="102">
        <v>5236.32</v>
      </c>
      <c r="J220" s="102">
        <v>5236.32</v>
      </c>
      <c r="K220" s="102">
        <v>0</v>
      </c>
      <c r="L220" s="102">
        <v>0</v>
      </c>
    </row>
    <row r="221" spans="1:12" x14ac:dyDescent="0.25">
      <c r="A221" s="100" t="s">
        <v>718</v>
      </c>
      <c r="B221" s="101" t="s">
        <v>719</v>
      </c>
      <c r="C221" s="102">
        <v>0</v>
      </c>
      <c r="D221" s="102">
        <v>0</v>
      </c>
      <c r="E221" s="102">
        <v>0</v>
      </c>
      <c r="F221" s="102">
        <v>3571.93</v>
      </c>
      <c r="G221" s="102">
        <v>3994.67</v>
      </c>
      <c r="H221" s="102">
        <v>422.74</v>
      </c>
      <c r="I221" s="102">
        <v>3994.67</v>
      </c>
      <c r="J221" s="102">
        <v>3994.67</v>
      </c>
      <c r="K221" s="102">
        <v>0</v>
      </c>
      <c r="L221" s="102">
        <v>0</v>
      </c>
    </row>
    <row r="222" spans="1:12" x14ac:dyDescent="0.25">
      <c r="A222" s="100" t="s">
        <v>720</v>
      </c>
      <c r="B222" s="101" t="s">
        <v>721</v>
      </c>
      <c r="C222" s="102">
        <v>0</v>
      </c>
      <c r="D222" s="102">
        <v>0</v>
      </c>
      <c r="E222" s="102">
        <v>0</v>
      </c>
      <c r="F222" s="102">
        <v>1444.37</v>
      </c>
      <c r="G222" s="102">
        <v>1756.85</v>
      </c>
      <c r="H222" s="102">
        <v>312.48</v>
      </c>
      <c r="I222" s="102">
        <v>1756.85</v>
      </c>
      <c r="J222" s="102">
        <v>1756.85</v>
      </c>
      <c r="K222" s="102">
        <v>0</v>
      </c>
      <c r="L222" s="102">
        <v>0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workbookViewId="0">
      <selection activeCell="B4" sqref="B4"/>
    </sheetView>
  </sheetViews>
  <sheetFormatPr defaultRowHeight="15" x14ac:dyDescent="0.25"/>
  <cols>
    <col min="1" max="1" width="16.140625" style="100" customWidth="1"/>
    <col min="2" max="2" width="46.7109375" style="101" customWidth="1"/>
    <col min="3" max="3" width="15.28515625" style="102" customWidth="1"/>
    <col min="4" max="4" width="15.28515625" style="102" bestFit="1" customWidth="1"/>
    <col min="5" max="5" width="15.140625" style="102" customWidth="1"/>
    <col min="6" max="7" width="15.28515625" style="102" bestFit="1" customWidth="1"/>
    <col min="8" max="8" width="15.28515625" style="102" customWidth="1"/>
    <col min="9" max="11" width="15.28515625" style="102" bestFit="1" customWidth="1"/>
    <col min="12" max="12" width="14.85546875" style="102" customWidth="1"/>
    <col min="13" max="16384" width="9.140625" style="96"/>
  </cols>
  <sheetData>
    <row r="1" spans="1:12" ht="22.5" x14ac:dyDescent="0.25">
      <c r="A1" s="106" t="s">
        <v>262</v>
      </c>
      <c r="B1" s="107" t="s">
        <v>263</v>
      </c>
      <c r="C1" s="108" t="s">
        <v>242</v>
      </c>
      <c r="D1" s="108" t="s">
        <v>243</v>
      </c>
      <c r="E1" s="108" t="s">
        <v>244</v>
      </c>
      <c r="F1" s="108" t="s">
        <v>245</v>
      </c>
      <c r="G1" s="108" t="s">
        <v>246</v>
      </c>
      <c r="H1" s="108" t="s">
        <v>247</v>
      </c>
      <c r="I1" s="108" t="s">
        <v>248</v>
      </c>
      <c r="J1" s="108" t="s">
        <v>249</v>
      </c>
      <c r="K1" s="108" t="s">
        <v>250</v>
      </c>
      <c r="L1" s="108" t="s">
        <v>251</v>
      </c>
    </row>
    <row r="2" spans="1:12" x14ac:dyDescent="0.25">
      <c r="A2" s="97" t="s">
        <v>792</v>
      </c>
      <c r="B2" s="98" t="s">
        <v>286</v>
      </c>
      <c r="C2" s="99">
        <v>2419.9899999999998</v>
      </c>
      <c r="D2" s="99">
        <v>0</v>
      </c>
      <c r="E2" s="99">
        <v>2419.9899999999998</v>
      </c>
      <c r="F2" s="99">
        <v>0</v>
      </c>
      <c r="G2" s="99">
        <v>0</v>
      </c>
      <c r="H2" s="99">
        <v>0</v>
      </c>
      <c r="I2" s="99">
        <v>0</v>
      </c>
      <c r="J2" s="99">
        <v>0</v>
      </c>
      <c r="K2" s="99">
        <v>2419.9899999999998</v>
      </c>
      <c r="L2" s="99">
        <v>0</v>
      </c>
    </row>
    <row r="3" spans="1:12" x14ac:dyDescent="0.25">
      <c r="A3" s="97" t="s">
        <v>793</v>
      </c>
      <c r="B3" s="98" t="s">
        <v>28</v>
      </c>
      <c r="C3" s="99">
        <v>57355.95</v>
      </c>
      <c r="D3" s="99">
        <v>0</v>
      </c>
      <c r="E3" s="99">
        <v>57355.95</v>
      </c>
      <c r="F3" s="99">
        <v>0</v>
      </c>
      <c r="G3" s="99">
        <v>0</v>
      </c>
      <c r="H3" s="99">
        <v>0</v>
      </c>
      <c r="I3" s="99">
        <v>0</v>
      </c>
      <c r="J3" s="99">
        <v>0</v>
      </c>
      <c r="K3" s="99">
        <v>57355.95</v>
      </c>
      <c r="L3" s="99">
        <v>0</v>
      </c>
    </row>
    <row r="4" spans="1:12" x14ac:dyDescent="0.25">
      <c r="A4" s="97" t="s">
        <v>794</v>
      </c>
      <c r="B4" s="98" t="s">
        <v>795</v>
      </c>
      <c r="C4" s="99">
        <v>20894.5</v>
      </c>
      <c r="D4" s="99">
        <v>0</v>
      </c>
      <c r="E4" s="99">
        <v>20894.5</v>
      </c>
      <c r="F4" s="99">
        <v>0</v>
      </c>
      <c r="G4" s="99">
        <v>0</v>
      </c>
      <c r="H4" s="99">
        <v>0</v>
      </c>
      <c r="I4" s="99">
        <v>0</v>
      </c>
      <c r="J4" s="99">
        <v>0</v>
      </c>
      <c r="K4" s="99">
        <v>20894.5</v>
      </c>
      <c r="L4" s="99">
        <v>0</v>
      </c>
    </row>
    <row r="5" spans="1:12" x14ac:dyDescent="0.25">
      <c r="A5" s="97" t="s">
        <v>796</v>
      </c>
      <c r="B5" s="98" t="s">
        <v>295</v>
      </c>
      <c r="C5" s="99">
        <v>2738.82</v>
      </c>
      <c r="D5" s="99">
        <v>0</v>
      </c>
      <c r="E5" s="99">
        <v>2738.82</v>
      </c>
      <c r="F5" s="99">
        <v>0</v>
      </c>
      <c r="G5" s="99">
        <v>0</v>
      </c>
      <c r="H5" s="99">
        <v>0</v>
      </c>
      <c r="I5" s="99">
        <v>0</v>
      </c>
      <c r="J5" s="99">
        <v>0</v>
      </c>
      <c r="K5" s="99">
        <v>2738.82</v>
      </c>
      <c r="L5" s="99">
        <v>0</v>
      </c>
    </row>
    <row r="6" spans="1:12" x14ac:dyDescent="0.25">
      <c r="A6" s="97" t="s">
        <v>797</v>
      </c>
      <c r="B6" s="98" t="s">
        <v>297</v>
      </c>
      <c r="C6" s="99">
        <v>0</v>
      </c>
      <c r="D6" s="99">
        <v>408</v>
      </c>
      <c r="E6" s="99">
        <v>0</v>
      </c>
      <c r="F6" s="99">
        <v>969</v>
      </c>
      <c r="G6" s="99">
        <v>0</v>
      </c>
      <c r="H6" s="99">
        <v>51</v>
      </c>
      <c r="I6" s="99">
        <v>0</v>
      </c>
      <c r="J6" s="99">
        <v>612</v>
      </c>
      <c r="K6" s="99">
        <v>0</v>
      </c>
      <c r="L6" s="99">
        <v>1020</v>
      </c>
    </row>
    <row r="7" spans="1:12" x14ac:dyDescent="0.25">
      <c r="A7" s="97" t="s">
        <v>798</v>
      </c>
      <c r="B7" s="98" t="s">
        <v>299</v>
      </c>
      <c r="C7" s="99">
        <v>0</v>
      </c>
      <c r="D7" s="99">
        <v>1911.92</v>
      </c>
      <c r="E7" s="99">
        <v>0</v>
      </c>
      <c r="F7" s="99">
        <v>4540.8100000000004</v>
      </c>
      <c r="G7" s="99">
        <v>0</v>
      </c>
      <c r="H7" s="99">
        <v>238.99</v>
      </c>
      <c r="I7" s="99">
        <v>0</v>
      </c>
      <c r="J7" s="99">
        <v>2867.88</v>
      </c>
      <c r="K7" s="99">
        <v>0</v>
      </c>
      <c r="L7" s="99">
        <v>4779.8</v>
      </c>
    </row>
    <row r="8" spans="1:12" x14ac:dyDescent="0.25">
      <c r="A8" s="97" t="s">
        <v>799</v>
      </c>
      <c r="B8" s="98" t="s">
        <v>800</v>
      </c>
      <c r="C8" s="99">
        <v>0</v>
      </c>
      <c r="D8" s="99">
        <v>2638.96</v>
      </c>
      <c r="E8" s="99">
        <v>0</v>
      </c>
      <c r="F8" s="99">
        <v>6419</v>
      </c>
      <c r="G8" s="99">
        <v>0</v>
      </c>
      <c r="H8" s="99">
        <v>343.64</v>
      </c>
      <c r="I8" s="99">
        <v>0</v>
      </c>
      <c r="J8" s="99">
        <v>4123.68</v>
      </c>
      <c r="K8" s="99">
        <v>0</v>
      </c>
      <c r="L8" s="99">
        <v>6762.64</v>
      </c>
    </row>
    <row r="9" spans="1:12" x14ac:dyDescent="0.25">
      <c r="A9" s="97" t="s">
        <v>801</v>
      </c>
      <c r="B9" s="98" t="s">
        <v>307</v>
      </c>
      <c r="C9" s="99">
        <v>0</v>
      </c>
      <c r="D9" s="99">
        <v>869.82</v>
      </c>
      <c r="E9" s="99">
        <v>0</v>
      </c>
      <c r="F9" s="99">
        <v>2125.25</v>
      </c>
      <c r="G9" s="99">
        <v>0</v>
      </c>
      <c r="H9" s="99">
        <v>114.13</v>
      </c>
      <c r="I9" s="99">
        <v>0</v>
      </c>
      <c r="J9" s="99">
        <v>1369.56</v>
      </c>
      <c r="K9" s="99">
        <v>0</v>
      </c>
      <c r="L9" s="99">
        <v>2239.38</v>
      </c>
    </row>
    <row r="10" spans="1:12" x14ac:dyDescent="0.25">
      <c r="A10" s="97" t="s">
        <v>802</v>
      </c>
      <c r="B10" s="98" t="s">
        <v>803</v>
      </c>
      <c r="C10" s="99">
        <v>0</v>
      </c>
      <c r="D10" s="99">
        <v>0</v>
      </c>
      <c r="E10" s="99">
        <v>0</v>
      </c>
      <c r="F10" s="99">
        <v>0</v>
      </c>
      <c r="G10" s="99">
        <v>0</v>
      </c>
      <c r="H10" s="99">
        <v>3293</v>
      </c>
      <c r="I10" s="99">
        <v>0</v>
      </c>
      <c r="J10" s="99">
        <v>3293</v>
      </c>
      <c r="K10" s="99">
        <v>-3293</v>
      </c>
      <c r="L10" s="99">
        <v>0</v>
      </c>
    </row>
    <row r="11" spans="1:12" x14ac:dyDescent="0.25">
      <c r="A11" s="97" t="s">
        <v>804</v>
      </c>
      <c r="B11" s="98" t="s">
        <v>311</v>
      </c>
      <c r="C11" s="99">
        <v>0</v>
      </c>
      <c r="D11" s="99">
        <v>0</v>
      </c>
      <c r="E11" s="99">
        <v>0</v>
      </c>
      <c r="F11" s="99">
        <v>0</v>
      </c>
      <c r="G11" s="99">
        <v>12.15</v>
      </c>
      <c r="H11" s="99">
        <v>12.15</v>
      </c>
      <c r="I11" s="99">
        <v>472.11</v>
      </c>
      <c r="J11" s="99">
        <v>472.11</v>
      </c>
      <c r="K11" s="99">
        <v>0</v>
      </c>
      <c r="L11" s="99">
        <v>0</v>
      </c>
    </row>
    <row r="12" spans="1:12" x14ac:dyDescent="0.25">
      <c r="A12" s="97" t="s">
        <v>805</v>
      </c>
      <c r="B12" s="98" t="s">
        <v>806</v>
      </c>
      <c r="C12" s="99">
        <v>0</v>
      </c>
      <c r="D12" s="99">
        <v>0</v>
      </c>
      <c r="E12" s="99">
        <v>340.35</v>
      </c>
      <c r="F12" s="99">
        <v>0</v>
      </c>
      <c r="G12" s="99">
        <v>-331.76</v>
      </c>
      <c r="H12" s="99">
        <v>8.59</v>
      </c>
      <c r="I12" s="99">
        <v>128.19999999999999</v>
      </c>
      <c r="J12" s="99">
        <v>128.19999999999999</v>
      </c>
      <c r="K12" s="99">
        <v>0</v>
      </c>
      <c r="L12" s="99">
        <v>0</v>
      </c>
    </row>
    <row r="13" spans="1:12" x14ac:dyDescent="0.25">
      <c r="A13" s="97" t="s">
        <v>807</v>
      </c>
      <c r="B13" s="98" t="s">
        <v>315</v>
      </c>
      <c r="C13" s="99">
        <v>0</v>
      </c>
      <c r="D13" s="99">
        <v>0</v>
      </c>
      <c r="E13" s="99">
        <v>1.5</v>
      </c>
      <c r="F13" s="99">
        <v>0</v>
      </c>
      <c r="G13" s="99">
        <v>37797.83</v>
      </c>
      <c r="H13" s="99">
        <v>37799.33</v>
      </c>
      <c r="I13" s="99">
        <v>384263.95</v>
      </c>
      <c r="J13" s="99">
        <v>384263.95</v>
      </c>
      <c r="K13" s="99">
        <v>0</v>
      </c>
      <c r="L13" s="99">
        <v>0</v>
      </c>
    </row>
    <row r="14" spans="1:12" x14ac:dyDescent="0.25">
      <c r="A14" s="97" t="s">
        <v>808</v>
      </c>
      <c r="B14" s="98" t="s">
        <v>319</v>
      </c>
      <c r="C14" s="99">
        <v>39920.660000000003</v>
      </c>
      <c r="D14" s="99">
        <v>0</v>
      </c>
      <c r="E14" s="99">
        <v>45692.86</v>
      </c>
      <c r="F14" s="99">
        <v>0</v>
      </c>
      <c r="G14" s="99">
        <v>38306.29</v>
      </c>
      <c r="H14" s="99">
        <v>45284.36</v>
      </c>
      <c r="I14" s="99">
        <v>385238.31</v>
      </c>
      <c r="J14" s="99">
        <v>386444.18</v>
      </c>
      <c r="K14" s="99">
        <v>38714.79</v>
      </c>
      <c r="L14" s="99">
        <v>0</v>
      </c>
    </row>
    <row r="15" spans="1:12" x14ac:dyDescent="0.25">
      <c r="A15" s="97" t="s">
        <v>809</v>
      </c>
      <c r="B15" s="98" t="s">
        <v>321</v>
      </c>
      <c r="C15" s="99">
        <v>-424.92</v>
      </c>
      <c r="D15" s="99">
        <v>0</v>
      </c>
      <c r="E15" s="99">
        <v>484.12</v>
      </c>
      <c r="F15" s="99">
        <v>0</v>
      </c>
      <c r="G15" s="99">
        <v>42.63</v>
      </c>
      <c r="H15" s="99">
        <v>484.12</v>
      </c>
      <c r="I15" s="99">
        <v>7842.37</v>
      </c>
      <c r="J15" s="99">
        <v>7374.82</v>
      </c>
      <c r="K15" s="99">
        <v>42.63</v>
      </c>
      <c r="L15" s="99">
        <v>0</v>
      </c>
    </row>
    <row r="16" spans="1:12" x14ac:dyDescent="0.25">
      <c r="A16" s="97" t="s">
        <v>810</v>
      </c>
      <c r="B16" s="98" t="s">
        <v>323</v>
      </c>
      <c r="C16" s="99">
        <v>0</v>
      </c>
      <c r="D16" s="99">
        <v>415.98</v>
      </c>
      <c r="E16" s="99">
        <v>0</v>
      </c>
      <c r="F16" s="99">
        <v>216.15</v>
      </c>
      <c r="G16" s="99">
        <v>12.83</v>
      </c>
      <c r="H16" s="99">
        <v>-24.11</v>
      </c>
      <c r="I16" s="99">
        <v>1918.71</v>
      </c>
      <c r="J16" s="99">
        <v>1681.94</v>
      </c>
      <c r="K16" s="99">
        <v>0</v>
      </c>
      <c r="L16" s="99">
        <v>179.21</v>
      </c>
    </row>
    <row r="17" spans="1:12" x14ac:dyDescent="0.25">
      <c r="A17" s="97" t="s">
        <v>811</v>
      </c>
      <c r="B17" s="98" t="s">
        <v>812</v>
      </c>
      <c r="C17" s="99">
        <v>8117.28</v>
      </c>
      <c r="D17" s="99">
        <v>0</v>
      </c>
      <c r="E17" s="99">
        <v>4482.9399999999996</v>
      </c>
      <c r="F17" s="99">
        <v>0</v>
      </c>
      <c r="G17" s="99">
        <v>46825.84</v>
      </c>
      <c r="H17" s="99">
        <v>47913.74</v>
      </c>
      <c r="I17" s="99">
        <v>366432.54</v>
      </c>
      <c r="J17" s="99">
        <v>371154.78</v>
      </c>
      <c r="K17" s="99">
        <v>3395.04</v>
      </c>
      <c r="L17" s="99">
        <v>0</v>
      </c>
    </row>
    <row r="18" spans="1:12" x14ac:dyDescent="0.25">
      <c r="A18" s="97" t="s">
        <v>813</v>
      </c>
      <c r="B18" s="98" t="s">
        <v>814</v>
      </c>
      <c r="C18" s="99">
        <v>0</v>
      </c>
      <c r="D18" s="99">
        <v>0</v>
      </c>
      <c r="E18" s="99">
        <v>0</v>
      </c>
      <c r="F18" s="99">
        <v>0</v>
      </c>
      <c r="G18" s="99">
        <v>221.1</v>
      </c>
      <c r="H18" s="99">
        <v>221.1</v>
      </c>
      <c r="I18" s="99">
        <v>2877.6</v>
      </c>
      <c r="J18" s="99">
        <v>2877.6</v>
      </c>
      <c r="K18" s="99">
        <v>0</v>
      </c>
      <c r="L18" s="99">
        <v>0</v>
      </c>
    </row>
    <row r="19" spans="1:12" x14ac:dyDescent="0.25">
      <c r="A19" s="97" t="s">
        <v>815</v>
      </c>
      <c r="B19" s="98" t="s">
        <v>816</v>
      </c>
      <c r="C19" s="99">
        <v>0</v>
      </c>
      <c r="D19" s="99">
        <v>0</v>
      </c>
      <c r="E19" s="99">
        <v>0</v>
      </c>
      <c r="F19" s="99">
        <v>0</v>
      </c>
      <c r="G19" s="99">
        <v>91663.57</v>
      </c>
      <c r="H19" s="99">
        <v>91663.57</v>
      </c>
      <c r="I19" s="99">
        <v>1027629.95</v>
      </c>
      <c r="J19" s="99">
        <v>1027629.95</v>
      </c>
      <c r="K19" s="99">
        <v>0</v>
      </c>
      <c r="L19" s="99">
        <v>0</v>
      </c>
    </row>
    <row r="20" spans="1:12" x14ac:dyDescent="0.25">
      <c r="A20" s="97" t="s">
        <v>817</v>
      </c>
      <c r="B20" s="98" t="s">
        <v>733</v>
      </c>
      <c r="C20" s="99">
        <v>0</v>
      </c>
      <c r="D20" s="99">
        <v>0</v>
      </c>
      <c r="E20" s="99">
        <v>0</v>
      </c>
      <c r="F20" s="99">
        <v>0</v>
      </c>
      <c r="G20" s="99">
        <v>38550</v>
      </c>
      <c r="H20" s="99">
        <v>38550</v>
      </c>
      <c r="I20" s="99">
        <v>306370</v>
      </c>
      <c r="J20" s="99">
        <v>306370</v>
      </c>
      <c r="K20" s="99">
        <v>0</v>
      </c>
      <c r="L20" s="99">
        <v>0</v>
      </c>
    </row>
    <row r="21" spans="1:12" x14ac:dyDescent="0.25">
      <c r="A21" s="97" t="s">
        <v>818</v>
      </c>
      <c r="B21" s="98" t="s">
        <v>339</v>
      </c>
      <c r="C21" s="99">
        <v>39988.959999999999</v>
      </c>
      <c r="D21" s="99">
        <v>0</v>
      </c>
      <c r="E21" s="99">
        <v>28860.74</v>
      </c>
      <c r="F21" s="99">
        <v>0</v>
      </c>
      <c r="G21" s="99">
        <v>39572.31</v>
      </c>
      <c r="H21" s="99">
        <v>15365.41</v>
      </c>
      <c r="I21" s="99">
        <v>189167.45</v>
      </c>
      <c r="J21" s="99">
        <v>176088.77</v>
      </c>
      <c r="K21" s="99">
        <v>53067.64</v>
      </c>
      <c r="L21" s="99">
        <v>0</v>
      </c>
    </row>
    <row r="22" spans="1:12" x14ac:dyDescent="0.25">
      <c r="A22" s="97" t="s">
        <v>819</v>
      </c>
      <c r="B22" s="98" t="s">
        <v>349</v>
      </c>
      <c r="C22" s="99">
        <v>8311.2000000000007</v>
      </c>
      <c r="D22" s="99">
        <v>0</v>
      </c>
      <c r="E22" s="99">
        <v>8311.2000000000007</v>
      </c>
      <c r="F22" s="99">
        <v>0</v>
      </c>
      <c r="G22" s="99">
        <v>0</v>
      </c>
      <c r="H22" s="99">
        <v>0</v>
      </c>
      <c r="I22" s="99">
        <v>391.01</v>
      </c>
      <c r="J22" s="99">
        <v>391.01</v>
      </c>
      <c r="K22" s="99">
        <v>8311.2000000000007</v>
      </c>
      <c r="L22" s="99">
        <v>0</v>
      </c>
    </row>
    <row r="23" spans="1:12" x14ac:dyDescent="0.25">
      <c r="A23" s="97" t="s">
        <v>820</v>
      </c>
      <c r="B23" s="98" t="s">
        <v>821</v>
      </c>
      <c r="C23" s="99">
        <v>4719.17</v>
      </c>
      <c r="D23" s="99">
        <v>0</v>
      </c>
      <c r="E23" s="99">
        <v>808.88</v>
      </c>
      <c r="F23" s="99">
        <v>0</v>
      </c>
      <c r="G23" s="99">
        <v>29811.8</v>
      </c>
      <c r="H23" s="99">
        <v>29359.62</v>
      </c>
      <c r="I23" s="99">
        <v>83700.210000000006</v>
      </c>
      <c r="J23" s="99">
        <v>87158.32</v>
      </c>
      <c r="K23" s="99">
        <v>1261.06</v>
      </c>
      <c r="L23" s="99">
        <v>0</v>
      </c>
    </row>
    <row r="24" spans="1:12" x14ac:dyDescent="0.25">
      <c r="A24" s="97" t="s">
        <v>822</v>
      </c>
      <c r="B24" s="98" t="s">
        <v>363</v>
      </c>
      <c r="C24" s="99">
        <v>0</v>
      </c>
      <c r="D24" s="99">
        <v>104078.76</v>
      </c>
      <c r="E24" s="99">
        <v>0</v>
      </c>
      <c r="F24" s="99">
        <v>123483.57</v>
      </c>
      <c r="G24" s="99">
        <v>46905.599999999999</v>
      </c>
      <c r="H24" s="99">
        <v>66348.539999999994</v>
      </c>
      <c r="I24" s="99">
        <v>478966.13</v>
      </c>
      <c r="J24" s="99">
        <v>517813.88</v>
      </c>
      <c r="K24" s="99">
        <v>0</v>
      </c>
      <c r="L24" s="99">
        <v>142926.51</v>
      </c>
    </row>
    <row r="25" spans="1:12" x14ac:dyDescent="0.25">
      <c r="A25" s="97" t="s">
        <v>823</v>
      </c>
      <c r="B25" s="98" t="s">
        <v>824</v>
      </c>
      <c r="C25" s="99">
        <v>0</v>
      </c>
      <c r="D25" s="99">
        <v>2241.0500000000002</v>
      </c>
      <c r="E25" s="99">
        <v>0</v>
      </c>
      <c r="F25" s="99">
        <v>1081.33</v>
      </c>
      <c r="G25" s="99">
        <v>0</v>
      </c>
      <c r="H25" s="99">
        <v>1546.62</v>
      </c>
      <c r="I25" s="99">
        <v>2468.88</v>
      </c>
      <c r="J25" s="99">
        <v>2855.78</v>
      </c>
      <c r="K25" s="99">
        <v>0</v>
      </c>
      <c r="L25" s="99">
        <v>2627.95</v>
      </c>
    </row>
    <row r="26" spans="1:12" x14ac:dyDescent="0.25">
      <c r="A26" s="97" t="s">
        <v>825</v>
      </c>
      <c r="B26" s="98" t="s">
        <v>381</v>
      </c>
      <c r="C26" s="99">
        <v>0</v>
      </c>
      <c r="D26" s="99">
        <v>0</v>
      </c>
      <c r="E26" s="99">
        <v>0</v>
      </c>
      <c r="F26" s="99">
        <v>0</v>
      </c>
      <c r="G26" s="99">
        <v>162</v>
      </c>
      <c r="H26" s="99">
        <v>162</v>
      </c>
      <c r="I26" s="99">
        <v>1944</v>
      </c>
      <c r="J26" s="99">
        <v>1944</v>
      </c>
      <c r="K26" s="99">
        <v>0</v>
      </c>
      <c r="L26" s="99">
        <v>0</v>
      </c>
    </row>
    <row r="27" spans="1:12" x14ac:dyDescent="0.25">
      <c r="A27" s="97" t="s">
        <v>826</v>
      </c>
      <c r="B27" s="98" t="s">
        <v>383</v>
      </c>
      <c r="C27" s="99">
        <v>0</v>
      </c>
      <c r="D27" s="99">
        <v>42.3</v>
      </c>
      <c r="E27" s="99">
        <v>0</v>
      </c>
      <c r="F27" s="99">
        <v>14348.86</v>
      </c>
      <c r="G27" s="99">
        <v>16104.28</v>
      </c>
      <c r="H27" s="99">
        <v>9603.9599999999991</v>
      </c>
      <c r="I27" s="99">
        <v>23362.57</v>
      </c>
      <c r="J27" s="99">
        <v>31168.81</v>
      </c>
      <c r="K27" s="99">
        <v>0</v>
      </c>
      <c r="L27" s="99">
        <v>7848.54</v>
      </c>
    </row>
    <row r="28" spans="1:12" x14ac:dyDescent="0.25">
      <c r="A28" s="97" t="s">
        <v>827</v>
      </c>
      <c r="B28" s="98" t="s">
        <v>385</v>
      </c>
      <c r="C28" s="99">
        <v>0</v>
      </c>
      <c r="D28" s="99">
        <v>3970.69</v>
      </c>
      <c r="E28" s="99">
        <v>0</v>
      </c>
      <c r="F28" s="99">
        <v>4228.79</v>
      </c>
      <c r="G28" s="99">
        <v>5645.89</v>
      </c>
      <c r="H28" s="99">
        <v>5584.35</v>
      </c>
      <c r="I28" s="99">
        <v>68245.47</v>
      </c>
      <c r="J28" s="99">
        <v>68442.03</v>
      </c>
      <c r="K28" s="99">
        <v>0</v>
      </c>
      <c r="L28" s="99">
        <v>4167.25</v>
      </c>
    </row>
    <row r="29" spans="1:12" x14ac:dyDescent="0.25">
      <c r="A29" s="97" t="s">
        <v>828</v>
      </c>
      <c r="B29" s="98" t="s">
        <v>389</v>
      </c>
      <c r="C29" s="99">
        <v>0</v>
      </c>
      <c r="D29" s="99">
        <v>0</v>
      </c>
      <c r="E29" s="99">
        <v>57.76</v>
      </c>
      <c r="F29" s="99">
        <v>0</v>
      </c>
      <c r="G29" s="99">
        <v>87.1</v>
      </c>
      <c r="H29" s="99">
        <v>144.86000000000001</v>
      </c>
      <c r="I29" s="99">
        <v>1447.82</v>
      </c>
      <c r="J29" s="99">
        <v>1447.82</v>
      </c>
      <c r="K29" s="99">
        <v>0</v>
      </c>
      <c r="L29" s="99">
        <v>0</v>
      </c>
    </row>
    <row r="30" spans="1:12" x14ac:dyDescent="0.25">
      <c r="A30" s="97" t="s">
        <v>829</v>
      </c>
      <c r="B30" s="98" t="s">
        <v>830</v>
      </c>
      <c r="C30" s="99">
        <v>0</v>
      </c>
      <c r="D30" s="99">
        <v>2401.11</v>
      </c>
      <c r="E30" s="99">
        <v>0</v>
      </c>
      <c r="F30" s="99">
        <v>2589.92</v>
      </c>
      <c r="G30" s="99">
        <v>2589.92</v>
      </c>
      <c r="H30" s="99">
        <v>2556.25</v>
      </c>
      <c r="I30" s="99">
        <v>31031.51</v>
      </c>
      <c r="J30" s="99">
        <v>31186.65</v>
      </c>
      <c r="K30" s="99">
        <v>0</v>
      </c>
      <c r="L30" s="99">
        <v>2556.25</v>
      </c>
    </row>
    <row r="31" spans="1:12" x14ac:dyDescent="0.25">
      <c r="A31" s="97" t="s">
        <v>831</v>
      </c>
      <c r="B31" s="98" t="s">
        <v>832</v>
      </c>
      <c r="C31" s="99">
        <v>0</v>
      </c>
      <c r="D31" s="99">
        <v>566.88</v>
      </c>
      <c r="E31" s="99">
        <v>0</v>
      </c>
      <c r="F31" s="99">
        <v>619.87</v>
      </c>
      <c r="G31" s="99">
        <v>641.28</v>
      </c>
      <c r="H31" s="99">
        <v>627.75</v>
      </c>
      <c r="I31" s="99">
        <v>7347.81</v>
      </c>
      <c r="J31" s="99">
        <v>7387.27</v>
      </c>
      <c r="K31" s="99">
        <v>0</v>
      </c>
      <c r="L31" s="99">
        <v>606.34</v>
      </c>
    </row>
    <row r="32" spans="1:12" x14ac:dyDescent="0.25">
      <c r="A32" s="97" t="s">
        <v>833</v>
      </c>
      <c r="B32" s="98" t="s">
        <v>834</v>
      </c>
      <c r="C32" s="99">
        <v>0</v>
      </c>
      <c r="D32" s="99">
        <v>296.86</v>
      </c>
      <c r="E32" s="99">
        <v>0</v>
      </c>
      <c r="F32" s="99">
        <v>-1634.97</v>
      </c>
      <c r="G32" s="99">
        <v>19741.62</v>
      </c>
      <c r="H32" s="99">
        <v>23343.14</v>
      </c>
      <c r="I32" s="99">
        <v>128114.79</v>
      </c>
      <c r="J32" s="99">
        <v>129784.48</v>
      </c>
      <c r="K32" s="99">
        <v>0</v>
      </c>
      <c r="L32" s="99">
        <v>1966.55</v>
      </c>
    </row>
    <row r="33" spans="1:12" x14ac:dyDescent="0.25">
      <c r="A33" s="97" t="s">
        <v>835</v>
      </c>
      <c r="B33" s="98" t="s">
        <v>413</v>
      </c>
      <c r="C33" s="99">
        <v>0</v>
      </c>
      <c r="D33" s="99">
        <v>0</v>
      </c>
      <c r="E33" s="99">
        <v>0</v>
      </c>
      <c r="F33" s="99">
        <v>0</v>
      </c>
      <c r="G33" s="99">
        <v>0</v>
      </c>
      <c r="H33" s="99">
        <v>0</v>
      </c>
      <c r="I33" s="99">
        <v>280.68</v>
      </c>
      <c r="J33" s="99">
        <v>280.68</v>
      </c>
      <c r="K33" s="99">
        <v>0</v>
      </c>
      <c r="L33" s="99">
        <v>0</v>
      </c>
    </row>
    <row r="34" spans="1:12" x14ac:dyDescent="0.25">
      <c r="A34" s="97" t="s">
        <v>836</v>
      </c>
      <c r="B34" s="98" t="s">
        <v>837</v>
      </c>
      <c r="C34" s="99">
        <v>0</v>
      </c>
      <c r="D34" s="99">
        <v>252318.27</v>
      </c>
      <c r="E34" s="99">
        <v>0</v>
      </c>
      <c r="F34" s="99">
        <v>276481.11</v>
      </c>
      <c r="G34" s="99">
        <v>48155.27</v>
      </c>
      <c r="H34" s="99">
        <v>37677.1</v>
      </c>
      <c r="I34" s="99">
        <v>530223.35999999999</v>
      </c>
      <c r="J34" s="99">
        <v>543908.03</v>
      </c>
      <c r="K34" s="99">
        <v>0</v>
      </c>
      <c r="L34" s="99">
        <v>266002.94</v>
      </c>
    </row>
    <row r="35" spans="1:12" x14ac:dyDescent="0.25">
      <c r="A35" s="97" t="s">
        <v>838</v>
      </c>
      <c r="B35" s="98" t="s">
        <v>55</v>
      </c>
      <c r="C35" s="99">
        <v>0</v>
      </c>
      <c r="D35" s="99">
        <v>0</v>
      </c>
      <c r="E35" s="99">
        <v>0</v>
      </c>
      <c r="F35" s="99">
        <v>0</v>
      </c>
      <c r="G35" s="99">
        <v>39.729999999999997</v>
      </c>
      <c r="H35" s="99">
        <v>0</v>
      </c>
      <c r="I35" s="99">
        <v>39.729999999999997</v>
      </c>
      <c r="J35" s="99">
        <v>0</v>
      </c>
      <c r="K35" s="99">
        <v>39.729999999999997</v>
      </c>
      <c r="L35" s="99">
        <v>0</v>
      </c>
    </row>
    <row r="36" spans="1:12" x14ac:dyDescent="0.25">
      <c r="A36" s="97" t="s">
        <v>839</v>
      </c>
      <c r="B36" s="98" t="s">
        <v>741</v>
      </c>
      <c r="C36" s="99">
        <v>0</v>
      </c>
      <c r="D36" s="99">
        <v>40942.83</v>
      </c>
      <c r="E36" s="99">
        <v>0</v>
      </c>
      <c r="F36" s="99">
        <v>41110.06</v>
      </c>
      <c r="G36" s="99">
        <v>263.77</v>
      </c>
      <c r="H36" s="99">
        <v>0</v>
      </c>
      <c r="I36" s="99">
        <v>5030.37</v>
      </c>
      <c r="J36" s="99">
        <v>4933.83</v>
      </c>
      <c r="K36" s="99">
        <v>0</v>
      </c>
      <c r="L36" s="99">
        <v>40846.29</v>
      </c>
    </row>
    <row r="37" spans="1:12" x14ac:dyDescent="0.25">
      <c r="A37" s="97" t="s">
        <v>840</v>
      </c>
      <c r="B37" s="98" t="s">
        <v>431</v>
      </c>
      <c r="C37" s="99">
        <v>124.24</v>
      </c>
      <c r="D37" s="99">
        <v>0</v>
      </c>
      <c r="E37" s="99">
        <v>121.41</v>
      </c>
      <c r="F37" s="99">
        <v>0</v>
      </c>
      <c r="G37" s="99">
        <v>2.02</v>
      </c>
      <c r="H37" s="99">
        <v>0</v>
      </c>
      <c r="I37" s="99">
        <v>349.65</v>
      </c>
      <c r="J37" s="99">
        <v>350.46</v>
      </c>
      <c r="K37" s="99">
        <v>123.43</v>
      </c>
      <c r="L37" s="99">
        <v>0</v>
      </c>
    </row>
    <row r="38" spans="1:12" x14ac:dyDescent="0.25">
      <c r="A38" s="97" t="s">
        <v>841</v>
      </c>
      <c r="B38" s="98" t="s">
        <v>433</v>
      </c>
      <c r="C38" s="99">
        <v>1647.25</v>
      </c>
      <c r="D38" s="99">
        <v>0</v>
      </c>
      <c r="E38" s="99">
        <v>1302.2</v>
      </c>
      <c r="F38" s="99">
        <v>0</v>
      </c>
      <c r="G38" s="99">
        <v>-1302.2</v>
      </c>
      <c r="H38" s="99">
        <v>-1655.29</v>
      </c>
      <c r="I38" s="99">
        <v>-16453.02</v>
      </c>
      <c r="J38" s="99">
        <v>-16461.060000000001</v>
      </c>
      <c r="K38" s="99">
        <v>1655.29</v>
      </c>
      <c r="L38" s="99">
        <v>0</v>
      </c>
    </row>
    <row r="39" spans="1:12" x14ac:dyDescent="0.25">
      <c r="A39" s="97" t="s">
        <v>842</v>
      </c>
      <c r="B39" s="98" t="s">
        <v>843</v>
      </c>
      <c r="C39" s="99">
        <v>0</v>
      </c>
      <c r="D39" s="99">
        <v>0</v>
      </c>
      <c r="E39" s="99">
        <v>0</v>
      </c>
      <c r="F39" s="99">
        <v>0</v>
      </c>
      <c r="G39" s="99">
        <v>0</v>
      </c>
      <c r="H39" s="99">
        <v>39.729999999999997</v>
      </c>
      <c r="I39" s="99">
        <v>0</v>
      </c>
      <c r="J39" s="99">
        <v>39.729999999999997</v>
      </c>
      <c r="K39" s="99">
        <v>0</v>
      </c>
      <c r="L39" s="99">
        <v>39.729999999999997</v>
      </c>
    </row>
    <row r="40" spans="1:12" x14ac:dyDescent="0.25">
      <c r="A40" s="97" t="s">
        <v>844</v>
      </c>
      <c r="B40" s="98" t="s">
        <v>439</v>
      </c>
      <c r="C40" s="99">
        <v>0</v>
      </c>
      <c r="D40" s="99">
        <v>0</v>
      </c>
      <c r="E40" s="99">
        <v>0</v>
      </c>
      <c r="F40" s="99">
        <v>0</v>
      </c>
      <c r="G40" s="99">
        <v>61817.93</v>
      </c>
      <c r="H40" s="99">
        <v>61817.93</v>
      </c>
      <c r="I40" s="99">
        <v>519025.36</v>
      </c>
      <c r="J40" s="99">
        <v>519025.36</v>
      </c>
      <c r="K40" s="99">
        <v>0</v>
      </c>
      <c r="L40" s="99">
        <v>0</v>
      </c>
    </row>
    <row r="41" spans="1:12" x14ac:dyDescent="0.25">
      <c r="A41" s="97" t="s">
        <v>845</v>
      </c>
      <c r="B41" s="98" t="s">
        <v>151</v>
      </c>
      <c r="C41" s="99">
        <v>0</v>
      </c>
      <c r="D41" s="99">
        <v>5000</v>
      </c>
      <c r="E41" s="99">
        <v>0</v>
      </c>
      <c r="F41" s="99">
        <v>5000</v>
      </c>
      <c r="G41" s="99">
        <v>0</v>
      </c>
      <c r="H41" s="99">
        <v>0</v>
      </c>
      <c r="I41" s="99">
        <v>0</v>
      </c>
      <c r="J41" s="99">
        <v>0</v>
      </c>
      <c r="K41" s="99">
        <v>0</v>
      </c>
      <c r="L41" s="99">
        <v>5000</v>
      </c>
    </row>
    <row r="42" spans="1:12" x14ac:dyDescent="0.25">
      <c r="A42" s="97" t="s">
        <v>846</v>
      </c>
      <c r="B42" s="98" t="s">
        <v>214</v>
      </c>
      <c r="C42" s="99">
        <v>141272.34</v>
      </c>
      <c r="D42" s="99">
        <v>0</v>
      </c>
      <c r="E42" s="99">
        <v>232248.15</v>
      </c>
      <c r="F42" s="99">
        <v>0</v>
      </c>
      <c r="G42" s="99">
        <v>0</v>
      </c>
      <c r="H42" s="99">
        <v>0</v>
      </c>
      <c r="I42" s="99">
        <v>90975.81</v>
      </c>
      <c r="J42" s="99">
        <v>0</v>
      </c>
      <c r="K42" s="99">
        <v>232248.15</v>
      </c>
      <c r="L42" s="99">
        <v>0</v>
      </c>
    </row>
    <row r="43" spans="1:12" x14ac:dyDescent="0.25">
      <c r="A43" s="97" t="s">
        <v>847</v>
      </c>
      <c r="B43" s="98" t="s">
        <v>448</v>
      </c>
      <c r="C43" s="99">
        <v>90975.81</v>
      </c>
      <c r="D43" s="99">
        <v>0</v>
      </c>
      <c r="E43" s="99">
        <v>0</v>
      </c>
      <c r="F43" s="99">
        <v>0</v>
      </c>
      <c r="G43" s="99">
        <v>0</v>
      </c>
      <c r="H43" s="99">
        <v>0</v>
      </c>
      <c r="I43" s="99">
        <v>0</v>
      </c>
      <c r="J43" s="99">
        <v>90975.81</v>
      </c>
      <c r="K43" s="99">
        <v>0</v>
      </c>
      <c r="L43" s="99">
        <v>0</v>
      </c>
    </row>
    <row r="44" spans="1:12" x14ac:dyDescent="0.25">
      <c r="A44" s="97" t="s">
        <v>848</v>
      </c>
      <c r="B44" s="98" t="s">
        <v>450</v>
      </c>
      <c r="C44" s="99">
        <v>0</v>
      </c>
      <c r="D44" s="99">
        <v>122.27</v>
      </c>
      <c r="E44" s="99">
        <v>0</v>
      </c>
      <c r="F44" s="99">
        <v>170.65</v>
      </c>
      <c r="G44" s="99">
        <v>12.06</v>
      </c>
      <c r="H44" s="99">
        <v>32.229999999999997</v>
      </c>
      <c r="I44" s="99">
        <v>300.92</v>
      </c>
      <c r="J44" s="99">
        <v>369.47</v>
      </c>
      <c r="K44" s="99">
        <v>0</v>
      </c>
      <c r="L44" s="99">
        <v>190.82</v>
      </c>
    </row>
    <row r="45" spans="1:12" x14ac:dyDescent="0.25">
      <c r="A45" s="97" t="s">
        <v>849</v>
      </c>
      <c r="B45" s="98" t="s">
        <v>850</v>
      </c>
      <c r="C45" s="99">
        <v>0</v>
      </c>
      <c r="D45" s="99">
        <v>-164.45</v>
      </c>
      <c r="E45" s="99">
        <v>0</v>
      </c>
      <c r="F45" s="99">
        <v>-164.45</v>
      </c>
      <c r="G45" s="99">
        <v>934.28</v>
      </c>
      <c r="H45" s="99">
        <v>164.45</v>
      </c>
      <c r="I45" s="99">
        <v>934.28</v>
      </c>
      <c r="J45" s="99">
        <v>164.45</v>
      </c>
      <c r="K45" s="99">
        <v>0</v>
      </c>
      <c r="L45" s="99">
        <v>-934.28</v>
      </c>
    </row>
    <row r="46" spans="1:12" x14ac:dyDescent="0.25">
      <c r="A46" s="97" t="s">
        <v>851</v>
      </c>
      <c r="B46" s="98" t="s">
        <v>852</v>
      </c>
      <c r="C46" s="99">
        <v>0</v>
      </c>
      <c r="D46" s="99">
        <v>0</v>
      </c>
      <c r="E46" s="99">
        <v>2796.36</v>
      </c>
      <c r="F46" s="99">
        <v>0</v>
      </c>
      <c r="G46" s="99">
        <v>791.17</v>
      </c>
      <c r="H46" s="99">
        <v>0</v>
      </c>
      <c r="I46" s="99">
        <v>3811.4</v>
      </c>
      <c r="J46" s="99">
        <v>223.87</v>
      </c>
      <c r="K46" s="99">
        <v>3587.53</v>
      </c>
      <c r="L46" s="99">
        <v>0</v>
      </c>
    </row>
    <row r="47" spans="1:12" x14ac:dyDescent="0.25">
      <c r="A47" s="97" t="s">
        <v>853</v>
      </c>
      <c r="B47" s="98" t="s">
        <v>854</v>
      </c>
      <c r="C47" s="99">
        <v>0</v>
      </c>
      <c r="D47" s="99">
        <v>0</v>
      </c>
      <c r="E47" s="99">
        <v>197.73</v>
      </c>
      <c r="F47" s="99">
        <v>0</v>
      </c>
      <c r="G47" s="99">
        <v>639.6</v>
      </c>
      <c r="H47" s="99">
        <v>0</v>
      </c>
      <c r="I47" s="99">
        <v>2057.33</v>
      </c>
      <c r="J47" s="99">
        <v>1220</v>
      </c>
      <c r="K47" s="99">
        <v>837.33</v>
      </c>
      <c r="L47" s="99">
        <v>0</v>
      </c>
    </row>
    <row r="48" spans="1:12" x14ac:dyDescent="0.25">
      <c r="A48" s="97" t="s">
        <v>855</v>
      </c>
      <c r="B48" s="98" t="s">
        <v>856</v>
      </c>
      <c r="C48" s="99">
        <v>0</v>
      </c>
      <c r="D48" s="99">
        <v>0</v>
      </c>
      <c r="E48" s="99">
        <v>325782.71000000002</v>
      </c>
      <c r="F48" s="99">
        <v>0</v>
      </c>
      <c r="G48" s="99">
        <v>49781.05</v>
      </c>
      <c r="H48" s="99">
        <v>0</v>
      </c>
      <c r="I48" s="99">
        <v>375663.76</v>
      </c>
      <c r="J48" s="99">
        <v>100</v>
      </c>
      <c r="K48" s="99">
        <v>375563.76</v>
      </c>
      <c r="L48" s="99">
        <v>0</v>
      </c>
    </row>
    <row r="49" spans="1:12" x14ac:dyDescent="0.25">
      <c r="A49" s="97" t="s">
        <v>857</v>
      </c>
      <c r="B49" s="98" t="s">
        <v>514</v>
      </c>
      <c r="C49" s="99">
        <v>0</v>
      </c>
      <c r="D49" s="99">
        <v>0</v>
      </c>
      <c r="E49" s="99">
        <v>-199.83</v>
      </c>
      <c r="F49" s="99">
        <v>0</v>
      </c>
      <c r="G49" s="99">
        <v>-24.11</v>
      </c>
      <c r="H49" s="99">
        <v>12.83</v>
      </c>
      <c r="I49" s="99">
        <v>1681.94</v>
      </c>
      <c r="J49" s="99">
        <v>1918.71</v>
      </c>
      <c r="K49" s="99">
        <v>-236.77</v>
      </c>
      <c r="L49" s="99">
        <v>0</v>
      </c>
    </row>
    <row r="50" spans="1:12" x14ac:dyDescent="0.25">
      <c r="A50" s="97" t="s">
        <v>858</v>
      </c>
      <c r="B50" s="98" t="s">
        <v>859</v>
      </c>
      <c r="C50" s="99">
        <v>0</v>
      </c>
      <c r="D50" s="99">
        <v>0</v>
      </c>
      <c r="E50" s="99">
        <v>100</v>
      </c>
      <c r="F50" s="99">
        <v>0</v>
      </c>
      <c r="G50" s="99">
        <v>0</v>
      </c>
      <c r="H50" s="99">
        <v>0</v>
      </c>
      <c r="I50" s="99">
        <v>100</v>
      </c>
      <c r="J50" s="99">
        <v>0</v>
      </c>
      <c r="K50" s="99">
        <v>100</v>
      </c>
      <c r="L50" s="99">
        <v>0</v>
      </c>
    </row>
    <row r="51" spans="1:12" x14ac:dyDescent="0.25">
      <c r="A51" s="97" t="s">
        <v>860</v>
      </c>
      <c r="B51" s="98" t="s">
        <v>520</v>
      </c>
      <c r="C51" s="99">
        <v>0</v>
      </c>
      <c r="D51" s="99">
        <v>0</v>
      </c>
      <c r="E51" s="99">
        <v>5.63</v>
      </c>
      <c r="F51" s="99">
        <v>0</v>
      </c>
      <c r="G51" s="99">
        <v>0</v>
      </c>
      <c r="H51" s="99">
        <v>0</v>
      </c>
      <c r="I51" s="99">
        <v>5.63</v>
      </c>
      <c r="J51" s="99">
        <v>0</v>
      </c>
      <c r="K51" s="99">
        <v>5.63</v>
      </c>
      <c r="L51" s="99">
        <v>0</v>
      </c>
    </row>
    <row r="52" spans="1:12" x14ac:dyDescent="0.25">
      <c r="A52" s="97" t="s">
        <v>861</v>
      </c>
      <c r="B52" s="98" t="s">
        <v>862</v>
      </c>
      <c r="C52" s="99">
        <v>0</v>
      </c>
      <c r="D52" s="99">
        <v>0</v>
      </c>
      <c r="E52" s="99">
        <v>53397.84</v>
      </c>
      <c r="F52" s="99">
        <v>0</v>
      </c>
      <c r="G52" s="99">
        <v>6536.74</v>
      </c>
      <c r="H52" s="99">
        <v>0</v>
      </c>
      <c r="I52" s="99">
        <v>60388.81</v>
      </c>
      <c r="J52" s="99">
        <v>454.23</v>
      </c>
      <c r="K52" s="99">
        <v>59934.58</v>
      </c>
      <c r="L52" s="99">
        <v>0</v>
      </c>
    </row>
    <row r="53" spans="1:12" x14ac:dyDescent="0.25">
      <c r="A53" s="97" t="s">
        <v>863</v>
      </c>
      <c r="B53" s="98" t="s">
        <v>574</v>
      </c>
      <c r="C53" s="99">
        <v>0</v>
      </c>
      <c r="D53" s="99">
        <v>0</v>
      </c>
      <c r="E53" s="99">
        <v>66595.08</v>
      </c>
      <c r="F53" s="99">
        <v>0</v>
      </c>
      <c r="G53" s="99">
        <v>6384.85</v>
      </c>
      <c r="H53" s="99">
        <v>97.86</v>
      </c>
      <c r="I53" s="99">
        <v>74159.12</v>
      </c>
      <c r="J53" s="99">
        <v>1277.05</v>
      </c>
      <c r="K53" s="99">
        <v>72882.070000000007</v>
      </c>
      <c r="L53" s="99">
        <v>0</v>
      </c>
    </row>
    <row r="54" spans="1:12" x14ac:dyDescent="0.25">
      <c r="A54" s="97" t="s">
        <v>864</v>
      </c>
      <c r="B54" s="98" t="s">
        <v>598</v>
      </c>
      <c r="C54" s="99">
        <v>0</v>
      </c>
      <c r="D54" s="99">
        <v>0</v>
      </c>
      <c r="E54" s="99">
        <v>22176.04</v>
      </c>
      <c r="F54" s="99">
        <v>0</v>
      </c>
      <c r="G54" s="99">
        <v>2148.85</v>
      </c>
      <c r="H54" s="99">
        <v>34.450000000000003</v>
      </c>
      <c r="I54" s="99">
        <v>24731.21</v>
      </c>
      <c r="J54" s="99">
        <v>440.77</v>
      </c>
      <c r="K54" s="99">
        <v>24290.44</v>
      </c>
      <c r="L54" s="99">
        <v>0</v>
      </c>
    </row>
    <row r="55" spans="1:12" x14ac:dyDescent="0.25">
      <c r="A55" s="97" t="s">
        <v>865</v>
      </c>
      <c r="B55" s="98" t="s">
        <v>866</v>
      </c>
      <c r="C55" s="99">
        <v>0</v>
      </c>
      <c r="D55" s="99">
        <v>0</v>
      </c>
      <c r="E55" s="99">
        <v>2027.41</v>
      </c>
      <c r="F55" s="99">
        <v>0</v>
      </c>
      <c r="G55" s="99">
        <v>154.16999999999999</v>
      </c>
      <c r="H55" s="99">
        <v>0</v>
      </c>
      <c r="I55" s="99">
        <v>2181.58</v>
      </c>
      <c r="J55" s="99">
        <v>0</v>
      </c>
      <c r="K55" s="99">
        <v>2181.58</v>
      </c>
      <c r="L55" s="99">
        <v>0</v>
      </c>
    </row>
    <row r="56" spans="1:12" x14ac:dyDescent="0.25">
      <c r="A56" s="97" t="s">
        <v>867</v>
      </c>
      <c r="B56" s="98" t="s">
        <v>413</v>
      </c>
      <c r="C56" s="99">
        <v>0</v>
      </c>
      <c r="D56" s="99">
        <v>0</v>
      </c>
      <c r="E56" s="99">
        <v>88.68</v>
      </c>
      <c r="F56" s="99">
        <v>0</v>
      </c>
      <c r="G56" s="99">
        <v>0</v>
      </c>
      <c r="H56" s="99">
        <v>0</v>
      </c>
      <c r="I56" s="99">
        <v>88.68</v>
      </c>
      <c r="J56" s="99">
        <v>0</v>
      </c>
      <c r="K56" s="99">
        <v>88.68</v>
      </c>
      <c r="L56" s="99">
        <v>0</v>
      </c>
    </row>
    <row r="57" spans="1:12" x14ac:dyDescent="0.25">
      <c r="A57" s="97" t="s">
        <v>868</v>
      </c>
      <c r="B57" s="98" t="s">
        <v>869</v>
      </c>
      <c r="C57" s="99">
        <v>0</v>
      </c>
      <c r="D57" s="99">
        <v>0</v>
      </c>
      <c r="E57" s="99">
        <v>30</v>
      </c>
      <c r="F57" s="99">
        <v>0</v>
      </c>
      <c r="G57" s="99">
        <v>0</v>
      </c>
      <c r="H57" s="99">
        <v>0</v>
      </c>
      <c r="I57" s="99">
        <v>30</v>
      </c>
      <c r="J57" s="99">
        <v>0</v>
      </c>
      <c r="K57" s="99">
        <v>30</v>
      </c>
      <c r="L57" s="99">
        <v>0</v>
      </c>
    </row>
    <row r="58" spans="1:12" x14ac:dyDescent="0.25">
      <c r="A58" s="97" t="s">
        <v>870</v>
      </c>
      <c r="B58" s="98" t="s">
        <v>871</v>
      </c>
      <c r="C58" s="99">
        <v>0</v>
      </c>
      <c r="D58" s="99">
        <v>0</v>
      </c>
      <c r="E58" s="99">
        <v>0</v>
      </c>
      <c r="F58" s="99">
        <v>0</v>
      </c>
      <c r="G58" s="99">
        <v>39.729999999999997</v>
      </c>
      <c r="H58" s="99">
        <v>0</v>
      </c>
      <c r="I58" s="99">
        <v>39.729999999999997</v>
      </c>
      <c r="J58" s="99">
        <v>0</v>
      </c>
      <c r="K58" s="99">
        <v>39.729999999999997</v>
      </c>
      <c r="L58" s="99">
        <v>0</v>
      </c>
    </row>
    <row r="59" spans="1:12" x14ac:dyDescent="0.25">
      <c r="A59" s="97" t="s">
        <v>872</v>
      </c>
      <c r="B59" s="98" t="s">
        <v>873</v>
      </c>
      <c r="C59" s="99">
        <v>0</v>
      </c>
      <c r="D59" s="99">
        <v>0</v>
      </c>
      <c r="E59" s="99">
        <v>461.49</v>
      </c>
      <c r="F59" s="99">
        <v>0</v>
      </c>
      <c r="G59" s="99">
        <v>37.270000000000003</v>
      </c>
      <c r="H59" s="99">
        <v>0</v>
      </c>
      <c r="I59" s="99">
        <v>498.76</v>
      </c>
      <c r="J59" s="99">
        <v>0</v>
      </c>
      <c r="K59" s="99">
        <v>498.76</v>
      </c>
      <c r="L59" s="99">
        <v>0</v>
      </c>
    </row>
    <row r="60" spans="1:12" x14ac:dyDescent="0.25">
      <c r="A60" s="97" t="s">
        <v>874</v>
      </c>
      <c r="B60" s="98" t="s">
        <v>875</v>
      </c>
      <c r="C60" s="99">
        <v>0</v>
      </c>
      <c r="D60" s="99">
        <v>0</v>
      </c>
      <c r="E60" s="99">
        <v>104.52</v>
      </c>
      <c r="F60" s="99">
        <v>0</v>
      </c>
      <c r="G60" s="99">
        <v>-37.9</v>
      </c>
      <c r="H60" s="99">
        <v>0</v>
      </c>
      <c r="I60" s="99">
        <v>66.62</v>
      </c>
      <c r="J60" s="99">
        <v>0</v>
      </c>
      <c r="K60" s="99">
        <v>66.62</v>
      </c>
      <c r="L60" s="99">
        <v>0</v>
      </c>
    </row>
    <row r="61" spans="1:12" x14ac:dyDescent="0.25">
      <c r="A61" s="97" t="s">
        <v>876</v>
      </c>
      <c r="B61" s="98" t="s">
        <v>877</v>
      </c>
      <c r="C61" s="99">
        <v>0</v>
      </c>
      <c r="D61" s="99">
        <v>0</v>
      </c>
      <c r="E61" s="99">
        <v>8225.36</v>
      </c>
      <c r="F61" s="99">
        <v>0</v>
      </c>
      <c r="G61" s="99">
        <v>747.76</v>
      </c>
      <c r="H61" s="99">
        <v>0</v>
      </c>
      <c r="I61" s="99">
        <v>8973.1200000000008</v>
      </c>
      <c r="J61" s="99">
        <v>0</v>
      </c>
      <c r="K61" s="99">
        <v>8973.1200000000008</v>
      </c>
      <c r="L61" s="99">
        <v>0</v>
      </c>
    </row>
    <row r="62" spans="1:12" x14ac:dyDescent="0.25">
      <c r="A62" s="97" t="s">
        <v>878</v>
      </c>
      <c r="B62" s="98" t="s">
        <v>645</v>
      </c>
      <c r="C62" s="99">
        <v>0</v>
      </c>
      <c r="D62" s="99">
        <v>0</v>
      </c>
      <c r="E62" s="99">
        <v>0</v>
      </c>
      <c r="F62" s="99">
        <v>0</v>
      </c>
      <c r="G62" s="99">
        <v>3293</v>
      </c>
      <c r="H62" s="99">
        <v>0</v>
      </c>
      <c r="I62" s="99">
        <v>3293</v>
      </c>
      <c r="J62" s="99">
        <v>0</v>
      </c>
      <c r="K62" s="99">
        <v>3293</v>
      </c>
      <c r="L62" s="99">
        <v>0</v>
      </c>
    </row>
    <row r="63" spans="1:12" x14ac:dyDescent="0.25">
      <c r="A63" s="97" t="s">
        <v>879</v>
      </c>
      <c r="B63" s="98" t="s">
        <v>880</v>
      </c>
      <c r="C63" s="99">
        <v>0</v>
      </c>
      <c r="D63" s="99">
        <v>0</v>
      </c>
      <c r="E63" s="99">
        <v>5862.66</v>
      </c>
      <c r="F63" s="99">
        <v>0</v>
      </c>
      <c r="G63" s="99">
        <v>563.6</v>
      </c>
      <c r="H63" s="99">
        <v>0</v>
      </c>
      <c r="I63" s="99">
        <v>6426.26</v>
      </c>
      <c r="J63" s="99">
        <v>0</v>
      </c>
      <c r="K63" s="99">
        <v>6426.26</v>
      </c>
      <c r="L63" s="99">
        <v>0</v>
      </c>
    </row>
    <row r="64" spans="1:12" x14ac:dyDescent="0.25">
      <c r="A64" s="97" t="s">
        <v>881</v>
      </c>
      <c r="B64" s="98" t="s">
        <v>882</v>
      </c>
      <c r="C64" s="99">
        <v>0</v>
      </c>
      <c r="D64" s="99">
        <v>0</v>
      </c>
      <c r="E64" s="99">
        <v>1404.63</v>
      </c>
      <c r="F64" s="99">
        <v>0</v>
      </c>
      <c r="G64" s="99">
        <v>132.04</v>
      </c>
      <c r="H64" s="99">
        <v>0</v>
      </c>
      <c r="I64" s="99">
        <v>1537.24</v>
      </c>
      <c r="J64" s="99">
        <v>0.56999999999999995</v>
      </c>
      <c r="K64" s="99">
        <v>1536.67</v>
      </c>
      <c r="L64" s="99">
        <v>0</v>
      </c>
    </row>
    <row r="65" spans="1:12" x14ac:dyDescent="0.25">
      <c r="A65" s="97" t="s">
        <v>883</v>
      </c>
      <c r="B65" s="98" t="s">
        <v>884</v>
      </c>
      <c r="C65" s="99">
        <v>0</v>
      </c>
      <c r="D65" s="99">
        <v>0</v>
      </c>
      <c r="E65" s="99">
        <v>0</v>
      </c>
      <c r="F65" s="99">
        <v>0</v>
      </c>
      <c r="G65" s="99">
        <v>164.45</v>
      </c>
      <c r="H65" s="99">
        <v>934.28</v>
      </c>
      <c r="I65" s="99">
        <v>164.45</v>
      </c>
      <c r="J65" s="99">
        <v>934.28</v>
      </c>
      <c r="K65" s="99">
        <v>-769.83</v>
      </c>
      <c r="L65" s="99">
        <v>0</v>
      </c>
    </row>
    <row r="66" spans="1:12" x14ac:dyDescent="0.25">
      <c r="A66" s="97" t="s">
        <v>885</v>
      </c>
      <c r="B66" s="98" t="s">
        <v>886</v>
      </c>
      <c r="C66" s="99">
        <v>0</v>
      </c>
      <c r="D66" s="99">
        <v>0</v>
      </c>
      <c r="E66" s="99">
        <v>0</v>
      </c>
      <c r="F66" s="99">
        <v>2006.17</v>
      </c>
      <c r="G66" s="99">
        <v>0</v>
      </c>
      <c r="H66" s="99">
        <v>20716.53</v>
      </c>
      <c r="I66" s="99">
        <v>0</v>
      </c>
      <c r="J66" s="99">
        <v>22722.7</v>
      </c>
      <c r="K66" s="99">
        <v>0</v>
      </c>
      <c r="L66" s="99">
        <v>22722.7</v>
      </c>
    </row>
    <row r="67" spans="1:12" x14ac:dyDescent="0.25">
      <c r="A67" s="97" t="s">
        <v>887</v>
      </c>
      <c r="B67" s="98" t="s">
        <v>888</v>
      </c>
      <c r="C67" s="99">
        <v>0</v>
      </c>
      <c r="D67" s="99">
        <v>0</v>
      </c>
      <c r="E67" s="99">
        <v>0</v>
      </c>
      <c r="F67" s="99">
        <v>410368.52</v>
      </c>
      <c r="G67" s="99">
        <v>1267.56</v>
      </c>
      <c r="H67" s="99">
        <v>56273.65</v>
      </c>
      <c r="I67" s="99">
        <v>10876.46</v>
      </c>
      <c r="J67" s="99">
        <v>476251.07</v>
      </c>
      <c r="K67" s="99">
        <v>0</v>
      </c>
      <c r="L67" s="99">
        <v>465374.61</v>
      </c>
    </row>
    <row r="68" spans="1:12" x14ac:dyDescent="0.25">
      <c r="A68" s="97" t="s">
        <v>889</v>
      </c>
      <c r="B68" s="98" t="s">
        <v>781</v>
      </c>
      <c r="C68" s="99">
        <v>0</v>
      </c>
      <c r="D68" s="99">
        <v>0</v>
      </c>
      <c r="E68" s="99">
        <v>0</v>
      </c>
      <c r="F68" s="99">
        <v>1218.04</v>
      </c>
      <c r="G68" s="99">
        <v>0</v>
      </c>
      <c r="H68" s="99">
        <v>163.11000000000001</v>
      </c>
      <c r="I68" s="99">
        <v>0</v>
      </c>
      <c r="J68" s="99">
        <v>1381.15</v>
      </c>
      <c r="K68" s="99">
        <v>0</v>
      </c>
      <c r="L68" s="99">
        <v>1381.15</v>
      </c>
    </row>
    <row r="69" spans="1:12" x14ac:dyDescent="0.25">
      <c r="A69" s="97" t="s">
        <v>890</v>
      </c>
      <c r="B69" s="98" t="s">
        <v>891</v>
      </c>
      <c r="C69" s="99">
        <v>100</v>
      </c>
      <c r="D69" s="99">
        <v>0</v>
      </c>
      <c r="E69" s="99">
        <v>0</v>
      </c>
      <c r="F69" s="99">
        <v>0</v>
      </c>
      <c r="G69" s="99">
        <v>0</v>
      </c>
      <c r="H69" s="99">
        <v>0</v>
      </c>
      <c r="I69" s="99">
        <v>0</v>
      </c>
      <c r="J69" s="99">
        <v>100</v>
      </c>
      <c r="K69" s="99">
        <v>0</v>
      </c>
      <c r="L69" s="99">
        <v>0</v>
      </c>
    </row>
    <row r="70" spans="1:12" x14ac:dyDescent="0.25">
      <c r="A70" s="97" t="s">
        <v>892</v>
      </c>
      <c r="B70" s="98" t="s">
        <v>893</v>
      </c>
      <c r="C70" s="99">
        <v>-100</v>
      </c>
      <c r="D70" s="99">
        <v>0</v>
      </c>
      <c r="E70" s="99">
        <v>0</v>
      </c>
      <c r="F70" s="99">
        <v>0</v>
      </c>
      <c r="G70" s="99">
        <v>0</v>
      </c>
      <c r="H70" s="99">
        <v>0</v>
      </c>
      <c r="I70" s="99">
        <v>0</v>
      </c>
      <c r="J70" s="99">
        <v>-100</v>
      </c>
      <c r="K70" s="99">
        <v>0</v>
      </c>
      <c r="L70" s="99">
        <v>0</v>
      </c>
    </row>
    <row r="71" spans="1:12" x14ac:dyDescent="0.25">
      <c r="A71" s="97" t="s">
        <v>894</v>
      </c>
      <c r="B71" s="98" t="s">
        <v>895</v>
      </c>
      <c r="C71" s="99">
        <v>0</v>
      </c>
      <c r="D71" s="99">
        <v>0</v>
      </c>
      <c r="E71" s="99">
        <v>-1614.96</v>
      </c>
      <c r="F71" s="99">
        <v>0</v>
      </c>
      <c r="G71" s="99">
        <v>-1655.29</v>
      </c>
      <c r="H71" s="99">
        <v>-3270.25</v>
      </c>
      <c r="I71" s="99">
        <v>-16461.060000000001</v>
      </c>
      <c r="J71" s="99">
        <v>-16461.060000000001</v>
      </c>
      <c r="K71" s="99">
        <v>0</v>
      </c>
      <c r="L71" s="99">
        <v>0</v>
      </c>
    </row>
    <row r="72" spans="1:12" x14ac:dyDescent="0.25">
      <c r="A72" s="97" t="s">
        <v>896</v>
      </c>
      <c r="B72" s="98" t="s">
        <v>897</v>
      </c>
      <c r="C72" s="99">
        <v>0</v>
      </c>
      <c r="D72" s="99">
        <v>0</v>
      </c>
      <c r="E72" s="99">
        <v>0</v>
      </c>
      <c r="F72" s="99">
        <v>-1614.96</v>
      </c>
      <c r="G72" s="99">
        <v>2058.79</v>
      </c>
      <c r="H72" s="99">
        <v>3673.75</v>
      </c>
      <c r="I72" s="99">
        <v>30954.33</v>
      </c>
      <c r="J72" s="99">
        <v>30954.33</v>
      </c>
      <c r="K72" s="99">
        <v>0</v>
      </c>
      <c r="L72" s="99">
        <v>0</v>
      </c>
    </row>
    <row r="73" spans="1:12" x14ac:dyDescent="0.25">
      <c r="A73" s="97"/>
      <c r="B73" s="98"/>
      <c r="C73" s="99"/>
      <c r="D73" s="99"/>
      <c r="E73" s="99"/>
      <c r="F73" s="99"/>
      <c r="G73" s="99"/>
      <c r="H73" s="99"/>
      <c r="I73" s="99"/>
      <c r="J73" s="99"/>
      <c r="K73" s="99"/>
      <c r="L73" s="99"/>
    </row>
    <row r="74" spans="1:12" x14ac:dyDescent="0.25">
      <c r="A74" s="97"/>
      <c r="B74" s="98"/>
      <c r="C74" s="99"/>
      <c r="D74" s="99"/>
      <c r="E74" s="99"/>
      <c r="F74" s="99"/>
      <c r="G74" s="99"/>
      <c r="H74" s="99"/>
      <c r="I74" s="99"/>
      <c r="J74" s="99"/>
      <c r="K74" s="99"/>
      <c r="L74" s="99"/>
    </row>
    <row r="75" spans="1:12" x14ac:dyDescent="0.25">
      <c r="A75" s="97"/>
      <c r="B75" s="98"/>
      <c r="C75" s="99"/>
      <c r="D75" s="99"/>
      <c r="E75" s="99"/>
      <c r="F75" s="99"/>
      <c r="G75" s="99"/>
      <c r="H75" s="99"/>
      <c r="I75" s="99"/>
      <c r="J75" s="99"/>
      <c r="K75" s="99"/>
      <c r="L75" s="99"/>
    </row>
    <row r="76" spans="1:12" x14ac:dyDescent="0.25">
      <c r="A76" s="97"/>
      <c r="B76" s="98"/>
      <c r="C76" s="99"/>
      <c r="D76" s="99"/>
      <c r="E76" s="99"/>
      <c r="F76" s="99"/>
      <c r="G76" s="99"/>
      <c r="H76" s="99"/>
      <c r="I76" s="99"/>
      <c r="J76" s="99"/>
      <c r="K76" s="99"/>
      <c r="L76" s="99"/>
    </row>
    <row r="77" spans="1:12" x14ac:dyDescent="0.25">
      <c r="A77" s="97"/>
      <c r="B77" s="98"/>
      <c r="C77" s="99"/>
      <c r="D77" s="99"/>
      <c r="E77" s="99"/>
      <c r="F77" s="99"/>
      <c r="G77" s="99"/>
      <c r="H77" s="99"/>
      <c r="I77" s="99"/>
      <c r="J77" s="99"/>
      <c r="K77" s="99"/>
      <c r="L77" s="99"/>
    </row>
    <row r="78" spans="1:12" x14ac:dyDescent="0.25">
      <c r="A78" s="97"/>
      <c r="B78" s="98"/>
      <c r="C78" s="99"/>
      <c r="D78" s="99"/>
      <c r="E78" s="99"/>
      <c r="F78" s="99"/>
      <c r="G78" s="99"/>
      <c r="H78" s="99"/>
      <c r="I78" s="99"/>
      <c r="J78" s="99"/>
      <c r="K78" s="99"/>
      <c r="L78" s="99"/>
    </row>
    <row r="79" spans="1:12" x14ac:dyDescent="0.25">
      <c r="A79" s="97"/>
      <c r="B79" s="98"/>
      <c r="C79" s="99"/>
      <c r="D79" s="99"/>
      <c r="E79" s="99"/>
      <c r="F79" s="99"/>
      <c r="G79" s="99"/>
      <c r="H79" s="99"/>
      <c r="I79" s="99"/>
      <c r="J79" s="99"/>
      <c r="K79" s="99"/>
      <c r="L79" s="99"/>
    </row>
    <row r="80" spans="1:12" x14ac:dyDescent="0.25">
      <c r="A80" s="97"/>
      <c r="B80" s="98"/>
      <c r="C80" s="99"/>
      <c r="D80" s="99"/>
      <c r="E80" s="99"/>
      <c r="F80" s="99"/>
      <c r="G80" s="99"/>
      <c r="H80" s="99"/>
      <c r="I80" s="99"/>
      <c r="J80" s="99"/>
      <c r="K80" s="99"/>
      <c r="L80" s="99"/>
    </row>
    <row r="81" spans="1:12" x14ac:dyDescent="0.25">
      <c r="A81" s="97"/>
      <c r="B81" s="98"/>
      <c r="C81" s="99"/>
      <c r="D81" s="99"/>
      <c r="E81" s="99"/>
      <c r="F81" s="99"/>
      <c r="G81" s="99"/>
      <c r="H81" s="99"/>
      <c r="I81" s="99"/>
      <c r="J81" s="99"/>
      <c r="K81" s="99"/>
      <c r="L81" s="99"/>
    </row>
    <row r="82" spans="1:12" x14ac:dyDescent="0.25">
      <c r="A82" s="97"/>
      <c r="B82" s="98"/>
      <c r="C82" s="99"/>
      <c r="D82" s="99"/>
      <c r="E82" s="99"/>
      <c r="F82" s="99"/>
      <c r="G82" s="99"/>
      <c r="H82" s="99"/>
      <c r="I82" s="99"/>
      <c r="J82" s="99"/>
      <c r="K82" s="99"/>
      <c r="L82" s="99"/>
    </row>
    <row r="83" spans="1:12" x14ac:dyDescent="0.25">
      <c r="A83" s="97"/>
      <c r="B83" s="98"/>
      <c r="C83" s="99"/>
      <c r="D83" s="99"/>
      <c r="E83" s="99"/>
      <c r="F83" s="99"/>
      <c r="G83" s="99"/>
      <c r="H83" s="99"/>
      <c r="I83" s="99"/>
      <c r="J83" s="99"/>
      <c r="K83" s="99"/>
      <c r="L83" s="99"/>
    </row>
    <row r="84" spans="1:12" x14ac:dyDescent="0.25">
      <c r="A84" s="97"/>
      <c r="B84" s="98"/>
      <c r="C84" s="99"/>
      <c r="D84" s="99"/>
      <c r="E84" s="99"/>
      <c r="F84" s="99"/>
      <c r="G84" s="99"/>
      <c r="H84" s="99"/>
      <c r="I84" s="99"/>
      <c r="J84" s="99"/>
      <c r="K84" s="99"/>
      <c r="L84" s="99"/>
    </row>
    <row r="85" spans="1:12" x14ac:dyDescent="0.25">
      <c r="A85" s="97"/>
      <c r="B85" s="98"/>
      <c r="C85" s="99"/>
      <c r="D85" s="99"/>
      <c r="E85" s="99"/>
      <c r="F85" s="99"/>
      <c r="G85" s="99"/>
      <c r="H85" s="99"/>
      <c r="I85" s="99"/>
      <c r="J85" s="99"/>
      <c r="K85" s="99"/>
      <c r="L85" s="99"/>
    </row>
    <row r="86" spans="1:12" x14ac:dyDescent="0.25">
      <c r="A86" s="97"/>
      <c r="B86" s="98"/>
      <c r="C86" s="99"/>
      <c r="D86" s="99"/>
      <c r="E86" s="99"/>
      <c r="F86" s="99"/>
      <c r="G86" s="99"/>
      <c r="H86" s="99"/>
      <c r="I86" s="99"/>
      <c r="J86" s="99"/>
      <c r="K86" s="99"/>
      <c r="L86" s="99"/>
    </row>
    <row r="87" spans="1:12" x14ac:dyDescent="0.25">
      <c r="A87" s="97"/>
      <c r="B87" s="98"/>
      <c r="C87" s="99"/>
      <c r="D87" s="99"/>
      <c r="E87" s="99"/>
      <c r="F87" s="99"/>
      <c r="G87" s="99"/>
      <c r="H87" s="99"/>
      <c r="I87" s="99"/>
      <c r="J87" s="99"/>
      <c r="K87" s="99"/>
      <c r="L87" s="99"/>
    </row>
    <row r="88" spans="1:12" x14ac:dyDescent="0.25">
      <c r="A88" s="97"/>
      <c r="B88" s="98"/>
      <c r="C88" s="99"/>
      <c r="D88" s="99"/>
      <c r="E88" s="99"/>
      <c r="F88" s="99"/>
      <c r="G88" s="99"/>
      <c r="H88" s="99"/>
      <c r="I88" s="99"/>
      <c r="J88" s="99"/>
      <c r="K88" s="99"/>
      <c r="L88" s="99"/>
    </row>
    <row r="89" spans="1:12" x14ac:dyDescent="0.25">
      <c r="A89" s="97"/>
      <c r="B89" s="98"/>
      <c r="C89" s="99"/>
      <c r="D89" s="99"/>
      <c r="E89" s="99"/>
      <c r="F89" s="99"/>
      <c r="G89" s="99"/>
      <c r="H89" s="99"/>
      <c r="I89" s="99"/>
      <c r="J89" s="99"/>
      <c r="K89" s="99"/>
      <c r="L89" s="99"/>
    </row>
    <row r="90" spans="1:12" x14ac:dyDescent="0.25">
      <c r="A90" s="97"/>
      <c r="B90" s="98"/>
      <c r="C90" s="99"/>
      <c r="D90" s="99"/>
      <c r="E90" s="99"/>
      <c r="F90" s="99"/>
      <c r="G90" s="99"/>
      <c r="H90" s="99"/>
      <c r="I90" s="99"/>
      <c r="J90" s="99"/>
      <c r="K90" s="99"/>
      <c r="L90" s="99"/>
    </row>
    <row r="91" spans="1:12" x14ac:dyDescent="0.25">
      <c r="A91" s="97"/>
      <c r="B91" s="98"/>
      <c r="C91" s="99"/>
      <c r="D91" s="99"/>
      <c r="E91" s="99"/>
      <c r="F91" s="99"/>
      <c r="G91" s="99"/>
      <c r="H91" s="99"/>
      <c r="I91" s="99"/>
      <c r="J91" s="99"/>
      <c r="K91" s="99"/>
      <c r="L91" s="99"/>
    </row>
    <row r="92" spans="1:12" x14ac:dyDescent="0.25">
      <c r="A92" s="97"/>
      <c r="B92" s="98"/>
      <c r="C92" s="99"/>
      <c r="D92" s="99"/>
      <c r="E92" s="99"/>
      <c r="F92" s="99"/>
      <c r="G92" s="99"/>
      <c r="H92" s="99"/>
      <c r="I92" s="99"/>
      <c r="J92" s="99"/>
      <c r="K92" s="99"/>
      <c r="L92" s="99"/>
    </row>
    <row r="93" spans="1:12" x14ac:dyDescent="0.25">
      <c r="A93" s="97"/>
      <c r="B93" s="98"/>
      <c r="C93" s="99"/>
      <c r="D93" s="99"/>
      <c r="E93" s="99"/>
      <c r="F93" s="99"/>
      <c r="G93" s="99"/>
      <c r="H93" s="99"/>
      <c r="I93" s="99"/>
      <c r="J93" s="99"/>
      <c r="K93" s="99"/>
      <c r="L93" s="99"/>
    </row>
    <row r="94" spans="1:12" x14ac:dyDescent="0.25">
      <c r="A94" s="97"/>
      <c r="B94" s="98"/>
      <c r="C94" s="99"/>
      <c r="D94" s="99"/>
      <c r="E94" s="99"/>
      <c r="F94" s="99"/>
      <c r="G94" s="99"/>
      <c r="H94" s="99"/>
      <c r="I94" s="99"/>
      <c r="J94" s="99"/>
      <c r="K94" s="99"/>
      <c r="L94" s="99"/>
    </row>
    <row r="95" spans="1:12" x14ac:dyDescent="0.25">
      <c r="A95" s="97"/>
      <c r="B95" s="98"/>
      <c r="C95" s="99"/>
      <c r="D95" s="99"/>
      <c r="E95" s="99"/>
      <c r="F95" s="99"/>
      <c r="G95" s="99"/>
      <c r="H95" s="99"/>
      <c r="I95" s="99"/>
      <c r="J95" s="99"/>
      <c r="K95" s="99"/>
      <c r="L95" s="99"/>
    </row>
    <row r="96" spans="1:12" x14ac:dyDescent="0.25">
      <c r="A96" s="97"/>
      <c r="B96" s="98"/>
      <c r="C96" s="99"/>
      <c r="D96" s="99"/>
      <c r="E96" s="99"/>
      <c r="F96" s="99"/>
      <c r="G96" s="99"/>
      <c r="H96" s="99"/>
      <c r="I96" s="99"/>
      <c r="J96" s="99"/>
      <c r="K96" s="99"/>
      <c r="L96" s="99"/>
    </row>
    <row r="97" spans="1:12" x14ac:dyDescent="0.25">
      <c r="A97" s="97"/>
      <c r="B97" s="98"/>
      <c r="C97" s="99"/>
      <c r="D97" s="99"/>
      <c r="E97" s="99"/>
      <c r="F97" s="99"/>
      <c r="G97" s="99"/>
      <c r="H97" s="99"/>
      <c r="I97" s="99"/>
      <c r="J97" s="99"/>
      <c r="K97" s="99"/>
      <c r="L97" s="99"/>
    </row>
    <row r="98" spans="1:12" x14ac:dyDescent="0.25">
      <c r="A98" s="97"/>
      <c r="B98" s="98"/>
      <c r="C98" s="99"/>
      <c r="D98" s="99"/>
      <c r="E98" s="99"/>
      <c r="F98" s="99"/>
      <c r="G98" s="99"/>
      <c r="H98" s="99"/>
      <c r="I98" s="99"/>
      <c r="J98" s="99"/>
      <c r="K98" s="99"/>
      <c r="L98" s="99"/>
    </row>
    <row r="99" spans="1:12" x14ac:dyDescent="0.25">
      <c r="A99" s="97"/>
      <c r="B99" s="98"/>
      <c r="C99" s="99"/>
      <c r="D99" s="99"/>
      <c r="E99" s="99"/>
      <c r="F99" s="99"/>
      <c r="G99" s="99"/>
      <c r="H99" s="99"/>
      <c r="I99" s="99"/>
      <c r="J99" s="99"/>
      <c r="K99" s="99"/>
      <c r="L99" s="99"/>
    </row>
    <row r="100" spans="1:12" x14ac:dyDescent="0.25">
      <c r="A100" s="97"/>
      <c r="B100" s="98"/>
      <c r="C100" s="99"/>
      <c r="D100" s="99"/>
      <c r="E100" s="99"/>
      <c r="F100" s="99"/>
      <c r="G100" s="99"/>
      <c r="H100" s="99"/>
      <c r="I100" s="99"/>
      <c r="J100" s="99"/>
      <c r="K100" s="99"/>
      <c r="L100" s="99"/>
    </row>
    <row r="101" spans="1:12" x14ac:dyDescent="0.25">
      <c r="A101" s="97"/>
      <c r="B101" s="98"/>
      <c r="C101" s="99"/>
      <c r="D101" s="99"/>
      <c r="E101" s="99"/>
      <c r="F101" s="99"/>
      <c r="G101" s="99"/>
      <c r="H101" s="99"/>
      <c r="I101" s="99"/>
      <c r="J101" s="99"/>
      <c r="K101" s="99"/>
      <c r="L101" s="99"/>
    </row>
    <row r="102" spans="1:12" x14ac:dyDescent="0.25">
      <c r="A102" s="97"/>
      <c r="B102" s="98"/>
      <c r="C102" s="99"/>
      <c r="D102" s="99"/>
      <c r="E102" s="99"/>
      <c r="F102" s="99"/>
      <c r="G102" s="99"/>
      <c r="H102" s="99"/>
      <c r="I102" s="99"/>
      <c r="J102" s="99"/>
      <c r="K102" s="99"/>
      <c r="L102" s="99"/>
    </row>
    <row r="103" spans="1:12" x14ac:dyDescent="0.25">
      <c r="A103" s="97"/>
      <c r="B103" s="98"/>
      <c r="C103" s="99"/>
      <c r="D103" s="99"/>
      <c r="E103" s="99"/>
      <c r="F103" s="99"/>
      <c r="G103" s="99"/>
      <c r="H103" s="99"/>
      <c r="I103" s="99"/>
      <c r="J103" s="99"/>
      <c r="K103" s="99"/>
      <c r="L103" s="99"/>
    </row>
    <row r="104" spans="1:12" x14ac:dyDescent="0.25">
      <c r="A104" s="97"/>
      <c r="B104" s="98"/>
      <c r="C104" s="99"/>
      <c r="D104" s="99"/>
      <c r="E104" s="99"/>
      <c r="F104" s="99"/>
      <c r="G104" s="99"/>
      <c r="H104" s="99"/>
      <c r="I104" s="99"/>
      <c r="J104" s="99"/>
      <c r="K104" s="99"/>
      <c r="L104" s="99"/>
    </row>
    <row r="105" spans="1:12" x14ac:dyDescent="0.25">
      <c r="A105" s="97"/>
      <c r="B105" s="98"/>
      <c r="C105" s="99"/>
      <c r="D105" s="99"/>
      <c r="E105" s="99"/>
      <c r="F105" s="99"/>
      <c r="G105" s="99"/>
      <c r="H105" s="99"/>
      <c r="I105" s="99"/>
      <c r="J105" s="99"/>
      <c r="K105" s="99"/>
      <c r="L105" s="99"/>
    </row>
    <row r="106" spans="1:12" x14ac:dyDescent="0.25">
      <c r="A106" s="97"/>
      <c r="B106" s="98"/>
      <c r="C106" s="99"/>
      <c r="D106" s="99"/>
      <c r="E106" s="99"/>
      <c r="F106" s="99"/>
      <c r="G106" s="99"/>
      <c r="H106" s="99"/>
      <c r="I106" s="99"/>
      <c r="J106" s="99"/>
      <c r="K106" s="99"/>
      <c r="L106" s="99"/>
    </row>
    <row r="107" spans="1:12" x14ac:dyDescent="0.25">
      <c r="A107" s="97"/>
      <c r="B107" s="98"/>
      <c r="C107" s="99"/>
      <c r="D107" s="99"/>
      <c r="E107" s="99"/>
      <c r="F107" s="99"/>
      <c r="G107" s="99"/>
      <c r="H107" s="99"/>
      <c r="I107" s="99"/>
      <c r="J107" s="99"/>
      <c r="K107" s="99"/>
      <c r="L107" s="99"/>
    </row>
    <row r="108" spans="1:12" x14ac:dyDescent="0.25">
      <c r="A108" s="97"/>
      <c r="B108" s="98"/>
      <c r="C108" s="99"/>
      <c r="D108" s="99"/>
      <c r="E108" s="99"/>
      <c r="F108" s="99"/>
      <c r="G108" s="99"/>
      <c r="H108" s="99"/>
      <c r="I108" s="99"/>
      <c r="J108" s="99"/>
      <c r="K108" s="99"/>
      <c r="L108" s="99"/>
    </row>
    <row r="109" spans="1:12" x14ac:dyDescent="0.25">
      <c r="A109" s="97"/>
      <c r="B109" s="98"/>
      <c r="C109" s="99"/>
      <c r="D109" s="99"/>
      <c r="E109" s="99"/>
      <c r="F109" s="99"/>
      <c r="G109" s="99"/>
      <c r="H109" s="99"/>
      <c r="I109" s="99"/>
      <c r="J109" s="99"/>
      <c r="K109" s="99"/>
      <c r="L109" s="99"/>
    </row>
    <row r="110" spans="1:12" x14ac:dyDescent="0.25">
      <c r="A110" s="97"/>
      <c r="B110" s="98"/>
      <c r="C110" s="99"/>
      <c r="D110" s="99"/>
      <c r="E110" s="99"/>
      <c r="F110" s="99"/>
      <c r="G110" s="99"/>
      <c r="H110" s="99"/>
      <c r="I110" s="99"/>
      <c r="J110" s="99"/>
      <c r="K110" s="99"/>
      <c r="L110" s="99"/>
    </row>
    <row r="111" spans="1:12" x14ac:dyDescent="0.25">
      <c r="A111" s="97"/>
      <c r="B111" s="98"/>
      <c r="C111" s="99"/>
      <c r="D111" s="99"/>
      <c r="E111" s="99"/>
      <c r="F111" s="99"/>
      <c r="G111" s="99"/>
      <c r="H111" s="99"/>
      <c r="I111" s="99"/>
      <c r="J111" s="99"/>
      <c r="K111" s="99"/>
      <c r="L111" s="99"/>
    </row>
    <row r="112" spans="1:12" x14ac:dyDescent="0.25">
      <c r="A112" s="97"/>
      <c r="B112" s="98"/>
      <c r="C112" s="99"/>
      <c r="D112" s="99"/>
      <c r="E112" s="99"/>
      <c r="F112" s="99"/>
      <c r="G112" s="99"/>
      <c r="H112" s="99"/>
      <c r="I112" s="99"/>
      <c r="J112" s="99"/>
      <c r="K112" s="99"/>
      <c r="L112" s="99"/>
    </row>
    <row r="113" spans="1:12" x14ac:dyDescent="0.25">
      <c r="A113" s="97"/>
      <c r="B113" s="98"/>
      <c r="C113" s="99"/>
      <c r="D113" s="99"/>
      <c r="E113" s="99"/>
      <c r="F113" s="99"/>
      <c r="G113" s="99"/>
      <c r="H113" s="99"/>
      <c r="I113" s="99"/>
      <c r="J113" s="99"/>
      <c r="K113" s="99"/>
      <c r="L113" s="99"/>
    </row>
    <row r="114" spans="1:12" x14ac:dyDescent="0.25">
      <c r="A114" s="97"/>
      <c r="B114" s="98"/>
      <c r="C114" s="99"/>
      <c r="D114" s="99"/>
      <c r="E114" s="99"/>
      <c r="F114" s="99"/>
      <c r="G114" s="99"/>
      <c r="H114" s="99"/>
      <c r="I114" s="99"/>
      <c r="J114" s="99"/>
      <c r="K114" s="99"/>
      <c r="L114" s="99"/>
    </row>
    <row r="115" spans="1:12" x14ac:dyDescent="0.25">
      <c r="A115" s="97"/>
      <c r="B115" s="98"/>
      <c r="C115" s="99"/>
      <c r="D115" s="99"/>
      <c r="E115" s="99"/>
      <c r="F115" s="99"/>
      <c r="G115" s="99"/>
      <c r="H115" s="99"/>
      <c r="I115" s="99"/>
      <c r="J115" s="99"/>
      <c r="K115" s="99"/>
      <c r="L115" s="99"/>
    </row>
    <row r="116" spans="1:12" x14ac:dyDescent="0.25">
      <c r="A116" s="97"/>
      <c r="B116" s="98"/>
      <c r="C116" s="99"/>
      <c r="D116" s="99"/>
      <c r="E116" s="99"/>
      <c r="F116" s="99"/>
      <c r="G116" s="99"/>
      <c r="H116" s="99"/>
      <c r="I116" s="99"/>
      <c r="J116" s="99"/>
      <c r="K116" s="99"/>
      <c r="L116" s="99"/>
    </row>
    <row r="117" spans="1:12" x14ac:dyDescent="0.25">
      <c r="A117" s="97"/>
      <c r="B117" s="98"/>
      <c r="C117" s="99"/>
      <c r="D117" s="99"/>
      <c r="E117" s="99"/>
      <c r="F117" s="99"/>
      <c r="G117" s="99"/>
      <c r="H117" s="99"/>
      <c r="I117" s="99"/>
      <c r="J117" s="99"/>
      <c r="K117" s="99"/>
      <c r="L117" s="99"/>
    </row>
    <row r="118" spans="1:12" x14ac:dyDescent="0.25">
      <c r="A118" s="97"/>
      <c r="B118" s="98"/>
      <c r="C118" s="99"/>
      <c r="D118" s="99"/>
      <c r="E118" s="99"/>
      <c r="F118" s="99"/>
      <c r="G118" s="99"/>
      <c r="H118" s="99"/>
      <c r="I118" s="99"/>
      <c r="J118" s="99"/>
      <c r="K118" s="99"/>
      <c r="L118" s="99"/>
    </row>
    <row r="119" spans="1:12" x14ac:dyDescent="0.25">
      <c r="A119" s="97"/>
      <c r="B119" s="98"/>
      <c r="C119" s="99"/>
      <c r="D119" s="99"/>
      <c r="E119" s="99"/>
      <c r="F119" s="99"/>
      <c r="G119" s="99"/>
      <c r="H119" s="99"/>
      <c r="I119" s="99"/>
      <c r="J119" s="99"/>
      <c r="K119" s="99"/>
      <c r="L119" s="99"/>
    </row>
    <row r="120" spans="1:12" x14ac:dyDescent="0.25">
      <c r="A120" s="97"/>
      <c r="B120" s="98"/>
      <c r="C120" s="99"/>
      <c r="D120" s="99"/>
      <c r="E120" s="99"/>
      <c r="F120" s="99"/>
      <c r="G120" s="99"/>
      <c r="H120" s="99"/>
      <c r="I120" s="99"/>
      <c r="J120" s="99"/>
      <c r="K120" s="99"/>
      <c r="L120" s="99"/>
    </row>
    <row r="121" spans="1:12" x14ac:dyDescent="0.25">
      <c r="A121" s="97"/>
      <c r="B121" s="98"/>
      <c r="C121" s="99"/>
      <c r="D121" s="99"/>
      <c r="E121" s="99"/>
      <c r="F121" s="99"/>
      <c r="G121" s="99"/>
      <c r="H121" s="99"/>
      <c r="I121" s="99"/>
      <c r="J121" s="99"/>
      <c r="K121" s="99"/>
      <c r="L121" s="99"/>
    </row>
    <row r="122" spans="1:12" x14ac:dyDescent="0.25">
      <c r="A122" s="97"/>
      <c r="B122" s="98"/>
      <c r="C122" s="99"/>
      <c r="D122" s="99"/>
      <c r="E122" s="99"/>
      <c r="F122" s="99"/>
      <c r="G122" s="99"/>
      <c r="H122" s="99"/>
      <c r="I122" s="99"/>
      <c r="J122" s="99"/>
      <c r="K122" s="99"/>
      <c r="L122" s="99"/>
    </row>
    <row r="123" spans="1:12" x14ac:dyDescent="0.25">
      <c r="A123" s="97"/>
      <c r="B123" s="98"/>
      <c r="C123" s="99"/>
      <c r="D123" s="99"/>
      <c r="E123" s="99"/>
      <c r="F123" s="99"/>
      <c r="G123" s="99"/>
      <c r="H123" s="99"/>
      <c r="I123" s="99"/>
      <c r="J123" s="99"/>
      <c r="K123" s="99"/>
      <c r="L123" s="99"/>
    </row>
    <row r="124" spans="1:12" x14ac:dyDescent="0.25">
      <c r="A124" s="97"/>
      <c r="B124" s="98"/>
      <c r="C124" s="99"/>
      <c r="D124" s="99"/>
      <c r="E124" s="99"/>
      <c r="F124" s="99"/>
      <c r="G124" s="99"/>
      <c r="H124" s="99"/>
      <c r="I124" s="99"/>
      <c r="J124" s="99"/>
      <c r="K124" s="99"/>
      <c r="L124" s="99"/>
    </row>
  </sheetData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97"/>
  <sheetViews>
    <sheetView workbookViewId="0">
      <selection activeCell="B2" sqref="B2"/>
    </sheetView>
  </sheetViews>
  <sheetFormatPr defaultRowHeight="15" x14ac:dyDescent="0.25"/>
  <cols>
    <col min="1" max="1" width="16.5703125" style="100" customWidth="1"/>
    <col min="2" max="2" width="46.7109375" style="101" customWidth="1"/>
    <col min="3" max="12" width="15.28515625" style="102" bestFit="1" customWidth="1"/>
    <col min="13" max="16384" width="9.140625" style="96"/>
  </cols>
  <sheetData>
    <row r="1" spans="1:12" ht="22.5" x14ac:dyDescent="0.25">
      <c r="A1" s="106" t="s">
        <v>239</v>
      </c>
      <c r="B1" s="107" t="s">
        <v>240</v>
      </c>
      <c r="C1" s="108" t="s">
        <v>242</v>
      </c>
      <c r="D1" s="108" t="s">
        <v>243</v>
      </c>
      <c r="E1" s="108" t="s">
        <v>244</v>
      </c>
      <c r="F1" s="108" t="s">
        <v>245</v>
      </c>
      <c r="G1" s="108" t="s">
        <v>246</v>
      </c>
      <c r="H1" s="108" t="s">
        <v>247</v>
      </c>
      <c r="I1" s="108" t="s">
        <v>248</v>
      </c>
      <c r="J1" s="108" t="s">
        <v>249</v>
      </c>
      <c r="K1" s="108" t="s">
        <v>250</v>
      </c>
      <c r="L1" s="108" t="s">
        <v>251</v>
      </c>
    </row>
    <row r="2" spans="1:12" x14ac:dyDescent="0.25">
      <c r="A2" s="97" t="s">
        <v>285</v>
      </c>
      <c r="B2" s="98" t="s">
        <v>286</v>
      </c>
      <c r="C2" s="99">
        <v>0</v>
      </c>
      <c r="D2" s="99">
        <v>0</v>
      </c>
      <c r="E2" s="99">
        <v>0</v>
      </c>
      <c r="F2" s="99">
        <v>0</v>
      </c>
      <c r="G2" s="99">
        <v>2419.9899999999998</v>
      </c>
      <c r="H2" s="99">
        <v>0</v>
      </c>
      <c r="I2" s="99">
        <v>2419.9899999999998</v>
      </c>
      <c r="J2" s="99">
        <v>0</v>
      </c>
      <c r="K2" s="99">
        <v>2419.9899999999998</v>
      </c>
      <c r="L2" s="99">
        <v>0</v>
      </c>
    </row>
    <row r="3" spans="1:12" x14ac:dyDescent="0.25">
      <c r="A3" s="97" t="s">
        <v>287</v>
      </c>
      <c r="B3" s="98" t="s">
        <v>28</v>
      </c>
      <c r="C3" s="99">
        <v>0</v>
      </c>
      <c r="D3" s="99">
        <v>0</v>
      </c>
      <c r="E3" s="99">
        <v>0</v>
      </c>
      <c r="F3" s="99">
        <v>0</v>
      </c>
      <c r="G3" s="99">
        <v>57355.95</v>
      </c>
      <c r="H3" s="99">
        <v>0</v>
      </c>
      <c r="I3" s="99">
        <v>57355.95</v>
      </c>
      <c r="J3" s="99">
        <v>0</v>
      </c>
      <c r="K3" s="99">
        <v>57355.95</v>
      </c>
      <c r="L3" s="99">
        <v>0</v>
      </c>
    </row>
    <row r="4" spans="1:12" x14ac:dyDescent="0.25">
      <c r="A4" s="97" t="s">
        <v>288</v>
      </c>
      <c r="B4" s="98" t="s">
        <v>289</v>
      </c>
      <c r="C4" s="99">
        <v>0</v>
      </c>
      <c r="D4" s="99">
        <v>0</v>
      </c>
      <c r="E4" s="99">
        <v>0</v>
      </c>
      <c r="F4" s="99">
        <v>0</v>
      </c>
      <c r="G4" s="99">
        <v>7691.25</v>
      </c>
      <c r="H4" s="99">
        <v>0</v>
      </c>
      <c r="I4" s="99">
        <v>7691.25</v>
      </c>
      <c r="J4" s="99">
        <v>0</v>
      </c>
      <c r="K4" s="99">
        <v>7691.25</v>
      </c>
      <c r="L4" s="99">
        <v>0</v>
      </c>
    </row>
    <row r="5" spans="1:12" x14ac:dyDescent="0.25">
      <c r="A5" s="97" t="s">
        <v>290</v>
      </c>
      <c r="B5" s="98" t="s">
        <v>291</v>
      </c>
      <c r="C5" s="99">
        <v>0</v>
      </c>
      <c r="D5" s="99">
        <v>0</v>
      </c>
      <c r="E5" s="99">
        <v>0</v>
      </c>
      <c r="F5" s="99">
        <v>0</v>
      </c>
      <c r="G5" s="99">
        <v>5031.0600000000004</v>
      </c>
      <c r="H5" s="99">
        <v>0</v>
      </c>
      <c r="I5" s="99">
        <v>5031.0600000000004</v>
      </c>
      <c r="J5" s="99">
        <v>0</v>
      </c>
      <c r="K5" s="99">
        <v>5031.0600000000004</v>
      </c>
      <c r="L5" s="99">
        <v>0</v>
      </c>
    </row>
    <row r="6" spans="1:12" x14ac:dyDescent="0.25">
      <c r="A6" s="97" t="s">
        <v>292</v>
      </c>
      <c r="B6" s="98" t="s">
        <v>293</v>
      </c>
      <c r="C6" s="99">
        <v>0</v>
      </c>
      <c r="D6" s="99">
        <v>0</v>
      </c>
      <c r="E6" s="99">
        <v>0</v>
      </c>
      <c r="F6" s="99">
        <v>0</v>
      </c>
      <c r="G6" s="99">
        <v>8172.19</v>
      </c>
      <c r="H6" s="99">
        <v>0</v>
      </c>
      <c r="I6" s="99">
        <v>8172.19</v>
      </c>
      <c r="J6" s="99">
        <v>0</v>
      </c>
      <c r="K6" s="99">
        <v>8172.19</v>
      </c>
      <c r="L6" s="99">
        <v>0</v>
      </c>
    </row>
    <row r="7" spans="1:12" x14ac:dyDescent="0.25">
      <c r="A7" s="97" t="s">
        <v>294</v>
      </c>
      <c r="B7" s="98" t="s">
        <v>295</v>
      </c>
      <c r="C7" s="99">
        <v>0</v>
      </c>
      <c r="D7" s="99">
        <v>0</v>
      </c>
      <c r="E7" s="99">
        <v>0</v>
      </c>
      <c r="F7" s="99">
        <v>0</v>
      </c>
      <c r="G7" s="99">
        <v>2738.82</v>
      </c>
      <c r="H7" s="99">
        <v>0</v>
      </c>
      <c r="I7" s="99">
        <v>2738.82</v>
      </c>
      <c r="J7" s="99">
        <v>0</v>
      </c>
      <c r="K7" s="99">
        <v>2738.82</v>
      </c>
      <c r="L7" s="99">
        <v>0</v>
      </c>
    </row>
    <row r="8" spans="1:12" x14ac:dyDescent="0.25">
      <c r="A8" s="97" t="s">
        <v>722</v>
      </c>
      <c r="B8" s="98" t="s">
        <v>723</v>
      </c>
      <c r="C8" s="99">
        <v>2419.9899999999998</v>
      </c>
      <c r="D8" s="99">
        <v>0</v>
      </c>
      <c r="E8" s="99">
        <v>2419.9899999999998</v>
      </c>
      <c r="F8" s="99">
        <v>0</v>
      </c>
      <c r="G8" s="99">
        <v>0</v>
      </c>
      <c r="H8" s="99">
        <v>2419.9899999999998</v>
      </c>
      <c r="I8" s="99">
        <v>0</v>
      </c>
      <c r="J8" s="99">
        <v>2419.9899999999998</v>
      </c>
      <c r="K8" s="99">
        <v>0</v>
      </c>
      <c r="L8" s="99">
        <v>0</v>
      </c>
    </row>
    <row r="9" spans="1:12" x14ac:dyDescent="0.25">
      <c r="A9" s="97" t="s">
        <v>724</v>
      </c>
      <c r="B9" s="98" t="s">
        <v>725</v>
      </c>
      <c r="C9" s="99">
        <v>71876.02</v>
      </c>
      <c r="D9" s="99">
        <v>0</v>
      </c>
      <c r="E9" s="99">
        <v>71876.02</v>
      </c>
      <c r="F9" s="99">
        <v>0</v>
      </c>
      <c r="G9" s="99">
        <v>9113.25</v>
      </c>
      <c r="H9" s="99">
        <v>80989.27</v>
      </c>
      <c r="I9" s="99">
        <v>9113.25</v>
      </c>
      <c r="J9" s="99">
        <v>80989.27</v>
      </c>
      <c r="K9" s="99">
        <v>0</v>
      </c>
      <c r="L9" s="99">
        <v>0</v>
      </c>
    </row>
    <row r="10" spans="1:12" x14ac:dyDescent="0.25">
      <c r="A10" s="97" t="s">
        <v>726</v>
      </c>
      <c r="B10" s="98" t="s">
        <v>727</v>
      </c>
      <c r="C10" s="99">
        <v>0</v>
      </c>
      <c r="D10" s="99">
        <v>0</v>
      </c>
      <c r="E10" s="99">
        <v>0</v>
      </c>
      <c r="F10" s="99">
        <v>0</v>
      </c>
      <c r="G10" s="99">
        <v>4250</v>
      </c>
      <c r="H10" s="99">
        <v>4250</v>
      </c>
      <c r="I10" s="99">
        <v>4250</v>
      </c>
      <c r="J10" s="99">
        <v>4250</v>
      </c>
      <c r="K10" s="99">
        <v>0</v>
      </c>
      <c r="L10" s="99">
        <v>0</v>
      </c>
    </row>
    <row r="11" spans="1:12" x14ac:dyDescent="0.25">
      <c r="A11" s="97" t="s">
        <v>728</v>
      </c>
      <c r="B11" s="98" t="s">
        <v>729</v>
      </c>
      <c r="C11" s="99">
        <v>0</v>
      </c>
      <c r="D11" s="99">
        <v>0</v>
      </c>
      <c r="E11" s="99">
        <v>0</v>
      </c>
      <c r="F11" s="99">
        <v>0</v>
      </c>
      <c r="G11" s="99">
        <v>4250</v>
      </c>
      <c r="H11" s="99">
        <v>4250</v>
      </c>
      <c r="I11" s="99">
        <v>4250</v>
      </c>
      <c r="J11" s="99">
        <v>4250</v>
      </c>
      <c r="K11" s="99">
        <v>0</v>
      </c>
      <c r="L11" s="99">
        <v>0</v>
      </c>
    </row>
    <row r="12" spans="1:12" x14ac:dyDescent="0.25">
      <c r="A12" s="97" t="s">
        <v>730</v>
      </c>
      <c r="B12" s="98" t="s">
        <v>731</v>
      </c>
      <c r="C12" s="99">
        <v>0</v>
      </c>
      <c r="D12" s="99">
        <v>0</v>
      </c>
      <c r="E12" s="99">
        <v>0</v>
      </c>
      <c r="F12" s="99">
        <v>0</v>
      </c>
      <c r="G12" s="99">
        <v>4400</v>
      </c>
      <c r="H12" s="99">
        <v>4400</v>
      </c>
      <c r="I12" s="99">
        <v>4400</v>
      </c>
      <c r="J12" s="99">
        <v>4400</v>
      </c>
      <c r="K12" s="99">
        <v>0</v>
      </c>
      <c r="L12" s="99">
        <v>0</v>
      </c>
    </row>
    <row r="13" spans="1:12" x14ac:dyDescent="0.25">
      <c r="A13" s="97" t="s">
        <v>296</v>
      </c>
      <c r="B13" s="98" t="s">
        <v>297</v>
      </c>
      <c r="C13" s="99">
        <v>0</v>
      </c>
      <c r="D13" s="99">
        <v>0</v>
      </c>
      <c r="E13" s="99">
        <v>0</v>
      </c>
      <c r="F13" s="99">
        <v>0</v>
      </c>
      <c r="G13" s="99">
        <v>0</v>
      </c>
      <c r="H13" s="99">
        <v>408</v>
      </c>
      <c r="I13" s="99">
        <v>0</v>
      </c>
      <c r="J13" s="99">
        <v>408</v>
      </c>
      <c r="K13" s="99">
        <v>0</v>
      </c>
      <c r="L13" s="99">
        <v>408</v>
      </c>
    </row>
    <row r="14" spans="1:12" x14ac:dyDescent="0.25">
      <c r="A14" s="97" t="s">
        <v>298</v>
      </c>
      <c r="B14" s="98" t="s">
        <v>299</v>
      </c>
      <c r="C14" s="99">
        <v>0</v>
      </c>
      <c r="D14" s="99">
        <v>0</v>
      </c>
      <c r="E14" s="99">
        <v>0</v>
      </c>
      <c r="F14" s="99">
        <v>0</v>
      </c>
      <c r="G14" s="99">
        <v>0</v>
      </c>
      <c r="H14" s="99">
        <v>1911.92</v>
      </c>
      <c r="I14" s="99">
        <v>0</v>
      </c>
      <c r="J14" s="99">
        <v>1911.92</v>
      </c>
      <c r="K14" s="99">
        <v>0</v>
      </c>
      <c r="L14" s="99">
        <v>1911.92</v>
      </c>
    </row>
    <row r="15" spans="1:12" x14ac:dyDescent="0.25">
      <c r="A15" s="97" t="s">
        <v>300</v>
      </c>
      <c r="B15" s="98" t="s">
        <v>301</v>
      </c>
      <c r="C15" s="99">
        <v>0</v>
      </c>
      <c r="D15" s="99">
        <v>0</v>
      </c>
      <c r="E15" s="99">
        <v>0</v>
      </c>
      <c r="F15" s="99">
        <v>0</v>
      </c>
      <c r="G15" s="99">
        <v>0</v>
      </c>
      <c r="H15" s="99">
        <v>1171.8399999999999</v>
      </c>
      <c r="I15" s="99">
        <v>0</v>
      </c>
      <c r="J15" s="99">
        <v>1171.8399999999999</v>
      </c>
      <c r="K15" s="99">
        <v>0</v>
      </c>
      <c r="L15" s="99">
        <v>1171.8399999999999</v>
      </c>
    </row>
    <row r="16" spans="1:12" x14ac:dyDescent="0.25">
      <c r="A16" s="97" t="s">
        <v>302</v>
      </c>
      <c r="B16" s="98" t="s">
        <v>303</v>
      </c>
      <c r="C16" s="99">
        <v>0</v>
      </c>
      <c r="D16" s="99">
        <v>0</v>
      </c>
      <c r="E16" s="99">
        <v>0</v>
      </c>
      <c r="F16" s="99">
        <v>0</v>
      </c>
      <c r="G16" s="99">
        <v>0</v>
      </c>
      <c r="H16" s="99">
        <v>559.04</v>
      </c>
      <c r="I16" s="99">
        <v>0</v>
      </c>
      <c r="J16" s="99">
        <v>559.04</v>
      </c>
      <c r="K16" s="99">
        <v>0</v>
      </c>
      <c r="L16" s="99">
        <v>559.04</v>
      </c>
    </row>
    <row r="17" spans="1:12" x14ac:dyDescent="0.25">
      <c r="A17" s="97" t="s">
        <v>304</v>
      </c>
      <c r="B17" s="98" t="s">
        <v>305</v>
      </c>
      <c r="C17" s="99">
        <v>0</v>
      </c>
      <c r="D17" s="99">
        <v>0</v>
      </c>
      <c r="E17" s="99">
        <v>0</v>
      </c>
      <c r="F17" s="99">
        <v>0</v>
      </c>
      <c r="G17" s="99">
        <v>0</v>
      </c>
      <c r="H17" s="99">
        <v>908.08</v>
      </c>
      <c r="I17" s="99">
        <v>0</v>
      </c>
      <c r="J17" s="99">
        <v>908.08</v>
      </c>
      <c r="K17" s="99">
        <v>0</v>
      </c>
      <c r="L17" s="99">
        <v>908.08</v>
      </c>
    </row>
    <row r="18" spans="1:12" x14ac:dyDescent="0.25">
      <c r="A18" s="97" t="s">
        <v>306</v>
      </c>
      <c r="B18" s="98" t="s">
        <v>307</v>
      </c>
      <c r="C18" s="99">
        <v>0</v>
      </c>
      <c r="D18" s="99">
        <v>0</v>
      </c>
      <c r="E18" s="99">
        <v>0</v>
      </c>
      <c r="F18" s="99">
        <v>0</v>
      </c>
      <c r="G18" s="99">
        <v>0</v>
      </c>
      <c r="H18" s="99">
        <v>869.82</v>
      </c>
      <c r="I18" s="99">
        <v>0</v>
      </c>
      <c r="J18" s="99">
        <v>869.82</v>
      </c>
      <c r="K18" s="99">
        <v>0</v>
      </c>
      <c r="L18" s="99">
        <v>869.82</v>
      </c>
    </row>
    <row r="19" spans="1:12" x14ac:dyDescent="0.25">
      <c r="A19" s="97" t="s">
        <v>310</v>
      </c>
      <c r="B19" s="98" t="s">
        <v>311</v>
      </c>
      <c r="C19" s="99">
        <v>0</v>
      </c>
      <c r="D19" s="99">
        <v>0</v>
      </c>
      <c r="E19" s="99">
        <v>0</v>
      </c>
      <c r="F19" s="99">
        <v>0</v>
      </c>
      <c r="G19" s="99">
        <v>0.17</v>
      </c>
      <c r="H19" s="99">
        <v>0.17</v>
      </c>
      <c r="I19" s="99">
        <v>0.17</v>
      </c>
      <c r="J19" s="99">
        <v>0.17</v>
      </c>
      <c r="K19" s="99">
        <v>0</v>
      </c>
      <c r="L19" s="99">
        <v>0</v>
      </c>
    </row>
    <row r="20" spans="1:12" x14ac:dyDescent="0.25">
      <c r="A20" s="100" t="s">
        <v>312</v>
      </c>
      <c r="B20" s="101" t="s">
        <v>313</v>
      </c>
      <c r="C20" s="102">
        <v>0</v>
      </c>
      <c r="D20" s="102">
        <v>0</v>
      </c>
      <c r="E20" s="102">
        <v>0</v>
      </c>
      <c r="F20" s="102">
        <v>0</v>
      </c>
      <c r="G20" s="102">
        <v>0.17</v>
      </c>
      <c r="H20" s="102">
        <v>0.17</v>
      </c>
      <c r="I20" s="102">
        <v>0.17</v>
      </c>
      <c r="J20" s="102">
        <v>0.17</v>
      </c>
      <c r="K20" s="102">
        <v>0</v>
      </c>
      <c r="L20" s="102">
        <v>0</v>
      </c>
    </row>
    <row r="21" spans="1:12" x14ac:dyDescent="0.25">
      <c r="A21" s="100" t="s">
        <v>314</v>
      </c>
      <c r="B21" s="101" t="s">
        <v>315</v>
      </c>
      <c r="C21" s="102">
        <v>0</v>
      </c>
      <c r="D21" s="102">
        <v>0</v>
      </c>
      <c r="E21" s="102">
        <v>0</v>
      </c>
      <c r="F21" s="102">
        <v>0</v>
      </c>
      <c r="G21" s="102">
        <v>215172.33</v>
      </c>
      <c r="H21" s="102">
        <v>215172.33</v>
      </c>
      <c r="I21" s="102">
        <v>215172.33</v>
      </c>
      <c r="J21" s="102">
        <v>215172.33</v>
      </c>
      <c r="K21" s="102">
        <v>0</v>
      </c>
      <c r="L21" s="102">
        <v>0</v>
      </c>
    </row>
    <row r="22" spans="1:12" x14ac:dyDescent="0.25">
      <c r="A22" s="100" t="s">
        <v>316</v>
      </c>
      <c r="B22" s="101" t="s">
        <v>317</v>
      </c>
      <c r="C22" s="102">
        <v>0</v>
      </c>
      <c r="D22" s="102">
        <v>0</v>
      </c>
      <c r="E22" s="102">
        <v>0</v>
      </c>
      <c r="F22" s="102">
        <v>0</v>
      </c>
      <c r="G22" s="102">
        <v>14.9</v>
      </c>
      <c r="H22" s="102">
        <v>14.9</v>
      </c>
      <c r="I22" s="102">
        <v>14.9</v>
      </c>
      <c r="J22" s="102">
        <v>14.9</v>
      </c>
      <c r="K22" s="102">
        <v>0</v>
      </c>
      <c r="L22" s="102">
        <v>0</v>
      </c>
    </row>
    <row r="23" spans="1:12" x14ac:dyDescent="0.25">
      <c r="A23" s="100" t="s">
        <v>318</v>
      </c>
      <c r="B23" s="101" t="s">
        <v>319</v>
      </c>
      <c r="C23" s="102">
        <v>0</v>
      </c>
      <c r="D23" s="102">
        <v>0</v>
      </c>
      <c r="E23" s="102">
        <v>0</v>
      </c>
      <c r="F23" s="102">
        <v>0</v>
      </c>
      <c r="G23" s="102">
        <v>215703.99</v>
      </c>
      <c r="H23" s="102">
        <v>175783.33</v>
      </c>
      <c r="I23" s="102">
        <v>215703.99</v>
      </c>
      <c r="J23" s="102">
        <v>175783.33</v>
      </c>
      <c r="K23" s="102">
        <v>39920.660000000003</v>
      </c>
      <c r="L23" s="102">
        <v>0</v>
      </c>
    </row>
    <row r="24" spans="1:12" x14ac:dyDescent="0.25">
      <c r="A24" s="100" t="s">
        <v>320</v>
      </c>
      <c r="B24" s="101" t="s">
        <v>321</v>
      </c>
      <c r="C24" s="102">
        <v>0</v>
      </c>
      <c r="D24" s="102">
        <v>0</v>
      </c>
      <c r="E24" s="102">
        <v>0</v>
      </c>
      <c r="F24" s="102">
        <v>0</v>
      </c>
      <c r="G24" s="102">
        <v>2072.2600000000002</v>
      </c>
      <c r="H24" s="102">
        <v>2497.1799999999998</v>
      </c>
      <c r="I24" s="102">
        <v>2072.2600000000002</v>
      </c>
      <c r="J24" s="102">
        <v>2497.1799999999998</v>
      </c>
      <c r="K24" s="102">
        <v>-424.92</v>
      </c>
      <c r="L24" s="102">
        <v>0</v>
      </c>
    </row>
    <row r="25" spans="1:12" x14ac:dyDescent="0.25">
      <c r="A25" s="100" t="s">
        <v>322</v>
      </c>
      <c r="B25" s="101" t="s">
        <v>323</v>
      </c>
      <c r="C25" s="102">
        <v>0</v>
      </c>
      <c r="D25" s="102">
        <v>0</v>
      </c>
      <c r="E25" s="102">
        <v>0</v>
      </c>
      <c r="F25" s="102">
        <v>0</v>
      </c>
      <c r="G25" s="102">
        <v>254.96</v>
      </c>
      <c r="H25" s="102">
        <v>378.15</v>
      </c>
      <c r="I25" s="102">
        <v>254.96</v>
      </c>
      <c r="J25" s="102">
        <v>378.15</v>
      </c>
      <c r="K25" s="102">
        <v>0</v>
      </c>
      <c r="L25" s="102">
        <v>123.19</v>
      </c>
    </row>
    <row r="26" spans="1:12" x14ac:dyDescent="0.25">
      <c r="A26" s="100" t="s">
        <v>324</v>
      </c>
      <c r="B26" s="101" t="s">
        <v>325</v>
      </c>
      <c r="C26" s="102">
        <v>0</v>
      </c>
      <c r="D26" s="102">
        <v>0</v>
      </c>
      <c r="E26" s="102">
        <v>0</v>
      </c>
      <c r="F26" s="102">
        <v>0</v>
      </c>
      <c r="G26" s="102">
        <v>739.04</v>
      </c>
      <c r="H26" s="102">
        <v>1031.83</v>
      </c>
      <c r="I26" s="102">
        <v>739.04</v>
      </c>
      <c r="J26" s="102">
        <v>1031.83</v>
      </c>
      <c r="K26" s="102">
        <v>0</v>
      </c>
      <c r="L26" s="102">
        <v>292.79000000000002</v>
      </c>
    </row>
    <row r="27" spans="1:12" x14ac:dyDescent="0.25">
      <c r="A27" s="100" t="s">
        <v>326</v>
      </c>
      <c r="B27" s="101" t="s">
        <v>327</v>
      </c>
      <c r="C27" s="102">
        <v>17.45</v>
      </c>
      <c r="D27" s="102">
        <v>0</v>
      </c>
      <c r="E27" s="102">
        <v>17.45</v>
      </c>
      <c r="F27" s="102">
        <v>0</v>
      </c>
      <c r="G27" s="102">
        <v>4500</v>
      </c>
      <c r="H27" s="102">
        <v>4465.8999999999996</v>
      </c>
      <c r="I27" s="102">
        <v>4500</v>
      </c>
      <c r="J27" s="102">
        <v>4465.8999999999996</v>
      </c>
      <c r="K27" s="102">
        <v>51.55</v>
      </c>
      <c r="L27" s="102">
        <v>0</v>
      </c>
    </row>
    <row r="28" spans="1:12" x14ac:dyDescent="0.25">
      <c r="A28" s="100" t="s">
        <v>328</v>
      </c>
      <c r="B28" s="101" t="s">
        <v>329</v>
      </c>
      <c r="C28" s="102">
        <v>0</v>
      </c>
      <c r="D28" s="102">
        <v>0</v>
      </c>
      <c r="E28" s="102">
        <v>0</v>
      </c>
      <c r="F28" s="102">
        <v>0</v>
      </c>
      <c r="G28" s="102">
        <v>166161.18</v>
      </c>
      <c r="H28" s="102">
        <v>158095.45000000001</v>
      </c>
      <c r="I28" s="102">
        <v>166161.18</v>
      </c>
      <c r="J28" s="102">
        <v>158095.45000000001</v>
      </c>
      <c r="K28" s="102">
        <v>8065.73</v>
      </c>
      <c r="L28" s="102">
        <v>0</v>
      </c>
    </row>
    <row r="29" spans="1:12" x14ac:dyDescent="0.25">
      <c r="A29" s="100" t="s">
        <v>330</v>
      </c>
      <c r="B29" s="101" t="s">
        <v>331</v>
      </c>
      <c r="C29" s="102">
        <v>0</v>
      </c>
      <c r="D29" s="102">
        <v>0</v>
      </c>
      <c r="E29" s="102">
        <v>0</v>
      </c>
      <c r="F29" s="102">
        <v>0</v>
      </c>
      <c r="G29" s="102">
        <v>2032.8</v>
      </c>
      <c r="H29" s="102">
        <v>2032.8</v>
      </c>
      <c r="I29" s="102">
        <v>2032.8</v>
      </c>
      <c r="J29" s="102">
        <v>2032.8</v>
      </c>
      <c r="K29" s="102">
        <v>0</v>
      </c>
      <c r="L29" s="102">
        <v>0</v>
      </c>
    </row>
    <row r="30" spans="1:12" x14ac:dyDescent="0.25">
      <c r="A30" s="100" t="s">
        <v>332</v>
      </c>
      <c r="B30" s="101" t="s">
        <v>333</v>
      </c>
      <c r="C30" s="102">
        <v>0</v>
      </c>
      <c r="D30" s="102">
        <v>0</v>
      </c>
      <c r="E30" s="102">
        <v>0</v>
      </c>
      <c r="F30" s="102">
        <v>0</v>
      </c>
      <c r="G30" s="102">
        <v>495333.79</v>
      </c>
      <c r="H30" s="102">
        <v>495333.79</v>
      </c>
      <c r="I30" s="102">
        <v>495333.79</v>
      </c>
      <c r="J30" s="102">
        <v>495333.79</v>
      </c>
      <c r="K30" s="102">
        <v>0</v>
      </c>
      <c r="L30" s="102">
        <v>0</v>
      </c>
    </row>
    <row r="31" spans="1:12" x14ac:dyDescent="0.25">
      <c r="A31" s="100" t="s">
        <v>732</v>
      </c>
      <c r="B31" s="101" t="s">
        <v>733</v>
      </c>
      <c r="C31" s="102">
        <v>0</v>
      </c>
      <c r="D31" s="102">
        <v>0</v>
      </c>
      <c r="E31" s="102">
        <v>0</v>
      </c>
      <c r="F31" s="102">
        <v>0</v>
      </c>
      <c r="G31" s="102">
        <v>4400</v>
      </c>
      <c r="H31" s="102">
        <v>4400</v>
      </c>
      <c r="I31" s="102">
        <v>4400</v>
      </c>
      <c r="J31" s="102">
        <v>4400</v>
      </c>
      <c r="K31" s="102">
        <v>0</v>
      </c>
      <c r="L31" s="102">
        <v>0</v>
      </c>
    </row>
    <row r="32" spans="1:12" x14ac:dyDescent="0.25">
      <c r="A32" s="100" t="s">
        <v>336</v>
      </c>
      <c r="B32" s="101" t="s">
        <v>337</v>
      </c>
      <c r="C32" s="102">
        <v>0</v>
      </c>
      <c r="D32" s="102">
        <v>0</v>
      </c>
      <c r="E32" s="102">
        <v>0</v>
      </c>
      <c r="F32" s="102">
        <v>0</v>
      </c>
      <c r="G32" s="102">
        <v>131453.13</v>
      </c>
      <c r="H32" s="102">
        <v>131453.13</v>
      </c>
      <c r="I32" s="102">
        <v>131453.13</v>
      </c>
      <c r="J32" s="102">
        <v>131453.13</v>
      </c>
      <c r="K32" s="102">
        <v>0</v>
      </c>
      <c r="L32" s="102">
        <v>0</v>
      </c>
    </row>
    <row r="33" spans="1:12" x14ac:dyDescent="0.25">
      <c r="A33" s="100" t="s">
        <v>338</v>
      </c>
      <c r="B33" s="101" t="s">
        <v>339</v>
      </c>
      <c r="C33" s="102">
        <v>0</v>
      </c>
      <c r="D33" s="102">
        <v>0</v>
      </c>
      <c r="E33" s="102">
        <v>0</v>
      </c>
      <c r="F33" s="102">
        <v>0</v>
      </c>
      <c r="G33" s="102">
        <v>22948.98</v>
      </c>
      <c r="H33" s="102">
        <v>11786.57</v>
      </c>
      <c r="I33" s="102">
        <v>22948.98</v>
      </c>
      <c r="J33" s="102">
        <v>11786.57</v>
      </c>
      <c r="K33" s="102">
        <v>11162.41</v>
      </c>
      <c r="L33" s="102">
        <v>0</v>
      </c>
    </row>
    <row r="34" spans="1:12" x14ac:dyDescent="0.25">
      <c r="A34" s="100" t="s">
        <v>340</v>
      </c>
      <c r="B34" s="101" t="s">
        <v>341</v>
      </c>
      <c r="C34" s="102">
        <v>0</v>
      </c>
      <c r="D34" s="102">
        <v>0</v>
      </c>
      <c r="E34" s="102">
        <v>0</v>
      </c>
      <c r="F34" s="102">
        <v>0</v>
      </c>
      <c r="G34" s="102">
        <v>37621.67</v>
      </c>
      <c r="H34" s="102">
        <v>24262.31</v>
      </c>
      <c r="I34" s="102">
        <v>37621.67</v>
      </c>
      <c r="J34" s="102">
        <v>24262.31</v>
      </c>
      <c r="K34" s="102">
        <v>13359.36</v>
      </c>
      <c r="L34" s="102">
        <v>0</v>
      </c>
    </row>
    <row r="35" spans="1:12" x14ac:dyDescent="0.25">
      <c r="A35" s="100" t="s">
        <v>342</v>
      </c>
      <c r="B35" s="101" t="s">
        <v>343</v>
      </c>
      <c r="C35" s="102">
        <v>0</v>
      </c>
      <c r="D35" s="102">
        <v>0</v>
      </c>
      <c r="E35" s="102">
        <v>0</v>
      </c>
      <c r="F35" s="102">
        <v>0</v>
      </c>
      <c r="G35" s="102">
        <v>15212.39</v>
      </c>
      <c r="H35" s="102">
        <v>0</v>
      </c>
      <c r="I35" s="102">
        <v>15212.39</v>
      </c>
      <c r="J35" s="102">
        <v>0</v>
      </c>
      <c r="K35" s="102">
        <v>15212.39</v>
      </c>
      <c r="L35" s="102">
        <v>0</v>
      </c>
    </row>
    <row r="36" spans="1:12" x14ac:dyDescent="0.25">
      <c r="A36" s="100" t="s">
        <v>344</v>
      </c>
      <c r="B36" s="101" t="s">
        <v>345</v>
      </c>
      <c r="C36" s="102">
        <v>0</v>
      </c>
      <c r="D36" s="102">
        <v>0</v>
      </c>
      <c r="E36" s="102">
        <v>0</v>
      </c>
      <c r="F36" s="102">
        <v>0</v>
      </c>
      <c r="G36" s="102">
        <v>957.84</v>
      </c>
      <c r="H36" s="102">
        <v>926.95</v>
      </c>
      <c r="I36" s="102">
        <v>957.84</v>
      </c>
      <c r="J36" s="102">
        <v>926.95</v>
      </c>
      <c r="K36" s="102">
        <v>30.89</v>
      </c>
      <c r="L36" s="102">
        <v>0</v>
      </c>
    </row>
    <row r="37" spans="1:12" x14ac:dyDescent="0.25">
      <c r="A37" s="100" t="s">
        <v>346</v>
      </c>
      <c r="B37" s="101" t="s">
        <v>347</v>
      </c>
      <c r="C37" s="102">
        <v>0</v>
      </c>
      <c r="D37" s="102">
        <v>0</v>
      </c>
      <c r="E37" s="102">
        <v>0</v>
      </c>
      <c r="F37" s="102">
        <v>0</v>
      </c>
      <c r="G37" s="102">
        <v>1357.93</v>
      </c>
      <c r="H37" s="102">
        <v>1134.02</v>
      </c>
      <c r="I37" s="102">
        <v>1357.93</v>
      </c>
      <c r="J37" s="102">
        <v>1134.02</v>
      </c>
      <c r="K37" s="102">
        <v>223.91</v>
      </c>
      <c r="L37" s="102">
        <v>0</v>
      </c>
    </row>
    <row r="38" spans="1:12" x14ac:dyDescent="0.25">
      <c r="A38" s="100" t="s">
        <v>348</v>
      </c>
      <c r="B38" s="101" t="s">
        <v>349</v>
      </c>
      <c r="C38" s="102">
        <v>0</v>
      </c>
      <c r="D38" s="102">
        <v>0</v>
      </c>
      <c r="E38" s="102">
        <v>0</v>
      </c>
      <c r="F38" s="102">
        <v>0</v>
      </c>
      <c r="G38" s="102">
        <v>3409.16</v>
      </c>
      <c r="H38" s="102">
        <v>3409.16</v>
      </c>
      <c r="I38" s="102">
        <v>3409.16</v>
      </c>
      <c r="J38" s="102">
        <v>3409.16</v>
      </c>
      <c r="K38" s="102">
        <v>0</v>
      </c>
      <c r="L38" s="102">
        <v>0</v>
      </c>
    </row>
    <row r="39" spans="1:12" x14ac:dyDescent="0.25">
      <c r="A39" s="100" t="s">
        <v>350</v>
      </c>
      <c r="B39" s="101" t="s">
        <v>351</v>
      </c>
      <c r="C39" s="102">
        <v>8311.2000000000007</v>
      </c>
      <c r="D39" s="102">
        <v>0</v>
      </c>
      <c r="E39" s="102">
        <v>8311.2000000000007</v>
      </c>
      <c r="F39" s="102">
        <v>0</v>
      </c>
      <c r="G39" s="102">
        <v>0</v>
      </c>
      <c r="H39" s="102">
        <v>0</v>
      </c>
      <c r="I39" s="102">
        <v>0</v>
      </c>
      <c r="J39" s="102">
        <v>0</v>
      </c>
      <c r="K39" s="102">
        <v>8311.2000000000007</v>
      </c>
      <c r="L39" s="102">
        <v>0</v>
      </c>
    </row>
    <row r="40" spans="1:12" x14ac:dyDescent="0.25">
      <c r="A40" s="100" t="s">
        <v>354</v>
      </c>
      <c r="B40" s="101" t="s">
        <v>355</v>
      </c>
      <c r="C40" s="102">
        <v>0</v>
      </c>
      <c r="D40" s="102">
        <v>0</v>
      </c>
      <c r="E40" s="102">
        <v>0</v>
      </c>
      <c r="F40" s="102">
        <v>0</v>
      </c>
      <c r="G40" s="102">
        <v>4250</v>
      </c>
      <c r="H40" s="102">
        <v>0</v>
      </c>
      <c r="I40" s="102">
        <v>4250</v>
      </c>
      <c r="J40" s="102">
        <v>0</v>
      </c>
      <c r="K40" s="102">
        <v>4250</v>
      </c>
      <c r="L40" s="102">
        <v>0</v>
      </c>
    </row>
    <row r="41" spans="1:12" x14ac:dyDescent="0.25">
      <c r="A41" s="100" t="s">
        <v>356</v>
      </c>
      <c r="B41" s="101" t="s">
        <v>357</v>
      </c>
      <c r="C41" s="102">
        <v>0</v>
      </c>
      <c r="D41" s="102">
        <v>0</v>
      </c>
      <c r="E41" s="102">
        <v>0</v>
      </c>
      <c r="F41" s="102">
        <v>0</v>
      </c>
      <c r="G41" s="102">
        <v>22524.12</v>
      </c>
      <c r="H41" s="102">
        <v>22320.34</v>
      </c>
      <c r="I41" s="102">
        <v>22524.12</v>
      </c>
      <c r="J41" s="102">
        <v>22320.34</v>
      </c>
      <c r="K41" s="102">
        <v>203.78</v>
      </c>
      <c r="L41" s="102">
        <v>0</v>
      </c>
    </row>
    <row r="42" spans="1:12" x14ac:dyDescent="0.25">
      <c r="A42" s="100" t="s">
        <v>358</v>
      </c>
      <c r="B42" s="101" t="s">
        <v>359</v>
      </c>
      <c r="C42" s="102">
        <v>0</v>
      </c>
      <c r="D42" s="102">
        <v>0</v>
      </c>
      <c r="E42" s="102">
        <v>0</v>
      </c>
      <c r="F42" s="102">
        <v>0</v>
      </c>
      <c r="G42" s="102">
        <v>903.75</v>
      </c>
      <c r="H42" s="102">
        <v>638.36</v>
      </c>
      <c r="I42" s="102">
        <v>903.75</v>
      </c>
      <c r="J42" s="102">
        <v>638.36</v>
      </c>
      <c r="K42" s="102">
        <v>265.39</v>
      </c>
      <c r="L42" s="102">
        <v>0</v>
      </c>
    </row>
    <row r="43" spans="1:12" x14ac:dyDescent="0.25">
      <c r="A43" s="100" t="s">
        <v>360</v>
      </c>
      <c r="B43" s="101" t="s">
        <v>361</v>
      </c>
      <c r="C43" s="102">
        <v>0</v>
      </c>
      <c r="D43" s="102">
        <v>0</v>
      </c>
      <c r="E43" s="102">
        <v>0</v>
      </c>
      <c r="F43" s="102">
        <v>0</v>
      </c>
      <c r="G43" s="102">
        <v>1848.67</v>
      </c>
      <c r="H43" s="102">
        <v>1848.67</v>
      </c>
      <c r="I43" s="102">
        <v>1848.67</v>
      </c>
      <c r="J43" s="102">
        <v>1848.67</v>
      </c>
      <c r="K43" s="102">
        <v>0</v>
      </c>
      <c r="L43" s="102">
        <v>0</v>
      </c>
    </row>
    <row r="44" spans="1:12" x14ac:dyDescent="0.25">
      <c r="A44" s="100" t="s">
        <v>362</v>
      </c>
      <c r="B44" s="101" t="s">
        <v>363</v>
      </c>
      <c r="C44" s="102">
        <v>0</v>
      </c>
      <c r="D44" s="102">
        <v>0</v>
      </c>
      <c r="E44" s="102">
        <v>0</v>
      </c>
      <c r="F44" s="102">
        <v>0</v>
      </c>
      <c r="G44" s="102">
        <v>198046.38</v>
      </c>
      <c r="H44" s="102">
        <v>297225.03999999998</v>
      </c>
      <c r="I44" s="102">
        <v>198046.38</v>
      </c>
      <c r="J44" s="102">
        <v>297225.03999999998</v>
      </c>
      <c r="K44" s="102">
        <v>0</v>
      </c>
      <c r="L44" s="102">
        <v>99178.66</v>
      </c>
    </row>
    <row r="45" spans="1:12" x14ac:dyDescent="0.25">
      <c r="A45" s="100" t="s">
        <v>364</v>
      </c>
      <c r="B45" s="101" t="s">
        <v>365</v>
      </c>
      <c r="C45" s="102">
        <v>0</v>
      </c>
      <c r="D45" s="102">
        <v>0</v>
      </c>
      <c r="E45" s="102">
        <v>0</v>
      </c>
      <c r="F45" s="102">
        <v>0</v>
      </c>
      <c r="G45" s="102">
        <v>7.86</v>
      </c>
      <c r="H45" s="102">
        <v>7.86</v>
      </c>
      <c r="I45" s="102">
        <v>7.86</v>
      </c>
      <c r="J45" s="102">
        <v>7.86</v>
      </c>
      <c r="K45" s="102">
        <v>0</v>
      </c>
      <c r="L45" s="102">
        <v>0</v>
      </c>
    </row>
    <row r="46" spans="1:12" x14ac:dyDescent="0.25">
      <c r="A46" s="100" t="s">
        <v>366</v>
      </c>
      <c r="B46" s="101" t="s">
        <v>367</v>
      </c>
      <c r="C46" s="102">
        <v>0</v>
      </c>
      <c r="D46" s="102">
        <v>1695.6</v>
      </c>
      <c r="E46" s="102">
        <v>0</v>
      </c>
      <c r="F46" s="102">
        <v>1695.6</v>
      </c>
      <c r="G46" s="102">
        <v>16542.93</v>
      </c>
      <c r="H46" s="102">
        <v>19472.23</v>
      </c>
      <c r="I46" s="102">
        <v>16542.93</v>
      </c>
      <c r="J46" s="102">
        <v>19472.23</v>
      </c>
      <c r="K46" s="102">
        <v>0</v>
      </c>
      <c r="L46" s="102">
        <v>4624.8999999999996</v>
      </c>
    </row>
    <row r="47" spans="1:12" x14ac:dyDescent="0.25">
      <c r="A47" s="100" t="s">
        <v>368</v>
      </c>
      <c r="B47" s="101" t="s">
        <v>369</v>
      </c>
      <c r="C47" s="102">
        <v>0</v>
      </c>
      <c r="D47" s="102">
        <v>0</v>
      </c>
      <c r="E47" s="102">
        <v>0</v>
      </c>
      <c r="F47" s="102">
        <v>0</v>
      </c>
      <c r="G47" s="102">
        <v>5446.1</v>
      </c>
      <c r="H47" s="102">
        <v>5705.78</v>
      </c>
      <c r="I47" s="102">
        <v>5446.1</v>
      </c>
      <c r="J47" s="102">
        <v>5705.78</v>
      </c>
      <c r="K47" s="102">
        <v>0</v>
      </c>
      <c r="L47" s="102">
        <v>259.68</v>
      </c>
    </row>
    <row r="48" spans="1:12" x14ac:dyDescent="0.25">
      <c r="A48" s="100" t="s">
        <v>370</v>
      </c>
      <c r="B48" s="101" t="s">
        <v>371</v>
      </c>
      <c r="C48" s="102">
        <v>0</v>
      </c>
      <c r="D48" s="102">
        <v>0</v>
      </c>
      <c r="E48" s="102">
        <v>0</v>
      </c>
      <c r="F48" s="102">
        <v>0</v>
      </c>
      <c r="G48" s="102">
        <v>2419.15</v>
      </c>
      <c r="H48" s="102">
        <v>2434.67</v>
      </c>
      <c r="I48" s="102">
        <v>2419.15</v>
      </c>
      <c r="J48" s="102">
        <v>2434.67</v>
      </c>
      <c r="K48" s="102">
        <v>0</v>
      </c>
      <c r="L48" s="102">
        <v>15.52</v>
      </c>
    </row>
    <row r="49" spans="1:12" x14ac:dyDescent="0.25">
      <c r="A49" s="100" t="s">
        <v>372</v>
      </c>
      <c r="B49" s="101" t="s">
        <v>373</v>
      </c>
      <c r="C49" s="102">
        <v>0</v>
      </c>
      <c r="D49" s="102">
        <v>0</v>
      </c>
      <c r="E49" s="102">
        <v>0</v>
      </c>
      <c r="F49" s="102">
        <v>0</v>
      </c>
      <c r="G49" s="102">
        <v>6686.26</v>
      </c>
      <c r="H49" s="102">
        <v>7253.08</v>
      </c>
      <c r="I49" s="102">
        <v>6686.26</v>
      </c>
      <c r="J49" s="102">
        <v>7253.08</v>
      </c>
      <c r="K49" s="102">
        <v>0</v>
      </c>
      <c r="L49" s="102">
        <v>566.82000000000005</v>
      </c>
    </row>
    <row r="50" spans="1:12" x14ac:dyDescent="0.25">
      <c r="A50" s="100" t="s">
        <v>734</v>
      </c>
      <c r="B50" s="101" t="s">
        <v>735</v>
      </c>
      <c r="C50" s="102">
        <v>0</v>
      </c>
      <c r="D50" s="102">
        <v>0</v>
      </c>
      <c r="E50" s="102">
        <v>0</v>
      </c>
      <c r="F50" s="102">
        <v>0</v>
      </c>
      <c r="G50" s="102">
        <v>3622.18</v>
      </c>
      <c r="H50" s="102">
        <v>3622.18</v>
      </c>
      <c r="I50" s="102">
        <v>3622.18</v>
      </c>
      <c r="J50" s="102">
        <v>3622.18</v>
      </c>
      <c r="K50" s="102">
        <v>0</v>
      </c>
      <c r="L50" s="102">
        <v>0</v>
      </c>
    </row>
    <row r="51" spans="1:12" x14ac:dyDescent="0.25">
      <c r="A51" s="100" t="s">
        <v>374</v>
      </c>
      <c r="B51" s="101" t="s">
        <v>375</v>
      </c>
      <c r="C51" s="102">
        <v>0</v>
      </c>
      <c r="D51" s="102">
        <v>100</v>
      </c>
      <c r="E51" s="102">
        <v>0</v>
      </c>
      <c r="F51" s="102">
        <v>100</v>
      </c>
      <c r="G51" s="102">
        <v>100</v>
      </c>
      <c r="H51" s="102">
        <v>1370</v>
      </c>
      <c r="I51" s="102">
        <v>100</v>
      </c>
      <c r="J51" s="102">
        <v>1370</v>
      </c>
      <c r="K51" s="102">
        <v>0</v>
      </c>
      <c r="L51" s="102">
        <v>1370</v>
      </c>
    </row>
    <row r="52" spans="1:12" x14ac:dyDescent="0.25">
      <c r="A52" s="100" t="s">
        <v>378</v>
      </c>
      <c r="B52" s="101" t="s">
        <v>379</v>
      </c>
      <c r="C52" s="102">
        <v>0</v>
      </c>
      <c r="D52" s="102">
        <v>0</v>
      </c>
      <c r="E52" s="102">
        <v>0</v>
      </c>
      <c r="F52" s="102">
        <v>0</v>
      </c>
      <c r="G52" s="102">
        <v>409.35</v>
      </c>
      <c r="H52" s="102">
        <v>713.58</v>
      </c>
      <c r="I52" s="102">
        <v>409.35</v>
      </c>
      <c r="J52" s="102">
        <v>713.58</v>
      </c>
      <c r="K52" s="102">
        <v>0</v>
      </c>
      <c r="L52" s="102">
        <v>304.23</v>
      </c>
    </row>
    <row r="53" spans="1:12" x14ac:dyDescent="0.25">
      <c r="A53" s="100" t="s">
        <v>380</v>
      </c>
      <c r="B53" s="101" t="s">
        <v>381</v>
      </c>
      <c r="C53" s="102">
        <v>0</v>
      </c>
      <c r="D53" s="102">
        <v>0</v>
      </c>
      <c r="E53" s="102">
        <v>0</v>
      </c>
      <c r="F53" s="102">
        <v>0</v>
      </c>
      <c r="G53" s="102">
        <v>924</v>
      </c>
      <c r="H53" s="102">
        <v>924</v>
      </c>
      <c r="I53" s="102">
        <v>924</v>
      </c>
      <c r="J53" s="102">
        <v>924</v>
      </c>
      <c r="K53" s="102">
        <v>0</v>
      </c>
      <c r="L53" s="102">
        <v>0</v>
      </c>
    </row>
    <row r="54" spans="1:12" x14ac:dyDescent="0.25">
      <c r="A54" s="100" t="s">
        <v>382</v>
      </c>
      <c r="B54" s="101" t="s">
        <v>383</v>
      </c>
      <c r="C54" s="102">
        <v>0</v>
      </c>
      <c r="D54" s="102">
        <v>0</v>
      </c>
      <c r="E54" s="102">
        <v>0</v>
      </c>
      <c r="F54" s="102">
        <v>0</v>
      </c>
      <c r="G54" s="102">
        <v>392.66</v>
      </c>
      <c r="H54" s="102">
        <v>434.96</v>
      </c>
      <c r="I54" s="102">
        <v>392.66</v>
      </c>
      <c r="J54" s="102">
        <v>434.96</v>
      </c>
      <c r="K54" s="102">
        <v>0</v>
      </c>
      <c r="L54" s="102">
        <v>42.3</v>
      </c>
    </row>
    <row r="55" spans="1:12" x14ac:dyDescent="0.25">
      <c r="A55" s="100" t="s">
        <v>384</v>
      </c>
      <c r="B55" s="101" t="s">
        <v>385</v>
      </c>
      <c r="C55" s="102">
        <v>0</v>
      </c>
      <c r="D55" s="102">
        <v>0</v>
      </c>
      <c r="E55" s="102">
        <v>0</v>
      </c>
      <c r="F55" s="102">
        <v>0</v>
      </c>
      <c r="G55" s="102">
        <v>38304.74</v>
      </c>
      <c r="H55" s="102">
        <v>42275.43</v>
      </c>
      <c r="I55" s="102">
        <v>38304.74</v>
      </c>
      <c r="J55" s="102">
        <v>42275.43</v>
      </c>
      <c r="K55" s="102">
        <v>0</v>
      </c>
      <c r="L55" s="102">
        <v>3970.69</v>
      </c>
    </row>
    <row r="56" spans="1:12" x14ac:dyDescent="0.25">
      <c r="A56" s="100" t="s">
        <v>386</v>
      </c>
      <c r="B56" s="101" t="s">
        <v>387</v>
      </c>
      <c r="C56" s="102">
        <v>0</v>
      </c>
      <c r="D56" s="102">
        <v>0</v>
      </c>
      <c r="E56" s="102">
        <v>0</v>
      </c>
      <c r="F56" s="102">
        <v>0</v>
      </c>
      <c r="G56" s="102">
        <v>863.5</v>
      </c>
      <c r="H56" s="102">
        <v>863.5</v>
      </c>
      <c r="I56" s="102">
        <v>863.5</v>
      </c>
      <c r="J56" s="102">
        <v>863.5</v>
      </c>
      <c r="K56" s="102">
        <v>0</v>
      </c>
      <c r="L56" s="102">
        <v>0</v>
      </c>
    </row>
    <row r="57" spans="1:12" x14ac:dyDescent="0.25">
      <c r="A57" s="100" t="s">
        <v>388</v>
      </c>
      <c r="B57" s="101" t="s">
        <v>389</v>
      </c>
      <c r="C57" s="102">
        <v>0</v>
      </c>
      <c r="D57" s="102">
        <v>0</v>
      </c>
      <c r="E57" s="102">
        <v>0</v>
      </c>
      <c r="F57" s="102">
        <v>0</v>
      </c>
      <c r="G57" s="102">
        <v>166.1</v>
      </c>
      <c r="H57" s="102">
        <v>166.1</v>
      </c>
      <c r="I57" s="102">
        <v>166.1</v>
      </c>
      <c r="J57" s="102">
        <v>166.1</v>
      </c>
      <c r="K57" s="102">
        <v>0</v>
      </c>
      <c r="L57" s="102">
        <v>0</v>
      </c>
    </row>
    <row r="58" spans="1:12" x14ac:dyDescent="0.25">
      <c r="A58" s="100" t="s">
        <v>390</v>
      </c>
      <c r="B58" s="101" t="s">
        <v>391</v>
      </c>
      <c r="C58" s="102">
        <v>0</v>
      </c>
      <c r="D58" s="102">
        <v>0</v>
      </c>
      <c r="E58" s="102">
        <v>0</v>
      </c>
      <c r="F58" s="102">
        <v>0</v>
      </c>
      <c r="G58" s="102">
        <v>3192.68</v>
      </c>
      <c r="H58" s="102">
        <v>3735.98</v>
      </c>
      <c r="I58" s="102">
        <v>3192.68</v>
      </c>
      <c r="J58" s="102">
        <v>3735.98</v>
      </c>
      <c r="K58" s="102">
        <v>0</v>
      </c>
      <c r="L58" s="102">
        <v>543.29999999999995</v>
      </c>
    </row>
    <row r="59" spans="1:12" x14ac:dyDescent="0.25">
      <c r="A59" s="100" t="s">
        <v>392</v>
      </c>
      <c r="B59" s="101" t="s">
        <v>393</v>
      </c>
      <c r="C59" s="102">
        <v>0</v>
      </c>
      <c r="D59" s="102">
        <v>0</v>
      </c>
      <c r="E59" s="102">
        <v>0</v>
      </c>
      <c r="F59" s="102">
        <v>0</v>
      </c>
      <c r="G59" s="102">
        <v>620.16999999999996</v>
      </c>
      <c r="H59" s="102">
        <v>683.18</v>
      </c>
      <c r="I59" s="102">
        <v>620.16999999999996</v>
      </c>
      <c r="J59" s="102">
        <v>683.18</v>
      </c>
      <c r="K59" s="102">
        <v>0</v>
      </c>
      <c r="L59" s="102">
        <v>63.01</v>
      </c>
    </row>
    <row r="60" spans="1:12" x14ac:dyDescent="0.25">
      <c r="A60" s="100" t="s">
        <v>394</v>
      </c>
      <c r="B60" s="101" t="s">
        <v>395</v>
      </c>
      <c r="C60" s="102">
        <v>0</v>
      </c>
      <c r="D60" s="102">
        <v>0</v>
      </c>
      <c r="E60" s="102">
        <v>0</v>
      </c>
      <c r="F60" s="102">
        <v>0</v>
      </c>
      <c r="G60" s="102">
        <v>11950.94</v>
      </c>
      <c r="H60" s="102">
        <v>13745.74</v>
      </c>
      <c r="I60" s="102">
        <v>11950.94</v>
      </c>
      <c r="J60" s="102">
        <v>13745.74</v>
      </c>
      <c r="K60" s="102">
        <v>0</v>
      </c>
      <c r="L60" s="102">
        <v>1794.8</v>
      </c>
    </row>
    <row r="61" spans="1:12" x14ac:dyDescent="0.25">
      <c r="A61" s="100" t="s">
        <v>396</v>
      </c>
      <c r="B61" s="101" t="s">
        <v>397</v>
      </c>
      <c r="C61" s="102">
        <v>0</v>
      </c>
      <c r="D61" s="102">
        <v>0</v>
      </c>
      <c r="E61" s="102">
        <v>0</v>
      </c>
      <c r="F61" s="102">
        <v>0</v>
      </c>
      <c r="G61" s="102">
        <v>4462.0600000000004</v>
      </c>
      <c r="H61" s="102">
        <v>5028.9399999999996</v>
      </c>
      <c r="I61" s="102">
        <v>4462.0600000000004</v>
      </c>
      <c r="J61" s="102">
        <v>5028.9399999999996</v>
      </c>
      <c r="K61" s="102">
        <v>0</v>
      </c>
      <c r="L61" s="102">
        <v>566.88</v>
      </c>
    </row>
    <row r="62" spans="1:12" x14ac:dyDescent="0.25">
      <c r="A62" s="100" t="s">
        <v>398</v>
      </c>
      <c r="B62" s="101" t="s">
        <v>399</v>
      </c>
      <c r="C62" s="102">
        <v>0</v>
      </c>
      <c r="D62" s="102">
        <v>0</v>
      </c>
      <c r="E62" s="102">
        <v>0</v>
      </c>
      <c r="F62" s="102">
        <v>0</v>
      </c>
      <c r="G62" s="102">
        <v>16420.330000000002</v>
      </c>
      <c r="H62" s="102">
        <v>16420.330000000002</v>
      </c>
      <c r="I62" s="102">
        <v>16420.330000000002</v>
      </c>
      <c r="J62" s="102">
        <v>16420.330000000002</v>
      </c>
      <c r="K62" s="102">
        <v>0</v>
      </c>
      <c r="L62" s="102">
        <v>0</v>
      </c>
    </row>
    <row r="63" spans="1:12" x14ac:dyDescent="0.25">
      <c r="A63" s="100" t="s">
        <v>400</v>
      </c>
      <c r="B63" s="101" t="s">
        <v>401</v>
      </c>
      <c r="C63" s="102">
        <v>0</v>
      </c>
      <c r="D63" s="102">
        <v>0</v>
      </c>
      <c r="E63" s="102">
        <v>0</v>
      </c>
      <c r="F63" s="102">
        <v>0</v>
      </c>
      <c r="G63" s="102">
        <v>12379.48</v>
      </c>
      <c r="H63" s="102">
        <v>12379.48</v>
      </c>
      <c r="I63" s="102">
        <v>12379.48</v>
      </c>
      <c r="J63" s="102">
        <v>12379.48</v>
      </c>
      <c r="K63" s="102">
        <v>0</v>
      </c>
      <c r="L63" s="102">
        <v>0</v>
      </c>
    </row>
    <row r="64" spans="1:12" x14ac:dyDescent="0.25">
      <c r="A64" s="100" t="s">
        <v>402</v>
      </c>
      <c r="B64" s="101" t="s">
        <v>403</v>
      </c>
      <c r="C64" s="102">
        <v>0</v>
      </c>
      <c r="D64" s="102">
        <v>0</v>
      </c>
      <c r="E64" s="102">
        <v>0</v>
      </c>
      <c r="F64" s="102">
        <v>0</v>
      </c>
      <c r="G64" s="102">
        <v>15538.27</v>
      </c>
      <c r="H64" s="102">
        <v>15538.27</v>
      </c>
      <c r="I64" s="102">
        <v>15538.27</v>
      </c>
      <c r="J64" s="102">
        <v>15538.27</v>
      </c>
      <c r="K64" s="102">
        <v>0</v>
      </c>
      <c r="L64" s="102">
        <v>0</v>
      </c>
    </row>
    <row r="65" spans="1:12" x14ac:dyDescent="0.25">
      <c r="A65" s="100" t="s">
        <v>404</v>
      </c>
      <c r="B65" s="101" t="s">
        <v>405</v>
      </c>
      <c r="C65" s="102">
        <v>0</v>
      </c>
      <c r="D65" s="102">
        <v>0</v>
      </c>
      <c r="E65" s="102">
        <v>0</v>
      </c>
      <c r="F65" s="102">
        <v>0</v>
      </c>
      <c r="G65" s="102">
        <v>5.67</v>
      </c>
      <c r="H65" s="102">
        <v>5.67</v>
      </c>
      <c r="I65" s="102">
        <v>5.67</v>
      </c>
      <c r="J65" s="102">
        <v>5.67</v>
      </c>
      <c r="K65" s="102">
        <v>0</v>
      </c>
      <c r="L65" s="102">
        <v>0</v>
      </c>
    </row>
    <row r="66" spans="1:12" x14ac:dyDescent="0.25">
      <c r="A66" s="100" t="s">
        <v>406</v>
      </c>
      <c r="B66" s="101" t="s">
        <v>407</v>
      </c>
      <c r="C66" s="102">
        <v>0</v>
      </c>
      <c r="D66" s="102">
        <v>0</v>
      </c>
      <c r="E66" s="102">
        <v>0</v>
      </c>
      <c r="F66" s="102">
        <v>0</v>
      </c>
      <c r="G66" s="102">
        <v>14600.58</v>
      </c>
      <c r="H66" s="102">
        <v>14600.58</v>
      </c>
      <c r="I66" s="102">
        <v>14600.58</v>
      </c>
      <c r="J66" s="102">
        <v>14600.58</v>
      </c>
      <c r="K66" s="102">
        <v>0</v>
      </c>
      <c r="L66" s="102">
        <v>0</v>
      </c>
    </row>
    <row r="67" spans="1:12" x14ac:dyDescent="0.25">
      <c r="A67" s="100" t="s">
        <v>408</v>
      </c>
      <c r="B67" s="101" t="s">
        <v>409</v>
      </c>
      <c r="C67" s="102">
        <v>0</v>
      </c>
      <c r="D67" s="102">
        <v>0</v>
      </c>
      <c r="E67" s="102">
        <v>0</v>
      </c>
      <c r="F67" s="102">
        <v>0</v>
      </c>
      <c r="G67" s="102">
        <v>10185.620000000001</v>
      </c>
      <c r="H67" s="102">
        <v>10185.620000000001</v>
      </c>
      <c r="I67" s="102">
        <v>10185.620000000001</v>
      </c>
      <c r="J67" s="102">
        <v>10185.620000000001</v>
      </c>
      <c r="K67" s="102">
        <v>0</v>
      </c>
      <c r="L67" s="102">
        <v>0</v>
      </c>
    </row>
    <row r="68" spans="1:12" x14ac:dyDescent="0.25">
      <c r="A68" s="100" t="s">
        <v>410</v>
      </c>
      <c r="B68" s="101" t="s">
        <v>411</v>
      </c>
      <c r="C68" s="102">
        <v>0</v>
      </c>
      <c r="D68" s="102">
        <v>-16288.82</v>
      </c>
      <c r="E68" s="102">
        <v>0</v>
      </c>
      <c r="F68" s="102">
        <v>-16288.82</v>
      </c>
      <c r="G68" s="102">
        <v>13728.32</v>
      </c>
      <c r="H68" s="102">
        <v>30314</v>
      </c>
      <c r="I68" s="102">
        <v>13728.32</v>
      </c>
      <c r="J68" s="102">
        <v>30314</v>
      </c>
      <c r="K68" s="102">
        <v>0</v>
      </c>
      <c r="L68" s="102">
        <v>296.86</v>
      </c>
    </row>
    <row r="69" spans="1:12" x14ac:dyDescent="0.25">
      <c r="A69" s="100" t="s">
        <v>412</v>
      </c>
      <c r="B69" s="101" t="s">
        <v>413</v>
      </c>
      <c r="C69" s="102">
        <v>0</v>
      </c>
      <c r="D69" s="102">
        <v>0</v>
      </c>
      <c r="E69" s="102">
        <v>0</v>
      </c>
      <c r="F69" s="102">
        <v>0</v>
      </c>
      <c r="G69" s="102">
        <v>37.119999999999997</v>
      </c>
      <c r="H69" s="102">
        <v>37.119999999999997</v>
      </c>
      <c r="I69" s="102">
        <v>37.119999999999997</v>
      </c>
      <c r="J69" s="102">
        <v>37.119999999999997</v>
      </c>
      <c r="K69" s="102">
        <v>0</v>
      </c>
      <c r="L69" s="102">
        <v>0</v>
      </c>
    </row>
    <row r="70" spans="1:12" x14ac:dyDescent="0.25">
      <c r="A70" s="100" t="s">
        <v>414</v>
      </c>
      <c r="B70" s="101" t="s">
        <v>415</v>
      </c>
      <c r="C70" s="102">
        <v>0</v>
      </c>
      <c r="D70" s="102">
        <v>192765.63</v>
      </c>
      <c r="E70" s="102">
        <v>0</v>
      </c>
      <c r="F70" s="102">
        <v>192765.63</v>
      </c>
      <c r="G70" s="102">
        <v>4743.87</v>
      </c>
      <c r="H70" s="102">
        <v>62635.99</v>
      </c>
      <c r="I70" s="102">
        <v>4743.87</v>
      </c>
      <c r="J70" s="102">
        <v>62635.99</v>
      </c>
      <c r="K70" s="102">
        <v>0</v>
      </c>
      <c r="L70" s="102">
        <v>250657.75</v>
      </c>
    </row>
    <row r="71" spans="1:12" x14ac:dyDescent="0.25">
      <c r="A71" s="100" t="s">
        <v>416</v>
      </c>
      <c r="B71" s="101" t="s">
        <v>417</v>
      </c>
      <c r="C71" s="102">
        <v>0</v>
      </c>
      <c r="D71" s="102">
        <v>3236.37</v>
      </c>
      <c r="E71" s="102">
        <v>0</v>
      </c>
      <c r="F71" s="102">
        <v>3236.37</v>
      </c>
      <c r="G71" s="102">
        <v>19534.98</v>
      </c>
      <c r="H71" s="102">
        <v>17959.13</v>
      </c>
      <c r="I71" s="102">
        <v>19534.98</v>
      </c>
      <c r="J71" s="102">
        <v>17959.13</v>
      </c>
      <c r="K71" s="102">
        <v>0</v>
      </c>
      <c r="L71" s="102">
        <v>1660.52</v>
      </c>
    </row>
    <row r="72" spans="1:12" x14ac:dyDescent="0.25">
      <c r="A72" s="100" t="s">
        <v>420</v>
      </c>
      <c r="B72" s="101" t="s">
        <v>421</v>
      </c>
      <c r="C72" s="102">
        <v>0</v>
      </c>
      <c r="D72" s="102">
        <v>0</v>
      </c>
      <c r="E72" s="102">
        <v>0</v>
      </c>
      <c r="F72" s="102">
        <v>0</v>
      </c>
      <c r="G72" s="102">
        <v>280139.02</v>
      </c>
      <c r="H72" s="102">
        <v>280139.02</v>
      </c>
      <c r="I72" s="102">
        <v>280139.02</v>
      </c>
      <c r="J72" s="102">
        <v>280139.02</v>
      </c>
      <c r="K72" s="102">
        <v>0</v>
      </c>
      <c r="L72" s="102">
        <v>0</v>
      </c>
    </row>
    <row r="73" spans="1:12" x14ac:dyDescent="0.25">
      <c r="A73" s="100" t="s">
        <v>736</v>
      </c>
      <c r="B73" s="101" t="s">
        <v>737</v>
      </c>
      <c r="C73" s="102">
        <v>0</v>
      </c>
      <c r="D73" s="102">
        <v>0</v>
      </c>
      <c r="E73" s="102">
        <v>0</v>
      </c>
      <c r="F73" s="102">
        <v>0</v>
      </c>
      <c r="G73" s="102">
        <v>300</v>
      </c>
      <c r="H73" s="102">
        <v>300</v>
      </c>
      <c r="I73" s="102">
        <v>300</v>
      </c>
      <c r="J73" s="102">
        <v>300</v>
      </c>
      <c r="K73" s="102">
        <v>0</v>
      </c>
      <c r="L73" s="102">
        <v>0</v>
      </c>
    </row>
    <row r="74" spans="1:12" x14ac:dyDescent="0.25">
      <c r="A74" s="100" t="s">
        <v>738</v>
      </c>
      <c r="B74" s="101" t="s">
        <v>739</v>
      </c>
      <c r="C74" s="102">
        <v>0</v>
      </c>
      <c r="D74" s="102">
        <v>0</v>
      </c>
      <c r="E74" s="102">
        <v>0</v>
      </c>
      <c r="F74" s="102">
        <v>0</v>
      </c>
      <c r="G74" s="102">
        <v>150</v>
      </c>
      <c r="H74" s="102">
        <v>150</v>
      </c>
      <c r="I74" s="102">
        <v>150</v>
      </c>
      <c r="J74" s="102">
        <v>150</v>
      </c>
      <c r="K74" s="102">
        <v>0</v>
      </c>
      <c r="L74" s="102">
        <v>0</v>
      </c>
    </row>
    <row r="75" spans="1:12" x14ac:dyDescent="0.25">
      <c r="A75" s="100" t="s">
        <v>422</v>
      </c>
      <c r="B75" s="101" t="s">
        <v>423</v>
      </c>
      <c r="C75" s="102">
        <v>0</v>
      </c>
      <c r="D75" s="102">
        <v>0</v>
      </c>
      <c r="E75" s="102">
        <v>0</v>
      </c>
      <c r="F75" s="102">
        <v>0</v>
      </c>
      <c r="G75" s="102">
        <v>62.11</v>
      </c>
      <c r="H75" s="102">
        <v>62.11</v>
      </c>
      <c r="I75" s="102">
        <v>62.11</v>
      </c>
      <c r="J75" s="102">
        <v>62.11</v>
      </c>
      <c r="K75" s="102">
        <v>0</v>
      </c>
      <c r="L75" s="102">
        <v>0</v>
      </c>
    </row>
    <row r="76" spans="1:12" x14ac:dyDescent="0.25">
      <c r="A76" s="100" t="s">
        <v>740</v>
      </c>
      <c r="B76" s="101" t="s">
        <v>741</v>
      </c>
      <c r="C76" s="102">
        <v>0</v>
      </c>
      <c r="D76" s="102">
        <v>0</v>
      </c>
      <c r="E76" s="102">
        <v>0</v>
      </c>
      <c r="F76" s="102">
        <v>0</v>
      </c>
      <c r="G76" s="102">
        <v>311.39999999999998</v>
      </c>
      <c r="H76" s="102">
        <v>311.39999999999998</v>
      </c>
      <c r="I76" s="102">
        <v>311.39999999999998</v>
      </c>
      <c r="J76" s="102">
        <v>311.39999999999998</v>
      </c>
      <c r="K76" s="102">
        <v>0</v>
      </c>
      <c r="L76" s="102">
        <v>0</v>
      </c>
    </row>
    <row r="77" spans="1:12" x14ac:dyDescent="0.25">
      <c r="A77" s="100" t="s">
        <v>742</v>
      </c>
      <c r="B77" s="101" t="s">
        <v>743</v>
      </c>
      <c r="C77" s="102">
        <v>0</v>
      </c>
      <c r="D77" s="102">
        <v>0</v>
      </c>
      <c r="E77" s="102">
        <v>0</v>
      </c>
      <c r="F77" s="102">
        <v>0</v>
      </c>
      <c r="G77" s="102">
        <v>4400</v>
      </c>
      <c r="H77" s="102">
        <v>4400</v>
      </c>
      <c r="I77" s="102">
        <v>4400</v>
      </c>
      <c r="J77" s="102">
        <v>4400</v>
      </c>
      <c r="K77" s="102">
        <v>0</v>
      </c>
      <c r="L77" s="102">
        <v>0</v>
      </c>
    </row>
    <row r="78" spans="1:12" x14ac:dyDescent="0.25">
      <c r="A78" s="100" t="s">
        <v>424</v>
      </c>
      <c r="B78" s="101" t="s">
        <v>425</v>
      </c>
      <c r="C78" s="102">
        <v>0</v>
      </c>
      <c r="D78" s="102">
        <v>0</v>
      </c>
      <c r="E78" s="102">
        <v>0</v>
      </c>
      <c r="F78" s="102">
        <v>0</v>
      </c>
      <c r="G78" s="102">
        <v>64.150000000000006</v>
      </c>
      <c r="H78" s="102">
        <v>160.69</v>
      </c>
      <c r="I78" s="102">
        <v>64.150000000000006</v>
      </c>
      <c r="J78" s="102">
        <v>160.69</v>
      </c>
      <c r="K78" s="102">
        <v>0</v>
      </c>
      <c r="L78" s="102">
        <v>96.54</v>
      </c>
    </row>
    <row r="79" spans="1:12" x14ac:dyDescent="0.25">
      <c r="A79" s="100" t="s">
        <v>426</v>
      </c>
      <c r="B79" s="101" t="s">
        <v>427</v>
      </c>
      <c r="C79" s="102">
        <v>0</v>
      </c>
      <c r="D79" s="102">
        <v>36270.67</v>
      </c>
      <c r="E79" s="102">
        <v>0</v>
      </c>
      <c r="F79" s="102">
        <v>36270.67</v>
      </c>
      <c r="G79" s="102">
        <v>0</v>
      </c>
      <c r="H79" s="102">
        <v>4575.62</v>
      </c>
      <c r="I79" s="102">
        <v>0</v>
      </c>
      <c r="J79" s="102">
        <v>4575.62</v>
      </c>
      <c r="K79" s="102">
        <v>0</v>
      </c>
      <c r="L79" s="102">
        <v>40846.29</v>
      </c>
    </row>
    <row r="80" spans="1:12" x14ac:dyDescent="0.25">
      <c r="A80" s="100" t="s">
        <v>430</v>
      </c>
      <c r="B80" s="101" t="s">
        <v>431</v>
      </c>
      <c r="C80" s="102">
        <v>0</v>
      </c>
      <c r="D80" s="102">
        <v>0</v>
      </c>
      <c r="E80" s="102">
        <v>0</v>
      </c>
      <c r="F80" s="102">
        <v>0</v>
      </c>
      <c r="G80" s="102">
        <v>144.43</v>
      </c>
      <c r="H80" s="102">
        <v>20.190000000000001</v>
      </c>
      <c r="I80" s="102">
        <v>144.43</v>
      </c>
      <c r="J80" s="102">
        <v>20.190000000000001</v>
      </c>
      <c r="K80" s="102">
        <v>124.24</v>
      </c>
      <c r="L80" s="102">
        <v>0</v>
      </c>
    </row>
    <row r="81" spans="1:12" x14ac:dyDescent="0.25">
      <c r="A81" s="100" t="s">
        <v>432</v>
      </c>
      <c r="B81" s="101" t="s">
        <v>433</v>
      </c>
      <c r="C81" s="102">
        <v>0</v>
      </c>
      <c r="D81" s="102">
        <v>0</v>
      </c>
      <c r="E81" s="102">
        <v>0</v>
      </c>
      <c r="F81" s="102">
        <v>0</v>
      </c>
      <c r="G81" s="102">
        <v>-7614.29</v>
      </c>
      <c r="H81" s="102">
        <v>-9261.5400000000009</v>
      </c>
      <c r="I81" s="102">
        <v>-7614.29</v>
      </c>
      <c r="J81" s="102">
        <v>-9261.5400000000009</v>
      </c>
      <c r="K81" s="102">
        <v>1647.25</v>
      </c>
      <c r="L81" s="102">
        <v>0</v>
      </c>
    </row>
    <row r="82" spans="1:12" x14ac:dyDescent="0.25">
      <c r="A82" s="100" t="s">
        <v>434</v>
      </c>
      <c r="B82" s="101" t="s">
        <v>435</v>
      </c>
      <c r="C82" s="102">
        <v>0</v>
      </c>
      <c r="D82" s="102">
        <v>0</v>
      </c>
      <c r="E82" s="102">
        <v>0</v>
      </c>
      <c r="F82" s="102">
        <v>0</v>
      </c>
      <c r="G82" s="102">
        <v>12668.66</v>
      </c>
      <c r="H82" s="102">
        <v>12668.66</v>
      </c>
      <c r="I82" s="102">
        <v>12668.66</v>
      </c>
      <c r="J82" s="102">
        <v>12668.66</v>
      </c>
      <c r="K82" s="102">
        <v>0</v>
      </c>
      <c r="L82" s="102">
        <v>0</v>
      </c>
    </row>
    <row r="83" spans="1:12" x14ac:dyDescent="0.25">
      <c r="A83" s="100" t="s">
        <v>436</v>
      </c>
      <c r="B83" s="101" t="s">
        <v>437</v>
      </c>
      <c r="C83" s="102">
        <v>0</v>
      </c>
      <c r="D83" s="102">
        <v>0</v>
      </c>
      <c r="E83" s="102">
        <v>0</v>
      </c>
      <c r="F83" s="102">
        <v>0</v>
      </c>
      <c r="G83" s="102">
        <v>62.11</v>
      </c>
      <c r="H83" s="102">
        <v>62.11</v>
      </c>
      <c r="I83" s="102">
        <v>62.11</v>
      </c>
      <c r="J83" s="102">
        <v>62.11</v>
      </c>
      <c r="K83" s="102">
        <v>0</v>
      </c>
      <c r="L83" s="102">
        <v>0</v>
      </c>
    </row>
    <row r="84" spans="1:12" x14ac:dyDescent="0.25">
      <c r="A84" s="100" t="s">
        <v>438</v>
      </c>
      <c r="B84" s="101" t="s">
        <v>439</v>
      </c>
      <c r="C84" s="102">
        <v>0</v>
      </c>
      <c r="D84" s="102">
        <v>0</v>
      </c>
      <c r="E84" s="102">
        <v>0</v>
      </c>
      <c r="F84" s="102">
        <v>0</v>
      </c>
      <c r="G84" s="102">
        <v>237214.96</v>
      </c>
      <c r="H84" s="102">
        <v>237214.96</v>
      </c>
      <c r="I84" s="102">
        <v>237214.96</v>
      </c>
      <c r="J84" s="102">
        <v>237214.96</v>
      </c>
      <c r="K84" s="102">
        <v>0</v>
      </c>
      <c r="L84" s="102">
        <v>0</v>
      </c>
    </row>
    <row r="85" spans="1:12" x14ac:dyDescent="0.25">
      <c r="A85" s="100" t="s">
        <v>440</v>
      </c>
      <c r="B85" s="101" t="s">
        <v>151</v>
      </c>
      <c r="C85" s="102">
        <v>0</v>
      </c>
      <c r="D85" s="102">
        <v>5000</v>
      </c>
      <c r="E85" s="102">
        <v>0</v>
      </c>
      <c r="F85" s="102">
        <v>5000</v>
      </c>
      <c r="G85" s="102">
        <v>0</v>
      </c>
      <c r="H85" s="102">
        <v>0</v>
      </c>
      <c r="I85" s="102">
        <v>0</v>
      </c>
      <c r="J85" s="102">
        <v>0</v>
      </c>
      <c r="K85" s="102">
        <v>0</v>
      </c>
      <c r="L85" s="102">
        <v>5000</v>
      </c>
    </row>
    <row r="86" spans="1:12" x14ac:dyDescent="0.25">
      <c r="A86" s="100" t="s">
        <v>441</v>
      </c>
      <c r="B86" s="101" t="s">
        <v>442</v>
      </c>
      <c r="C86" s="102">
        <v>70905.460000000006</v>
      </c>
      <c r="D86" s="102">
        <v>0</v>
      </c>
      <c r="E86" s="102">
        <v>70905.460000000006</v>
      </c>
      <c r="F86" s="102">
        <v>0</v>
      </c>
      <c r="G86" s="102">
        <v>0</v>
      </c>
      <c r="H86" s="102">
        <v>0</v>
      </c>
      <c r="I86" s="102">
        <v>0</v>
      </c>
      <c r="J86" s="102">
        <v>0</v>
      </c>
      <c r="K86" s="102">
        <v>70905.460000000006</v>
      </c>
      <c r="L86" s="102">
        <v>0</v>
      </c>
    </row>
    <row r="87" spans="1:12" x14ac:dyDescent="0.25">
      <c r="A87" s="100" t="s">
        <v>443</v>
      </c>
      <c r="B87" s="101" t="s">
        <v>444</v>
      </c>
      <c r="C87" s="102">
        <v>0</v>
      </c>
      <c r="D87" s="102">
        <v>0</v>
      </c>
      <c r="E87" s="102">
        <v>0</v>
      </c>
      <c r="F87" s="102">
        <v>0</v>
      </c>
      <c r="G87" s="102">
        <v>0</v>
      </c>
      <c r="H87" s="102">
        <v>-70366.880000000005</v>
      </c>
      <c r="I87" s="102">
        <v>0</v>
      </c>
      <c r="J87" s="102">
        <v>-70366.880000000005</v>
      </c>
      <c r="K87" s="102">
        <v>70366.880000000005</v>
      </c>
      <c r="L87" s="102">
        <v>0</v>
      </c>
    </row>
    <row r="88" spans="1:12" x14ac:dyDescent="0.25">
      <c r="A88" s="100" t="s">
        <v>447</v>
      </c>
      <c r="B88" s="101" t="s">
        <v>448</v>
      </c>
      <c r="C88" s="102">
        <v>70366.880000000005</v>
      </c>
      <c r="D88" s="102">
        <v>0</v>
      </c>
      <c r="E88" s="102">
        <v>0</v>
      </c>
      <c r="F88" s="102">
        <v>-70366.880000000005</v>
      </c>
      <c r="G88" s="102">
        <v>-70366.880000000005</v>
      </c>
      <c r="H88" s="102">
        <v>0</v>
      </c>
      <c r="I88" s="102">
        <v>-70366.880000000005</v>
      </c>
      <c r="J88" s="102">
        <v>0</v>
      </c>
      <c r="K88" s="102">
        <v>0</v>
      </c>
      <c r="L88" s="102">
        <v>0</v>
      </c>
    </row>
    <row r="89" spans="1:12" x14ac:dyDescent="0.25">
      <c r="A89" s="100" t="s">
        <v>449</v>
      </c>
      <c r="B89" s="101" t="s">
        <v>450</v>
      </c>
      <c r="C89" s="102">
        <v>0</v>
      </c>
      <c r="D89" s="102">
        <v>0</v>
      </c>
      <c r="E89" s="102">
        <v>0</v>
      </c>
      <c r="F89" s="102">
        <v>0</v>
      </c>
      <c r="G89" s="102">
        <v>0</v>
      </c>
      <c r="H89" s="102">
        <v>229.73</v>
      </c>
      <c r="I89" s="102">
        <v>0</v>
      </c>
      <c r="J89" s="102">
        <v>229.73</v>
      </c>
      <c r="K89" s="102">
        <v>0</v>
      </c>
      <c r="L89" s="102">
        <v>229.73</v>
      </c>
    </row>
    <row r="90" spans="1:12" x14ac:dyDescent="0.25">
      <c r="A90" s="100" t="s">
        <v>451</v>
      </c>
      <c r="B90" s="101" t="s">
        <v>452</v>
      </c>
      <c r="C90" s="102">
        <v>0</v>
      </c>
      <c r="D90" s="102">
        <v>0</v>
      </c>
      <c r="E90" s="102">
        <v>0</v>
      </c>
      <c r="F90" s="102">
        <v>0</v>
      </c>
      <c r="G90" s="102">
        <v>107.46</v>
      </c>
      <c r="H90" s="102">
        <v>0</v>
      </c>
      <c r="I90" s="102">
        <v>107.46</v>
      </c>
      <c r="J90" s="102">
        <v>0</v>
      </c>
      <c r="K90" s="102">
        <v>0</v>
      </c>
      <c r="L90" s="102">
        <v>-107.46</v>
      </c>
    </row>
    <row r="91" spans="1:12" x14ac:dyDescent="0.25">
      <c r="A91" s="100" t="s">
        <v>744</v>
      </c>
      <c r="B91" s="101" t="s">
        <v>745</v>
      </c>
      <c r="C91" s="102">
        <v>0</v>
      </c>
      <c r="D91" s="102">
        <v>1117.55</v>
      </c>
      <c r="E91" s="102">
        <v>0</v>
      </c>
      <c r="F91" s="102">
        <v>1117.55</v>
      </c>
      <c r="G91" s="102">
        <v>1117.55</v>
      </c>
      <c r="H91" s="102">
        <v>0</v>
      </c>
      <c r="I91" s="102">
        <v>1117.55</v>
      </c>
      <c r="J91" s="102">
        <v>0</v>
      </c>
      <c r="K91" s="102">
        <v>0</v>
      </c>
      <c r="L91" s="102">
        <v>0</v>
      </c>
    </row>
    <row r="92" spans="1:12" x14ac:dyDescent="0.25">
      <c r="A92" s="100" t="s">
        <v>455</v>
      </c>
      <c r="B92" s="101" t="s">
        <v>456</v>
      </c>
      <c r="C92" s="102">
        <v>0</v>
      </c>
      <c r="D92" s="102">
        <v>0</v>
      </c>
      <c r="E92" s="102">
        <v>0</v>
      </c>
      <c r="F92" s="102">
        <v>0</v>
      </c>
      <c r="G92" s="102">
        <v>164.45</v>
      </c>
      <c r="H92" s="102">
        <v>0</v>
      </c>
      <c r="I92" s="102">
        <v>164.45</v>
      </c>
      <c r="J92" s="102">
        <v>0</v>
      </c>
      <c r="K92" s="102">
        <v>0</v>
      </c>
      <c r="L92" s="102">
        <v>-164.45</v>
      </c>
    </row>
    <row r="93" spans="1:12" x14ac:dyDescent="0.25">
      <c r="A93" s="100" t="s">
        <v>457</v>
      </c>
      <c r="B93" s="101" t="s">
        <v>458</v>
      </c>
      <c r="C93" s="102">
        <v>0</v>
      </c>
      <c r="D93" s="102">
        <v>0</v>
      </c>
      <c r="E93" s="102">
        <v>0</v>
      </c>
      <c r="F93" s="102">
        <v>0</v>
      </c>
      <c r="G93" s="102">
        <v>350.76</v>
      </c>
      <c r="H93" s="102">
        <v>0</v>
      </c>
      <c r="I93" s="102">
        <v>350.76</v>
      </c>
      <c r="J93" s="102">
        <v>0</v>
      </c>
      <c r="K93" s="102">
        <v>350.76</v>
      </c>
      <c r="L93" s="102">
        <v>0</v>
      </c>
    </row>
    <row r="94" spans="1:12" x14ac:dyDescent="0.25">
      <c r="A94" s="100" t="s">
        <v>459</v>
      </c>
      <c r="B94" s="101" t="s">
        <v>460</v>
      </c>
      <c r="C94" s="102">
        <v>0</v>
      </c>
      <c r="D94" s="102">
        <v>0</v>
      </c>
      <c r="E94" s="102">
        <v>0</v>
      </c>
      <c r="F94" s="102">
        <v>0</v>
      </c>
      <c r="G94" s="102">
        <v>83.45</v>
      </c>
      <c r="H94" s="102">
        <v>0</v>
      </c>
      <c r="I94" s="102">
        <v>83.45</v>
      </c>
      <c r="J94" s="102">
        <v>0</v>
      </c>
      <c r="K94" s="102">
        <v>83.45</v>
      </c>
      <c r="L94" s="102">
        <v>0</v>
      </c>
    </row>
    <row r="95" spans="1:12" x14ac:dyDescent="0.25">
      <c r="A95" s="100" t="s">
        <v>463</v>
      </c>
      <c r="B95" s="101" t="s">
        <v>464</v>
      </c>
      <c r="C95" s="102">
        <v>0</v>
      </c>
      <c r="D95" s="102">
        <v>0</v>
      </c>
      <c r="E95" s="102">
        <v>0</v>
      </c>
      <c r="F95" s="102">
        <v>0</v>
      </c>
      <c r="G95" s="102">
        <v>1856.86</v>
      </c>
      <c r="H95" s="102">
        <v>0</v>
      </c>
      <c r="I95" s="102">
        <v>1856.86</v>
      </c>
      <c r="J95" s="102">
        <v>0</v>
      </c>
      <c r="K95" s="102">
        <v>1856.86</v>
      </c>
      <c r="L95" s="102">
        <v>0</v>
      </c>
    </row>
    <row r="96" spans="1:12" x14ac:dyDescent="0.25">
      <c r="A96" s="100" t="s">
        <v>465</v>
      </c>
      <c r="B96" s="101" t="s">
        <v>466</v>
      </c>
      <c r="C96" s="102">
        <v>0</v>
      </c>
      <c r="D96" s="102">
        <v>0</v>
      </c>
      <c r="E96" s="102">
        <v>0</v>
      </c>
      <c r="F96" s="102">
        <v>0</v>
      </c>
      <c r="G96" s="102">
        <v>290.72000000000003</v>
      </c>
      <c r="H96" s="102">
        <v>0</v>
      </c>
      <c r="I96" s="102">
        <v>290.72000000000003</v>
      </c>
      <c r="J96" s="102">
        <v>0</v>
      </c>
      <c r="K96" s="102">
        <v>290.72000000000003</v>
      </c>
      <c r="L96" s="102">
        <v>0</v>
      </c>
    </row>
    <row r="97" spans="1:12" x14ac:dyDescent="0.25">
      <c r="A97" s="100" t="s">
        <v>467</v>
      </c>
      <c r="B97" s="101" t="s">
        <v>468</v>
      </c>
      <c r="C97" s="102">
        <v>0</v>
      </c>
      <c r="D97" s="102">
        <v>0</v>
      </c>
      <c r="E97" s="102">
        <v>0</v>
      </c>
      <c r="F97" s="102">
        <v>0</v>
      </c>
      <c r="G97" s="102">
        <v>86.83</v>
      </c>
      <c r="H97" s="102">
        <v>0</v>
      </c>
      <c r="I97" s="102">
        <v>86.83</v>
      </c>
      <c r="J97" s="102">
        <v>0</v>
      </c>
      <c r="K97" s="102">
        <v>86.83</v>
      </c>
      <c r="L97" s="102">
        <v>0</v>
      </c>
    </row>
    <row r="98" spans="1:12" x14ac:dyDescent="0.25">
      <c r="A98" s="100" t="s">
        <v>469</v>
      </c>
      <c r="B98" s="101" t="s">
        <v>470</v>
      </c>
      <c r="C98" s="102">
        <v>0</v>
      </c>
      <c r="D98" s="102">
        <v>0</v>
      </c>
      <c r="E98" s="102">
        <v>0</v>
      </c>
      <c r="F98" s="102">
        <v>0</v>
      </c>
      <c r="G98" s="102">
        <v>492.08</v>
      </c>
      <c r="H98" s="102">
        <v>0</v>
      </c>
      <c r="I98" s="102">
        <v>492.08</v>
      </c>
      <c r="J98" s="102">
        <v>0</v>
      </c>
      <c r="K98" s="102">
        <v>492.08</v>
      </c>
      <c r="L98" s="102">
        <v>0</v>
      </c>
    </row>
    <row r="99" spans="1:12" x14ac:dyDescent="0.25">
      <c r="A99" s="100" t="s">
        <v>471</v>
      </c>
      <c r="B99" s="101" t="s">
        <v>472</v>
      </c>
      <c r="C99" s="102">
        <v>0</v>
      </c>
      <c r="D99" s="102">
        <v>0</v>
      </c>
      <c r="E99" s="102">
        <v>0</v>
      </c>
      <c r="F99" s="102">
        <v>0</v>
      </c>
      <c r="G99" s="102">
        <v>1971.48</v>
      </c>
      <c r="H99" s="102">
        <v>33.24</v>
      </c>
      <c r="I99" s="102">
        <v>1971.48</v>
      </c>
      <c r="J99" s="102">
        <v>33.24</v>
      </c>
      <c r="K99" s="102">
        <v>1938.24</v>
      </c>
      <c r="L99" s="102">
        <v>0</v>
      </c>
    </row>
    <row r="100" spans="1:12" x14ac:dyDescent="0.25">
      <c r="A100" s="100" t="s">
        <v>475</v>
      </c>
      <c r="B100" s="101" t="s">
        <v>476</v>
      </c>
      <c r="C100" s="102">
        <v>0</v>
      </c>
      <c r="D100" s="102">
        <v>0</v>
      </c>
      <c r="E100" s="102">
        <v>0</v>
      </c>
      <c r="F100" s="102">
        <v>0</v>
      </c>
      <c r="G100" s="102">
        <v>33.4</v>
      </c>
      <c r="H100" s="102">
        <v>0</v>
      </c>
      <c r="I100" s="102">
        <v>33.4</v>
      </c>
      <c r="J100" s="102">
        <v>0</v>
      </c>
      <c r="K100" s="102">
        <v>33.4</v>
      </c>
      <c r="L100" s="102">
        <v>0</v>
      </c>
    </row>
    <row r="101" spans="1:12" x14ac:dyDescent="0.25">
      <c r="A101" s="100" t="s">
        <v>477</v>
      </c>
      <c r="B101" s="101" t="s">
        <v>478</v>
      </c>
      <c r="C101" s="102">
        <v>0</v>
      </c>
      <c r="D101" s="102">
        <v>0</v>
      </c>
      <c r="E101" s="102">
        <v>0</v>
      </c>
      <c r="F101" s="102">
        <v>0</v>
      </c>
      <c r="G101" s="102">
        <v>352.59</v>
      </c>
      <c r="H101" s="102">
        <v>0</v>
      </c>
      <c r="I101" s="102">
        <v>352.59</v>
      </c>
      <c r="J101" s="102">
        <v>0</v>
      </c>
      <c r="K101" s="102">
        <v>352.59</v>
      </c>
      <c r="L101" s="102">
        <v>0</v>
      </c>
    </row>
    <row r="102" spans="1:12" x14ac:dyDescent="0.25">
      <c r="A102" s="100" t="s">
        <v>479</v>
      </c>
      <c r="B102" s="101" t="s">
        <v>480</v>
      </c>
      <c r="C102" s="102">
        <v>0</v>
      </c>
      <c r="D102" s="102">
        <v>0</v>
      </c>
      <c r="E102" s="102">
        <v>0</v>
      </c>
      <c r="F102" s="102">
        <v>0</v>
      </c>
      <c r="G102" s="102">
        <v>150</v>
      </c>
      <c r="H102" s="102">
        <v>0</v>
      </c>
      <c r="I102" s="102">
        <v>150</v>
      </c>
      <c r="J102" s="102">
        <v>0</v>
      </c>
      <c r="K102" s="102">
        <v>150</v>
      </c>
      <c r="L102" s="102">
        <v>0</v>
      </c>
    </row>
    <row r="103" spans="1:12" x14ac:dyDescent="0.25">
      <c r="A103" s="100" t="s">
        <v>485</v>
      </c>
      <c r="B103" s="101" t="s">
        <v>486</v>
      </c>
      <c r="C103" s="102">
        <v>0</v>
      </c>
      <c r="D103" s="102">
        <v>0</v>
      </c>
      <c r="E103" s="102">
        <v>0</v>
      </c>
      <c r="F103" s="102">
        <v>0</v>
      </c>
      <c r="G103" s="102">
        <v>1815.61</v>
      </c>
      <c r="H103" s="102">
        <v>0</v>
      </c>
      <c r="I103" s="102">
        <v>1815.61</v>
      </c>
      <c r="J103" s="102">
        <v>0</v>
      </c>
      <c r="K103" s="102">
        <v>1815.61</v>
      </c>
      <c r="L103" s="102">
        <v>0</v>
      </c>
    </row>
    <row r="104" spans="1:12" x14ac:dyDescent="0.25">
      <c r="A104" s="100" t="s">
        <v>487</v>
      </c>
      <c r="B104" s="101" t="s">
        <v>488</v>
      </c>
      <c r="C104" s="102">
        <v>0</v>
      </c>
      <c r="D104" s="102">
        <v>0</v>
      </c>
      <c r="E104" s="102">
        <v>0</v>
      </c>
      <c r="F104" s="102">
        <v>0</v>
      </c>
      <c r="G104" s="102">
        <v>120</v>
      </c>
      <c r="H104" s="102">
        <v>0</v>
      </c>
      <c r="I104" s="102">
        <v>120</v>
      </c>
      <c r="J104" s="102">
        <v>0</v>
      </c>
      <c r="K104" s="102">
        <v>120</v>
      </c>
      <c r="L104" s="102">
        <v>0</v>
      </c>
    </row>
    <row r="105" spans="1:12" x14ac:dyDescent="0.25">
      <c r="A105" s="100" t="s">
        <v>489</v>
      </c>
      <c r="B105" s="101" t="s">
        <v>490</v>
      </c>
      <c r="C105" s="102">
        <v>0</v>
      </c>
      <c r="D105" s="102">
        <v>0</v>
      </c>
      <c r="E105" s="102">
        <v>0</v>
      </c>
      <c r="F105" s="102">
        <v>0</v>
      </c>
      <c r="G105" s="102">
        <v>82472.02</v>
      </c>
      <c r="H105" s="102">
        <v>0</v>
      </c>
      <c r="I105" s="102">
        <v>82472.02</v>
      </c>
      <c r="J105" s="102">
        <v>0</v>
      </c>
      <c r="K105" s="102">
        <v>82472.02</v>
      </c>
      <c r="L105" s="102">
        <v>0</v>
      </c>
    </row>
    <row r="106" spans="1:12" x14ac:dyDescent="0.25">
      <c r="A106" s="100" t="s">
        <v>491</v>
      </c>
      <c r="B106" s="101" t="s">
        <v>492</v>
      </c>
      <c r="C106" s="102">
        <v>0</v>
      </c>
      <c r="D106" s="102">
        <v>0</v>
      </c>
      <c r="E106" s="102">
        <v>0</v>
      </c>
      <c r="F106" s="102">
        <v>0</v>
      </c>
      <c r="G106" s="102">
        <v>92552.49</v>
      </c>
      <c r="H106" s="102">
        <v>0</v>
      </c>
      <c r="I106" s="102">
        <v>92552.49</v>
      </c>
      <c r="J106" s="102">
        <v>0</v>
      </c>
      <c r="K106" s="102">
        <v>92552.49</v>
      </c>
      <c r="L106" s="102">
        <v>0</v>
      </c>
    </row>
    <row r="107" spans="1:12" x14ac:dyDescent="0.25">
      <c r="A107" s="100" t="s">
        <v>746</v>
      </c>
      <c r="B107" s="101" t="s">
        <v>747</v>
      </c>
      <c r="C107" s="102">
        <v>0</v>
      </c>
      <c r="D107" s="102">
        <v>0</v>
      </c>
      <c r="E107" s="102">
        <v>0</v>
      </c>
      <c r="F107" s="102">
        <v>0</v>
      </c>
      <c r="G107" s="102">
        <v>-6786.2</v>
      </c>
      <c r="H107" s="102">
        <v>0</v>
      </c>
      <c r="I107" s="102">
        <v>-6786.2</v>
      </c>
      <c r="J107" s="102">
        <v>0</v>
      </c>
      <c r="K107" s="102">
        <v>-6786.2</v>
      </c>
      <c r="L107" s="102">
        <v>0</v>
      </c>
    </row>
    <row r="108" spans="1:12" x14ac:dyDescent="0.25">
      <c r="A108" s="100" t="s">
        <v>748</v>
      </c>
      <c r="B108" s="101" t="s">
        <v>749</v>
      </c>
      <c r="C108" s="102">
        <v>0</v>
      </c>
      <c r="D108" s="102">
        <v>0</v>
      </c>
      <c r="E108" s="102">
        <v>0</v>
      </c>
      <c r="F108" s="102">
        <v>0</v>
      </c>
      <c r="G108" s="102">
        <v>-666.91</v>
      </c>
      <c r="H108" s="102">
        <v>0</v>
      </c>
      <c r="I108" s="102">
        <v>-666.91</v>
      </c>
      <c r="J108" s="102">
        <v>0</v>
      </c>
      <c r="K108" s="102">
        <v>-666.91</v>
      </c>
      <c r="L108" s="102">
        <v>0</v>
      </c>
    </row>
    <row r="109" spans="1:12" x14ac:dyDescent="0.25">
      <c r="A109" s="100" t="s">
        <v>750</v>
      </c>
      <c r="B109" s="101" t="s">
        <v>751</v>
      </c>
      <c r="C109" s="102">
        <v>0</v>
      </c>
      <c r="D109" s="102">
        <v>0</v>
      </c>
      <c r="E109" s="102">
        <v>0</v>
      </c>
      <c r="F109" s="102">
        <v>0</v>
      </c>
      <c r="G109" s="102">
        <v>-1808.43</v>
      </c>
      <c r="H109" s="102">
        <v>0</v>
      </c>
      <c r="I109" s="102">
        <v>-1808.43</v>
      </c>
      <c r="J109" s="102">
        <v>0</v>
      </c>
      <c r="K109" s="102">
        <v>-1808.43</v>
      </c>
      <c r="L109" s="102">
        <v>0</v>
      </c>
    </row>
    <row r="110" spans="1:12" x14ac:dyDescent="0.25">
      <c r="A110" s="100" t="s">
        <v>511</v>
      </c>
      <c r="B110" s="101" t="s">
        <v>512</v>
      </c>
      <c r="C110" s="102">
        <v>0</v>
      </c>
      <c r="D110" s="102">
        <v>0</v>
      </c>
      <c r="E110" s="102">
        <v>0</v>
      </c>
      <c r="F110" s="102">
        <v>0</v>
      </c>
      <c r="G110" s="102">
        <v>21.3</v>
      </c>
      <c r="H110" s="102">
        <v>0</v>
      </c>
      <c r="I110" s="102">
        <v>21.3</v>
      </c>
      <c r="J110" s="102">
        <v>0</v>
      </c>
      <c r="K110" s="102">
        <v>21.3</v>
      </c>
      <c r="L110" s="102">
        <v>0</v>
      </c>
    </row>
    <row r="111" spans="1:12" x14ac:dyDescent="0.25">
      <c r="A111" s="100" t="s">
        <v>513</v>
      </c>
      <c r="B111" s="101" t="s">
        <v>514</v>
      </c>
      <c r="C111" s="102">
        <v>0</v>
      </c>
      <c r="D111" s="102">
        <v>0</v>
      </c>
      <c r="E111" s="102">
        <v>0</v>
      </c>
      <c r="F111" s="102">
        <v>0</v>
      </c>
      <c r="G111" s="102">
        <v>378.15</v>
      </c>
      <c r="H111" s="102">
        <v>254.96</v>
      </c>
      <c r="I111" s="102">
        <v>378.15</v>
      </c>
      <c r="J111" s="102">
        <v>254.96</v>
      </c>
      <c r="K111" s="102">
        <v>123.19</v>
      </c>
      <c r="L111" s="102">
        <v>0</v>
      </c>
    </row>
    <row r="112" spans="1:12" x14ac:dyDescent="0.25">
      <c r="A112" s="100" t="s">
        <v>515</v>
      </c>
      <c r="B112" s="101" t="s">
        <v>516</v>
      </c>
      <c r="C112" s="102">
        <v>0</v>
      </c>
      <c r="D112" s="102">
        <v>0</v>
      </c>
      <c r="E112" s="102">
        <v>0</v>
      </c>
      <c r="F112" s="102">
        <v>0</v>
      </c>
      <c r="G112" s="102">
        <v>1031.83</v>
      </c>
      <c r="H112" s="102">
        <v>739.04</v>
      </c>
      <c r="I112" s="102">
        <v>1031.83</v>
      </c>
      <c r="J112" s="102">
        <v>739.04</v>
      </c>
      <c r="K112" s="102">
        <v>292.79000000000002</v>
      </c>
      <c r="L112" s="102">
        <v>0</v>
      </c>
    </row>
    <row r="113" spans="1:12" x14ac:dyDescent="0.25">
      <c r="A113" s="100" t="s">
        <v>752</v>
      </c>
      <c r="B113" s="101" t="s">
        <v>753</v>
      </c>
      <c r="C113" s="102">
        <v>0</v>
      </c>
      <c r="D113" s="102">
        <v>0</v>
      </c>
      <c r="E113" s="102">
        <v>0</v>
      </c>
      <c r="F113" s="102">
        <v>0</v>
      </c>
      <c r="G113" s="102">
        <v>281.98</v>
      </c>
      <c r="H113" s="102">
        <v>0</v>
      </c>
      <c r="I113" s="102">
        <v>281.98</v>
      </c>
      <c r="J113" s="102">
        <v>0</v>
      </c>
      <c r="K113" s="102">
        <v>281.98</v>
      </c>
      <c r="L113" s="102">
        <v>0</v>
      </c>
    </row>
    <row r="114" spans="1:12" x14ac:dyDescent="0.25">
      <c r="A114" s="100" t="s">
        <v>519</v>
      </c>
      <c r="B114" s="101" t="s">
        <v>520</v>
      </c>
      <c r="C114" s="102">
        <v>0</v>
      </c>
      <c r="D114" s="102">
        <v>0</v>
      </c>
      <c r="E114" s="102">
        <v>0</v>
      </c>
      <c r="F114" s="102">
        <v>0</v>
      </c>
      <c r="G114" s="102">
        <v>1.49</v>
      </c>
      <c r="H114" s="102">
        <v>0</v>
      </c>
      <c r="I114" s="102">
        <v>1.49</v>
      </c>
      <c r="J114" s="102">
        <v>0</v>
      </c>
      <c r="K114" s="102">
        <v>1.49</v>
      </c>
      <c r="L114" s="102">
        <v>0</v>
      </c>
    </row>
    <row r="115" spans="1:12" x14ac:dyDescent="0.25">
      <c r="A115" s="100" t="s">
        <v>521</v>
      </c>
      <c r="B115" s="101" t="s">
        <v>522</v>
      </c>
      <c r="C115" s="102">
        <v>0</v>
      </c>
      <c r="D115" s="102">
        <v>0</v>
      </c>
      <c r="E115" s="102">
        <v>0</v>
      </c>
      <c r="F115" s="102">
        <v>0</v>
      </c>
      <c r="G115" s="102">
        <v>94.57</v>
      </c>
      <c r="H115" s="102">
        <v>0</v>
      </c>
      <c r="I115" s="102">
        <v>94.57</v>
      </c>
      <c r="J115" s="102">
        <v>0</v>
      </c>
      <c r="K115" s="102">
        <v>94.57</v>
      </c>
      <c r="L115" s="102">
        <v>0</v>
      </c>
    </row>
    <row r="116" spans="1:12" x14ac:dyDescent="0.25">
      <c r="A116" s="100" t="s">
        <v>525</v>
      </c>
      <c r="B116" s="101" t="s">
        <v>526</v>
      </c>
      <c r="C116" s="102">
        <v>0</v>
      </c>
      <c r="D116" s="102">
        <v>0</v>
      </c>
      <c r="E116" s="102">
        <v>0</v>
      </c>
      <c r="F116" s="102">
        <v>0</v>
      </c>
      <c r="G116" s="102">
        <v>324</v>
      </c>
      <c r="H116" s="102">
        <v>0</v>
      </c>
      <c r="I116" s="102">
        <v>324</v>
      </c>
      <c r="J116" s="102">
        <v>0</v>
      </c>
      <c r="K116" s="102">
        <v>324</v>
      </c>
      <c r="L116" s="102">
        <v>0</v>
      </c>
    </row>
    <row r="117" spans="1:12" x14ac:dyDescent="0.25">
      <c r="A117" s="100" t="s">
        <v>527</v>
      </c>
      <c r="B117" s="101" t="s">
        <v>528</v>
      </c>
      <c r="C117" s="102">
        <v>0</v>
      </c>
      <c r="D117" s="102">
        <v>0</v>
      </c>
      <c r="E117" s="102">
        <v>0</v>
      </c>
      <c r="F117" s="102">
        <v>0</v>
      </c>
      <c r="G117" s="102">
        <v>176.55</v>
      </c>
      <c r="H117" s="102">
        <v>0</v>
      </c>
      <c r="I117" s="102">
        <v>176.55</v>
      </c>
      <c r="J117" s="102">
        <v>0</v>
      </c>
      <c r="K117" s="102">
        <v>176.55</v>
      </c>
      <c r="L117" s="102">
        <v>0</v>
      </c>
    </row>
    <row r="118" spans="1:12" x14ac:dyDescent="0.25">
      <c r="A118" s="100" t="s">
        <v>529</v>
      </c>
      <c r="B118" s="101" t="s">
        <v>530</v>
      </c>
      <c r="C118" s="102">
        <v>0</v>
      </c>
      <c r="D118" s="102">
        <v>0</v>
      </c>
      <c r="E118" s="102">
        <v>0</v>
      </c>
      <c r="F118" s="102">
        <v>0</v>
      </c>
      <c r="G118" s="102">
        <v>65.900000000000006</v>
      </c>
      <c r="H118" s="102">
        <v>0</v>
      </c>
      <c r="I118" s="102">
        <v>65.900000000000006</v>
      </c>
      <c r="J118" s="102">
        <v>0</v>
      </c>
      <c r="K118" s="102">
        <v>65.900000000000006</v>
      </c>
      <c r="L118" s="102">
        <v>0</v>
      </c>
    </row>
    <row r="119" spans="1:12" x14ac:dyDescent="0.25">
      <c r="A119" s="100" t="s">
        <v>754</v>
      </c>
      <c r="B119" s="101" t="s">
        <v>755</v>
      </c>
      <c r="C119" s="102">
        <v>0</v>
      </c>
      <c r="D119" s="102">
        <v>0</v>
      </c>
      <c r="E119" s="102">
        <v>0</v>
      </c>
      <c r="F119" s="102">
        <v>0</v>
      </c>
      <c r="G119" s="102">
        <v>6625.01</v>
      </c>
      <c r="H119" s="102">
        <v>0</v>
      </c>
      <c r="I119" s="102">
        <v>6625.01</v>
      </c>
      <c r="J119" s="102">
        <v>0</v>
      </c>
      <c r="K119" s="102">
        <v>6625.01</v>
      </c>
      <c r="L119" s="102">
        <v>0</v>
      </c>
    </row>
    <row r="120" spans="1:12" x14ac:dyDescent="0.25">
      <c r="A120" s="100" t="s">
        <v>756</v>
      </c>
      <c r="B120" s="101" t="s">
        <v>757</v>
      </c>
      <c r="C120" s="102">
        <v>0</v>
      </c>
      <c r="D120" s="102">
        <v>0</v>
      </c>
      <c r="E120" s="102">
        <v>0</v>
      </c>
      <c r="F120" s="102">
        <v>0</v>
      </c>
      <c r="G120" s="102">
        <v>4290.4799999999996</v>
      </c>
      <c r="H120" s="102">
        <v>0</v>
      </c>
      <c r="I120" s="102">
        <v>4290.4799999999996</v>
      </c>
      <c r="J120" s="102">
        <v>0</v>
      </c>
      <c r="K120" s="102">
        <v>4290.4799999999996</v>
      </c>
      <c r="L120" s="102">
        <v>0</v>
      </c>
    </row>
    <row r="121" spans="1:12" x14ac:dyDescent="0.25">
      <c r="A121" s="100" t="s">
        <v>535</v>
      </c>
      <c r="B121" s="101" t="s">
        <v>536</v>
      </c>
      <c r="C121" s="102">
        <v>0</v>
      </c>
      <c r="D121" s="102">
        <v>0</v>
      </c>
      <c r="E121" s="102">
        <v>0</v>
      </c>
      <c r="F121" s="102">
        <v>0</v>
      </c>
      <c r="G121" s="102">
        <v>981.68</v>
      </c>
      <c r="H121" s="102">
        <v>0</v>
      </c>
      <c r="I121" s="102">
        <v>981.68</v>
      </c>
      <c r="J121" s="102">
        <v>0</v>
      </c>
      <c r="K121" s="102">
        <v>981.68</v>
      </c>
      <c r="L121" s="102">
        <v>0</v>
      </c>
    </row>
    <row r="122" spans="1:12" x14ac:dyDescent="0.25">
      <c r="A122" s="100" t="s">
        <v>758</v>
      </c>
      <c r="B122" s="101" t="s">
        <v>759</v>
      </c>
      <c r="C122" s="102">
        <v>0</v>
      </c>
      <c r="D122" s="102">
        <v>0</v>
      </c>
      <c r="E122" s="102">
        <v>0</v>
      </c>
      <c r="F122" s="102">
        <v>0</v>
      </c>
      <c r="G122" s="102">
        <v>16.93</v>
      </c>
      <c r="H122" s="102">
        <v>0</v>
      </c>
      <c r="I122" s="102">
        <v>16.93</v>
      </c>
      <c r="J122" s="102">
        <v>0</v>
      </c>
      <c r="K122" s="102">
        <v>16.93</v>
      </c>
      <c r="L122" s="102">
        <v>0</v>
      </c>
    </row>
    <row r="123" spans="1:12" x14ac:dyDescent="0.25">
      <c r="A123" s="100" t="s">
        <v>539</v>
      </c>
      <c r="B123" s="101" t="s">
        <v>540</v>
      </c>
      <c r="C123" s="102">
        <v>0</v>
      </c>
      <c r="D123" s="102">
        <v>0</v>
      </c>
      <c r="E123" s="102">
        <v>0</v>
      </c>
      <c r="F123" s="102">
        <v>0</v>
      </c>
      <c r="G123" s="102">
        <v>23.84</v>
      </c>
      <c r="H123" s="102">
        <v>0</v>
      </c>
      <c r="I123" s="102">
        <v>23.84</v>
      </c>
      <c r="J123" s="102">
        <v>0</v>
      </c>
      <c r="K123" s="102">
        <v>23.84</v>
      </c>
      <c r="L123" s="102">
        <v>0</v>
      </c>
    </row>
    <row r="124" spans="1:12" x14ac:dyDescent="0.25">
      <c r="A124" s="100" t="s">
        <v>760</v>
      </c>
      <c r="B124" s="101" t="s">
        <v>761</v>
      </c>
      <c r="C124" s="102">
        <v>0</v>
      </c>
      <c r="D124" s="102">
        <v>0</v>
      </c>
      <c r="E124" s="102">
        <v>0</v>
      </c>
      <c r="F124" s="102">
        <v>0</v>
      </c>
      <c r="G124" s="102">
        <v>163.80000000000001</v>
      </c>
      <c r="H124" s="102">
        <v>0</v>
      </c>
      <c r="I124" s="102">
        <v>163.80000000000001</v>
      </c>
      <c r="J124" s="102">
        <v>0</v>
      </c>
      <c r="K124" s="102">
        <v>163.80000000000001</v>
      </c>
      <c r="L124" s="102">
        <v>0</v>
      </c>
    </row>
    <row r="125" spans="1:12" x14ac:dyDescent="0.25">
      <c r="A125" s="100" t="s">
        <v>541</v>
      </c>
      <c r="B125" s="101" t="s">
        <v>542</v>
      </c>
      <c r="C125" s="102">
        <v>0</v>
      </c>
      <c r="D125" s="102">
        <v>0</v>
      </c>
      <c r="E125" s="102">
        <v>0</v>
      </c>
      <c r="F125" s="102">
        <v>0</v>
      </c>
      <c r="G125" s="102">
        <v>26400</v>
      </c>
      <c r="H125" s="102">
        <v>0</v>
      </c>
      <c r="I125" s="102">
        <v>26400</v>
      </c>
      <c r="J125" s="102">
        <v>0</v>
      </c>
      <c r="K125" s="102">
        <v>26400</v>
      </c>
      <c r="L125" s="102">
        <v>0</v>
      </c>
    </row>
    <row r="126" spans="1:12" x14ac:dyDescent="0.25">
      <c r="A126" s="100" t="s">
        <v>543</v>
      </c>
      <c r="B126" s="101" t="s">
        <v>544</v>
      </c>
      <c r="C126" s="102">
        <v>0</v>
      </c>
      <c r="D126" s="102">
        <v>0</v>
      </c>
      <c r="E126" s="102">
        <v>0</v>
      </c>
      <c r="F126" s="102">
        <v>0</v>
      </c>
      <c r="G126" s="102">
        <v>5606.5</v>
      </c>
      <c r="H126" s="102">
        <v>100</v>
      </c>
      <c r="I126" s="102">
        <v>5606.5</v>
      </c>
      <c r="J126" s="102">
        <v>100</v>
      </c>
      <c r="K126" s="102">
        <v>5506.5</v>
      </c>
      <c r="L126" s="102">
        <v>0</v>
      </c>
    </row>
    <row r="127" spans="1:12" x14ac:dyDescent="0.25">
      <c r="A127" s="100" t="s">
        <v>762</v>
      </c>
      <c r="B127" s="101" t="s">
        <v>763</v>
      </c>
      <c r="C127" s="102">
        <v>0</v>
      </c>
      <c r="D127" s="102">
        <v>0</v>
      </c>
      <c r="E127" s="102">
        <v>0</v>
      </c>
      <c r="F127" s="102">
        <v>0</v>
      </c>
      <c r="G127" s="102">
        <v>68.680000000000007</v>
      </c>
      <c r="H127" s="102">
        <v>0</v>
      </c>
      <c r="I127" s="102">
        <v>68.680000000000007</v>
      </c>
      <c r="J127" s="102">
        <v>0</v>
      </c>
      <c r="K127" s="102">
        <v>68.680000000000007</v>
      </c>
      <c r="L127" s="102">
        <v>0</v>
      </c>
    </row>
    <row r="128" spans="1:12" x14ac:dyDescent="0.25">
      <c r="A128" s="100" t="s">
        <v>551</v>
      </c>
      <c r="B128" s="101" t="s">
        <v>552</v>
      </c>
      <c r="C128" s="102">
        <v>0</v>
      </c>
      <c r="D128" s="102">
        <v>0</v>
      </c>
      <c r="E128" s="102">
        <v>0</v>
      </c>
      <c r="F128" s="102">
        <v>0</v>
      </c>
      <c r="G128" s="102">
        <v>159.43</v>
      </c>
      <c r="H128" s="102">
        <v>0</v>
      </c>
      <c r="I128" s="102">
        <v>159.43</v>
      </c>
      <c r="J128" s="102">
        <v>0</v>
      </c>
      <c r="K128" s="102">
        <v>159.43</v>
      </c>
      <c r="L128" s="102">
        <v>0</v>
      </c>
    </row>
    <row r="129" spans="1:12" x14ac:dyDescent="0.25">
      <c r="A129" s="100" t="s">
        <v>553</v>
      </c>
      <c r="B129" s="101" t="s">
        <v>554</v>
      </c>
      <c r="C129" s="102">
        <v>0</v>
      </c>
      <c r="D129" s="102">
        <v>0</v>
      </c>
      <c r="E129" s="102">
        <v>0</v>
      </c>
      <c r="F129" s="102">
        <v>0</v>
      </c>
      <c r="G129" s="102">
        <v>80</v>
      </c>
      <c r="H129" s="102">
        <v>0</v>
      </c>
      <c r="I129" s="102">
        <v>80</v>
      </c>
      <c r="J129" s="102">
        <v>0</v>
      </c>
      <c r="K129" s="102">
        <v>80</v>
      </c>
      <c r="L129" s="102">
        <v>0</v>
      </c>
    </row>
    <row r="130" spans="1:12" x14ac:dyDescent="0.25">
      <c r="A130" s="100" t="s">
        <v>555</v>
      </c>
      <c r="B130" s="101" t="s">
        <v>556</v>
      </c>
      <c r="C130" s="102">
        <v>0</v>
      </c>
      <c r="D130" s="102">
        <v>0</v>
      </c>
      <c r="E130" s="102">
        <v>0</v>
      </c>
      <c r="F130" s="102">
        <v>0</v>
      </c>
      <c r="G130" s="102">
        <v>179.12</v>
      </c>
      <c r="H130" s="102">
        <v>0</v>
      </c>
      <c r="I130" s="102">
        <v>179.12</v>
      </c>
      <c r="J130" s="102">
        <v>0</v>
      </c>
      <c r="K130" s="102">
        <v>179.12</v>
      </c>
      <c r="L130" s="102">
        <v>0</v>
      </c>
    </row>
    <row r="131" spans="1:12" x14ac:dyDescent="0.25">
      <c r="A131" s="100" t="s">
        <v>557</v>
      </c>
      <c r="B131" s="101" t="s">
        <v>558</v>
      </c>
      <c r="C131" s="102">
        <v>0</v>
      </c>
      <c r="D131" s="102">
        <v>0</v>
      </c>
      <c r="E131" s="102">
        <v>0</v>
      </c>
      <c r="F131" s="102">
        <v>0</v>
      </c>
      <c r="G131" s="102">
        <v>120</v>
      </c>
      <c r="H131" s="102">
        <v>0</v>
      </c>
      <c r="I131" s="102">
        <v>120</v>
      </c>
      <c r="J131" s="102">
        <v>0</v>
      </c>
      <c r="K131" s="102">
        <v>120</v>
      </c>
      <c r="L131" s="102">
        <v>0</v>
      </c>
    </row>
    <row r="132" spans="1:12" x14ac:dyDescent="0.25">
      <c r="A132" s="100" t="s">
        <v>764</v>
      </c>
      <c r="B132" s="101" t="s">
        <v>765</v>
      </c>
      <c r="C132" s="102">
        <v>0</v>
      </c>
      <c r="D132" s="102">
        <v>0</v>
      </c>
      <c r="E132" s="102">
        <v>0</v>
      </c>
      <c r="F132" s="102">
        <v>0</v>
      </c>
      <c r="G132" s="102">
        <v>54.9</v>
      </c>
      <c r="H132" s="102">
        <v>0</v>
      </c>
      <c r="I132" s="102">
        <v>54.9</v>
      </c>
      <c r="J132" s="102">
        <v>0</v>
      </c>
      <c r="K132" s="102">
        <v>54.9</v>
      </c>
      <c r="L132" s="102">
        <v>0</v>
      </c>
    </row>
    <row r="133" spans="1:12" x14ac:dyDescent="0.25">
      <c r="A133" s="100" t="s">
        <v>559</v>
      </c>
      <c r="B133" s="101" t="s">
        <v>560</v>
      </c>
      <c r="C133" s="102">
        <v>0</v>
      </c>
      <c r="D133" s="102">
        <v>0</v>
      </c>
      <c r="E133" s="102">
        <v>0</v>
      </c>
      <c r="F133" s="102">
        <v>0</v>
      </c>
      <c r="G133" s="102">
        <v>3622.18</v>
      </c>
      <c r="H133" s="102">
        <v>0</v>
      </c>
      <c r="I133" s="102">
        <v>3622.18</v>
      </c>
      <c r="J133" s="102">
        <v>0</v>
      </c>
      <c r="K133" s="102">
        <v>3622.18</v>
      </c>
      <c r="L133" s="102">
        <v>0</v>
      </c>
    </row>
    <row r="134" spans="1:12" x14ac:dyDescent="0.25">
      <c r="A134" s="100" t="s">
        <v>561</v>
      </c>
      <c r="B134" s="101" t="s">
        <v>562</v>
      </c>
      <c r="C134" s="102">
        <v>0</v>
      </c>
      <c r="D134" s="102">
        <v>0</v>
      </c>
      <c r="E134" s="102">
        <v>0</v>
      </c>
      <c r="F134" s="102">
        <v>0</v>
      </c>
      <c r="G134" s="102">
        <v>1848.67</v>
      </c>
      <c r="H134" s="102">
        <v>0</v>
      </c>
      <c r="I134" s="102">
        <v>1848.67</v>
      </c>
      <c r="J134" s="102">
        <v>0</v>
      </c>
      <c r="K134" s="102">
        <v>1848.67</v>
      </c>
      <c r="L134" s="102">
        <v>0</v>
      </c>
    </row>
    <row r="135" spans="1:12" x14ac:dyDescent="0.25">
      <c r="A135" s="100" t="s">
        <v>563</v>
      </c>
      <c r="B135" s="101" t="s">
        <v>564</v>
      </c>
      <c r="C135" s="102">
        <v>0</v>
      </c>
      <c r="D135" s="102">
        <v>0</v>
      </c>
      <c r="E135" s="102">
        <v>0</v>
      </c>
      <c r="F135" s="102">
        <v>0</v>
      </c>
      <c r="G135" s="102">
        <v>1885.08</v>
      </c>
      <c r="H135" s="102">
        <v>409.35</v>
      </c>
      <c r="I135" s="102">
        <v>1885.08</v>
      </c>
      <c r="J135" s="102">
        <v>409.35</v>
      </c>
      <c r="K135" s="102">
        <v>1475.73</v>
      </c>
      <c r="L135" s="102">
        <v>0</v>
      </c>
    </row>
    <row r="136" spans="1:12" x14ac:dyDescent="0.25">
      <c r="A136" s="100" t="s">
        <v>565</v>
      </c>
      <c r="B136" s="101" t="s">
        <v>566</v>
      </c>
      <c r="C136" s="102">
        <v>0</v>
      </c>
      <c r="D136" s="102">
        <v>0</v>
      </c>
      <c r="E136" s="102">
        <v>0</v>
      </c>
      <c r="F136" s="102">
        <v>0</v>
      </c>
      <c r="G136" s="102">
        <v>104</v>
      </c>
      <c r="H136" s="102">
        <v>0</v>
      </c>
      <c r="I136" s="102">
        <v>104</v>
      </c>
      <c r="J136" s="102">
        <v>0</v>
      </c>
      <c r="K136" s="102">
        <v>104</v>
      </c>
      <c r="L136" s="102">
        <v>0</v>
      </c>
    </row>
    <row r="137" spans="1:12" x14ac:dyDescent="0.25">
      <c r="A137" s="100" t="s">
        <v>567</v>
      </c>
      <c r="B137" s="101" t="s">
        <v>568</v>
      </c>
      <c r="C137" s="102">
        <v>0</v>
      </c>
      <c r="D137" s="102">
        <v>0</v>
      </c>
      <c r="E137" s="102">
        <v>0</v>
      </c>
      <c r="F137" s="102">
        <v>0</v>
      </c>
      <c r="G137" s="102">
        <v>136.25</v>
      </c>
      <c r="H137" s="102">
        <v>0</v>
      </c>
      <c r="I137" s="102">
        <v>136.25</v>
      </c>
      <c r="J137" s="102">
        <v>0</v>
      </c>
      <c r="K137" s="102">
        <v>136.25</v>
      </c>
      <c r="L137" s="102">
        <v>0</v>
      </c>
    </row>
    <row r="138" spans="1:12" x14ac:dyDescent="0.25">
      <c r="A138" s="100" t="s">
        <v>766</v>
      </c>
      <c r="B138" s="101" t="s">
        <v>767</v>
      </c>
      <c r="C138" s="102">
        <v>0</v>
      </c>
      <c r="D138" s="102">
        <v>0</v>
      </c>
      <c r="E138" s="102">
        <v>0</v>
      </c>
      <c r="F138" s="102">
        <v>0</v>
      </c>
      <c r="G138" s="102">
        <v>26.7</v>
      </c>
      <c r="H138" s="102">
        <v>0</v>
      </c>
      <c r="I138" s="102">
        <v>26.7</v>
      </c>
      <c r="J138" s="102">
        <v>0</v>
      </c>
      <c r="K138" s="102">
        <v>26.7</v>
      </c>
      <c r="L138" s="102">
        <v>0</v>
      </c>
    </row>
    <row r="139" spans="1:12" x14ac:dyDescent="0.25">
      <c r="A139" s="100" t="s">
        <v>569</v>
      </c>
      <c r="B139" s="101" t="s">
        <v>570</v>
      </c>
      <c r="C139" s="102">
        <v>0</v>
      </c>
      <c r="D139" s="102">
        <v>0</v>
      </c>
      <c r="E139" s="102">
        <v>0</v>
      </c>
      <c r="F139" s="102">
        <v>0</v>
      </c>
      <c r="G139" s="102">
        <v>125.35</v>
      </c>
      <c r="H139" s="102">
        <v>0</v>
      </c>
      <c r="I139" s="102">
        <v>125.35</v>
      </c>
      <c r="J139" s="102">
        <v>0</v>
      </c>
      <c r="K139" s="102">
        <v>125.35</v>
      </c>
      <c r="L139" s="102">
        <v>0</v>
      </c>
    </row>
    <row r="140" spans="1:12" x14ac:dyDescent="0.25">
      <c r="A140" s="100" t="s">
        <v>573</v>
      </c>
      <c r="B140" s="101" t="s">
        <v>574</v>
      </c>
      <c r="C140" s="102">
        <v>0</v>
      </c>
      <c r="D140" s="102">
        <v>0</v>
      </c>
      <c r="E140" s="102">
        <v>0</v>
      </c>
      <c r="F140" s="102">
        <v>0</v>
      </c>
      <c r="G140" s="102">
        <v>37870.68</v>
      </c>
      <c r="H140" s="102">
        <v>0</v>
      </c>
      <c r="I140" s="102">
        <v>37870.68</v>
      </c>
      <c r="J140" s="102">
        <v>0</v>
      </c>
      <c r="K140" s="102">
        <v>37870.68</v>
      </c>
      <c r="L140" s="102">
        <v>0</v>
      </c>
    </row>
    <row r="141" spans="1:12" x14ac:dyDescent="0.25">
      <c r="A141" s="100" t="s">
        <v>575</v>
      </c>
      <c r="B141" s="101" t="s">
        <v>576</v>
      </c>
      <c r="C141" s="102">
        <v>0</v>
      </c>
      <c r="D141" s="102">
        <v>0</v>
      </c>
      <c r="E141" s="102">
        <v>0</v>
      </c>
      <c r="F141" s="102">
        <v>0</v>
      </c>
      <c r="G141" s="102">
        <v>2206.0500000000002</v>
      </c>
      <c r="H141" s="102">
        <v>0</v>
      </c>
      <c r="I141" s="102">
        <v>2206.0500000000002</v>
      </c>
      <c r="J141" s="102">
        <v>0</v>
      </c>
      <c r="K141" s="102">
        <v>2206.0500000000002</v>
      </c>
      <c r="L141" s="102">
        <v>0</v>
      </c>
    </row>
    <row r="142" spans="1:12" x14ac:dyDescent="0.25">
      <c r="A142" s="100" t="s">
        <v>577</v>
      </c>
      <c r="B142" s="101" t="s">
        <v>578</v>
      </c>
      <c r="C142" s="102">
        <v>0</v>
      </c>
      <c r="D142" s="102">
        <v>0</v>
      </c>
      <c r="E142" s="102">
        <v>0</v>
      </c>
      <c r="F142" s="102">
        <v>0</v>
      </c>
      <c r="G142" s="102">
        <v>98</v>
      </c>
      <c r="H142" s="102">
        <v>0</v>
      </c>
      <c r="I142" s="102">
        <v>98</v>
      </c>
      <c r="J142" s="102">
        <v>0</v>
      </c>
      <c r="K142" s="102">
        <v>98</v>
      </c>
      <c r="L142" s="102">
        <v>0</v>
      </c>
    </row>
    <row r="143" spans="1:12" x14ac:dyDescent="0.25">
      <c r="A143" s="100" t="s">
        <v>579</v>
      </c>
      <c r="B143" s="101" t="s">
        <v>580</v>
      </c>
      <c r="C143" s="102">
        <v>0</v>
      </c>
      <c r="D143" s="102">
        <v>0</v>
      </c>
      <c r="E143" s="102">
        <v>0</v>
      </c>
      <c r="F143" s="102">
        <v>0</v>
      </c>
      <c r="G143" s="102">
        <v>148</v>
      </c>
      <c r="H143" s="102">
        <v>0</v>
      </c>
      <c r="I143" s="102">
        <v>148</v>
      </c>
      <c r="J143" s="102">
        <v>0</v>
      </c>
      <c r="K143" s="102">
        <v>148</v>
      </c>
      <c r="L143" s="102">
        <v>0</v>
      </c>
    </row>
    <row r="144" spans="1:12" x14ac:dyDescent="0.25">
      <c r="A144" s="100" t="s">
        <v>581</v>
      </c>
      <c r="B144" s="101" t="s">
        <v>582</v>
      </c>
      <c r="C144" s="102">
        <v>0</v>
      </c>
      <c r="D144" s="102">
        <v>0</v>
      </c>
      <c r="E144" s="102">
        <v>0</v>
      </c>
      <c r="F144" s="102">
        <v>0</v>
      </c>
      <c r="G144" s="102">
        <v>29.5</v>
      </c>
      <c r="H144" s="102">
        <v>0</v>
      </c>
      <c r="I144" s="102">
        <v>29.5</v>
      </c>
      <c r="J144" s="102">
        <v>0</v>
      </c>
      <c r="K144" s="102">
        <v>29.5</v>
      </c>
      <c r="L144" s="102">
        <v>0</v>
      </c>
    </row>
    <row r="145" spans="1:12" x14ac:dyDescent="0.25">
      <c r="A145" s="100" t="s">
        <v>583</v>
      </c>
      <c r="B145" s="101" t="s">
        <v>584</v>
      </c>
      <c r="C145" s="102">
        <v>0</v>
      </c>
      <c r="D145" s="102">
        <v>0</v>
      </c>
      <c r="E145" s="102">
        <v>0</v>
      </c>
      <c r="F145" s="102">
        <v>0</v>
      </c>
      <c r="G145" s="102">
        <v>9</v>
      </c>
      <c r="H145" s="102">
        <v>0</v>
      </c>
      <c r="I145" s="102">
        <v>9</v>
      </c>
      <c r="J145" s="102">
        <v>0</v>
      </c>
      <c r="K145" s="102">
        <v>9</v>
      </c>
      <c r="L145" s="102">
        <v>0</v>
      </c>
    </row>
    <row r="146" spans="1:12" x14ac:dyDescent="0.25">
      <c r="A146" s="100" t="s">
        <v>585</v>
      </c>
      <c r="B146" s="101" t="s">
        <v>586</v>
      </c>
      <c r="C146" s="102">
        <v>0</v>
      </c>
      <c r="D146" s="102">
        <v>0</v>
      </c>
      <c r="E146" s="102">
        <v>0</v>
      </c>
      <c r="F146" s="102">
        <v>0</v>
      </c>
      <c r="G146" s="102">
        <v>132</v>
      </c>
      <c r="H146" s="102">
        <v>0</v>
      </c>
      <c r="I146" s="102">
        <v>132</v>
      </c>
      <c r="J146" s="102">
        <v>0</v>
      </c>
      <c r="K146" s="102">
        <v>132</v>
      </c>
      <c r="L146" s="102">
        <v>0</v>
      </c>
    </row>
    <row r="147" spans="1:12" x14ac:dyDescent="0.25">
      <c r="A147" s="100" t="s">
        <v>589</v>
      </c>
      <c r="B147" s="101" t="s">
        <v>590</v>
      </c>
      <c r="C147" s="102">
        <v>0</v>
      </c>
      <c r="D147" s="102">
        <v>0</v>
      </c>
      <c r="E147" s="102">
        <v>0</v>
      </c>
      <c r="F147" s="102">
        <v>0</v>
      </c>
      <c r="G147" s="102">
        <v>1273</v>
      </c>
      <c r="H147" s="102">
        <v>0</v>
      </c>
      <c r="I147" s="102">
        <v>1273</v>
      </c>
      <c r="J147" s="102">
        <v>0</v>
      </c>
      <c r="K147" s="102">
        <v>1273</v>
      </c>
      <c r="L147" s="102">
        <v>0</v>
      </c>
    </row>
    <row r="148" spans="1:12" x14ac:dyDescent="0.25">
      <c r="A148" s="100" t="s">
        <v>768</v>
      </c>
      <c r="B148" s="101" t="s">
        <v>769</v>
      </c>
      <c r="C148" s="102">
        <v>0</v>
      </c>
      <c r="D148" s="102">
        <v>0</v>
      </c>
      <c r="E148" s="102">
        <v>0</v>
      </c>
      <c r="F148" s="102">
        <v>0</v>
      </c>
      <c r="G148" s="102">
        <v>342</v>
      </c>
      <c r="H148" s="102">
        <v>0</v>
      </c>
      <c r="I148" s="102">
        <v>342</v>
      </c>
      <c r="J148" s="102">
        <v>0</v>
      </c>
      <c r="K148" s="102">
        <v>342</v>
      </c>
      <c r="L148" s="102">
        <v>0</v>
      </c>
    </row>
    <row r="149" spans="1:12" x14ac:dyDescent="0.25">
      <c r="A149" s="100" t="s">
        <v>591</v>
      </c>
      <c r="B149" s="101" t="s">
        <v>592</v>
      </c>
      <c r="C149" s="102">
        <v>0</v>
      </c>
      <c r="D149" s="102">
        <v>0</v>
      </c>
      <c r="E149" s="102">
        <v>0</v>
      </c>
      <c r="F149" s="102">
        <v>0</v>
      </c>
      <c r="G149" s="102">
        <v>5364.74</v>
      </c>
      <c r="H149" s="102">
        <v>4945.47</v>
      </c>
      <c r="I149" s="102">
        <v>5364.74</v>
      </c>
      <c r="J149" s="102">
        <v>4945.47</v>
      </c>
      <c r="K149" s="102">
        <v>419.27</v>
      </c>
      <c r="L149" s="102">
        <v>0</v>
      </c>
    </row>
    <row r="150" spans="1:12" x14ac:dyDescent="0.25">
      <c r="A150" s="100" t="s">
        <v>595</v>
      </c>
      <c r="B150" s="101" t="s">
        <v>596</v>
      </c>
      <c r="C150" s="102">
        <v>0</v>
      </c>
      <c r="D150" s="102">
        <v>0</v>
      </c>
      <c r="E150" s="102">
        <v>0</v>
      </c>
      <c r="F150" s="102">
        <v>0</v>
      </c>
      <c r="G150" s="102">
        <v>4240.8</v>
      </c>
      <c r="H150" s="102">
        <v>170</v>
      </c>
      <c r="I150" s="102">
        <v>4240.8</v>
      </c>
      <c r="J150" s="102">
        <v>170</v>
      </c>
      <c r="K150" s="102">
        <v>4070.8</v>
      </c>
      <c r="L150" s="102">
        <v>0</v>
      </c>
    </row>
    <row r="151" spans="1:12" x14ac:dyDescent="0.25">
      <c r="A151" s="100" t="s">
        <v>597</v>
      </c>
      <c r="B151" s="101" t="s">
        <v>598</v>
      </c>
      <c r="C151" s="102">
        <v>0</v>
      </c>
      <c r="D151" s="102">
        <v>0</v>
      </c>
      <c r="E151" s="102">
        <v>0</v>
      </c>
      <c r="F151" s="102">
        <v>0</v>
      </c>
      <c r="G151" s="102">
        <v>13225.14</v>
      </c>
      <c r="H151" s="102">
        <v>0</v>
      </c>
      <c r="I151" s="102">
        <v>13225.14</v>
      </c>
      <c r="J151" s="102">
        <v>0</v>
      </c>
      <c r="K151" s="102">
        <v>13225.14</v>
      </c>
      <c r="L151" s="102">
        <v>0</v>
      </c>
    </row>
    <row r="152" spans="1:12" x14ac:dyDescent="0.25">
      <c r="A152" s="100" t="s">
        <v>599</v>
      </c>
      <c r="B152" s="101" t="s">
        <v>600</v>
      </c>
      <c r="C152" s="102">
        <v>0</v>
      </c>
      <c r="D152" s="102">
        <v>0</v>
      </c>
      <c r="E152" s="102">
        <v>0</v>
      </c>
      <c r="F152" s="102">
        <v>0</v>
      </c>
      <c r="G152" s="102">
        <v>1888.34</v>
      </c>
      <c r="H152" s="102">
        <v>1740.79</v>
      </c>
      <c r="I152" s="102">
        <v>1888.34</v>
      </c>
      <c r="J152" s="102">
        <v>1740.79</v>
      </c>
      <c r="K152" s="102">
        <v>147.55000000000001</v>
      </c>
      <c r="L152" s="102">
        <v>0</v>
      </c>
    </row>
    <row r="153" spans="1:12" x14ac:dyDescent="0.25">
      <c r="A153" s="100" t="s">
        <v>603</v>
      </c>
      <c r="B153" s="101" t="s">
        <v>604</v>
      </c>
      <c r="C153" s="102">
        <v>0</v>
      </c>
      <c r="D153" s="102">
        <v>0</v>
      </c>
      <c r="E153" s="102">
        <v>0</v>
      </c>
      <c r="F153" s="102">
        <v>0</v>
      </c>
      <c r="G153" s="102">
        <v>1442.31</v>
      </c>
      <c r="H153" s="102">
        <v>58.45</v>
      </c>
      <c r="I153" s="102">
        <v>1442.31</v>
      </c>
      <c r="J153" s="102">
        <v>58.45</v>
      </c>
      <c r="K153" s="102">
        <v>1383.86</v>
      </c>
      <c r="L153" s="102">
        <v>0</v>
      </c>
    </row>
    <row r="154" spans="1:12" x14ac:dyDescent="0.25">
      <c r="A154" s="100" t="s">
        <v>605</v>
      </c>
      <c r="B154" s="101" t="s">
        <v>606</v>
      </c>
      <c r="C154" s="102">
        <v>0</v>
      </c>
      <c r="D154" s="102">
        <v>0</v>
      </c>
      <c r="E154" s="102">
        <v>0</v>
      </c>
      <c r="F154" s="102">
        <v>0</v>
      </c>
      <c r="G154" s="102">
        <v>229.73</v>
      </c>
      <c r="H154" s="102">
        <v>0</v>
      </c>
      <c r="I154" s="102">
        <v>229.73</v>
      </c>
      <c r="J154" s="102">
        <v>0</v>
      </c>
      <c r="K154" s="102">
        <v>229.73</v>
      </c>
      <c r="L154" s="102">
        <v>0</v>
      </c>
    </row>
    <row r="155" spans="1:12" x14ac:dyDescent="0.25">
      <c r="A155" s="100" t="s">
        <v>607</v>
      </c>
      <c r="B155" s="101" t="s">
        <v>608</v>
      </c>
      <c r="C155" s="102">
        <v>0</v>
      </c>
      <c r="D155" s="102">
        <v>0</v>
      </c>
      <c r="E155" s="102">
        <v>0</v>
      </c>
      <c r="F155" s="102">
        <v>0</v>
      </c>
      <c r="G155" s="102">
        <v>1086.54</v>
      </c>
      <c r="H155" s="102">
        <v>0</v>
      </c>
      <c r="I155" s="102">
        <v>1086.54</v>
      </c>
      <c r="J155" s="102">
        <v>0</v>
      </c>
      <c r="K155" s="102">
        <v>1086.54</v>
      </c>
      <c r="L155" s="102">
        <v>0</v>
      </c>
    </row>
    <row r="156" spans="1:12" x14ac:dyDescent="0.25">
      <c r="A156" s="100" t="s">
        <v>611</v>
      </c>
      <c r="B156" s="101" t="s">
        <v>612</v>
      </c>
      <c r="C156" s="102">
        <v>0</v>
      </c>
      <c r="D156" s="102">
        <v>0</v>
      </c>
      <c r="E156" s="102">
        <v>0</v>
      </c>
      <c r="F156" s="102">
        <v>0</v>
      </c>
      <c r="G156" s="102">
        <v>265.52999999999997</v>
      </c>
      <c r="H156" s="102">
        <v>0</v>
      </c>
      <c r="I156" s="102">
        <v>265.52999999999997</v>
      </c>
      <c r="J156" s="102">
        <v>0</v>
      </c>
      <c r="K156" s="102">
        <v>265.52999999999997</v>
      </c>
      <c r="L156" s="102">
        <v>0</v>
      </c>
    </row>
    <row r="157" spans="1:12" x14ac:dyDescent="0.25">
      <c r="A157" s="100" t="s">
        <v>770</v>
      </c>
      <c r="B157" s="101" t="s">
        <v>771</v>
      </c>
      <c r="C157" s="102">
        <v>0</v>
      </c>
      <c r="D157" s="102">
        <v>0</v>
      </c>
      <c r="E157" s="102">
        <v>0</v>
      </c>
      <c r="F157" s="102">
        <v>0</v>
      </c>
      <c r="G157" s="102">
        <v>26.5</v>
      </c>
      <c r="H157" s="102">
        <v>0</v>
      </c>
      <c r="I157" s="102">
        <v>26.5</v>
      </c>
      <c r="J157" s="102">
        <v>0</v>
      </c>
      <c r="K157" s="102">
        <v>26.5</v>
      </c>
      <c r="L157" s="102">
        <v>0</v>
      </c>
    </row>
    <row r="158" spans="1:12" x14ac:dyDescent="0.25">
      <c r="A158" s="100" t="s">
        <v>613</v>
      </c>
      <c r="B158" s="101" t="s">
        <v>413</v>
      </c>
      <c r="C158" s="102">
        <v>0</v>
      </c>
      <c r="D158" s="102">
        <v>0</v>
      </c>
      <c r="E158" s="102">
        <v>0</v>
      </c>
      <c r="F158" s="102">
        <v>0</v>
      </c>
      <c r="G158" s="102">
        <v>235.62</v>
      </c>
      <c r="H158" s="102">
        <v>0</v>
      </c>
      <c r="I158" s="102">
        <v>235.62</v>
      </c>
      <c r="J158" s="102">
        <v>0</v>
      </c>
      <c r="K158" s="102">
        <v>235.62</v>
      </c>
      <c r="L158" s="102">
        <v>0</v>
      </c>
    </row>
    <row r="159" spans="1:12" x14ac:dyDescent="0.25">
      <c r="A159" s="100" t="s">
        <v>614</v>
      </c>
      <c r="B159" s="101" t="s">
        <v>615</v>
      </c>
      <c r="C159" s="102">
        <v>0</v>
      </c>
      <c r="D159" s="102">
        <v>0</v>
      </c>
      <c r="E159" s="102">
        <v>0</v>
      </c>
      <c r="F159" s="102">
        <v>0</v>
      </c>
      <c r="G159" s="102">
        <v>514.52</v>
      </c>
      <c r="H159" s="102">
        <v>0</v>
      </c>
      <c r="I159" s="102">
        <v>514.52</v>
      </c>
      <c r="J159" s="102">
        <v>0</v>
      </c>
      <c r="K159" s="102">
        <v>514.52</v>
      </c>
      <c r="L159" s="102">
        <v>0</v>
      </c>
    </row>
    <row r="160" spans="1:12" x14ac:dyDescent="0.25">
      <c r="A160" s="100" t="s">
        <v>616</v>
      </c>
      <c r="B160" s="101" t="s">
        <v>617</v>
      </c>
      <c r="C160" s="102">
        <v>0</v>
      </c>
      <c r="D160" s="102">
        <v>0</v>
      </c>
      <c r="E160" s="102">
        <v>0</v>
      </c>
      <c r="F160" s="102">
        <v>0</v>
      </c>
      <c r="G160" s="102">
        <v>62.11</v>
      </c>
      <c r="H160" s="102">
        <v>62.11</v>
      </c>
      <c r="I160" s="102">
        <v>62.11</v>
      </c>
      <c r="J160" s="102">
        <v>62.11</v>
      </c>
      <c r="K160" s="102">
        <v>0</v>
      </c>
      <c r="L160" s="102">
        <v>0</v>
      </c>
    </row>
    <row r="161" spans="1:12" x14ac:dyDescent="0.25">
      <c r="A161" s="100" t="s">
        <v>618</v>
      </c>
      <c r="B161" s="101" t="s">
        <v>619</v>
      </c>
      <c r="C161" s="102">
        <v>0</v>
      </c>
      <c r="D161" s="102">
        <v>0</v>
      </c>
      <c r="E161" s="102">
        <v>0</v>
      </c>
      <c r="F161" s="102">
        <v>0</v>
      </c>
      <c r="G161" s="102">
        <v>0.46</v>
      </c>
      <c r="H161" s="102">
        <v>0</v>
      </c>
      <c r="I161" s="102">
        <v>0.46</v>
      </c>
      <c r="J161" s="102">
        <v>0</v>
      </c>
      <c r="K161" s="102">
        <v>0.46</v>
      </c>
      <c r="L161" s="102">
        <v>0</v>
      </c>
    </row>
    <row r="162" spans="1:12" x14ac:dyDescent="0.25">
      <c r="A162" s="100" t="s">
        <v>620</v>
      </c>
      <c r="B162" s="101" t="s">
        <v>621</v>
      </c>
      <c r="C162" s="102">
        <v>0</v>
      </c>
      <c r="D162" s="102">
        <v>0</v>
      </c>
      <c r="E162" s="102">
        <v>0</v>
      </c>
      <c r="F162" s="102">
        <v>0</v>
      </c>
      <c r="G162" s="102">
        <v>52.78</v>
      </c>
      <c r="H162" s="102">
        <v>0</v>
      </c>
      <c r="I162" s="102">
        <v>52.78</v>
      </c>
      <c r="J162" s="102">
        <v>0</v>
      </c>
      <c r="K162" s="102">
        <v>52.78</v>
      </c>
      <c r="L162" s="102">
        <v>0</v>
      </c>
    </row>
    <row r="163" spans="1:12" x14ac:dyDescent="0.25">
      <c r="A163" s="100" t="s">
        <v>622</v>
      </c>
      <c r="B163" s="101" t="s">
        <v>623</v>
      </c>
      <c r="C163" s="102">
        <v>0</v>
      </c>
      <c r="D163" s="102">
        <v>0</v>
      </c>
      <c r="E163" s="102">
        <v>0</v>
      </c>
      <c r="F163" s="102">
        <v>0</v>
      </c>
      <c r="G163" s="102">
        <v>16.96</v>
      </c>
      <c r="H163" s="102">
        <v>0</v>
      </c>
      <c r="I163" s="102">
        <v>16.96</v>
      </c>
      <c r="J163" s="102">
        <v>0</v>
      </c>
      <c r="K163" s="102">
        <v>16.96</v>
      </c>
      <c r="L163" s="102">
        <v>0</v>
      </c>
    </row>
    <row r="164" spans="1:12" x14ac:dyDescent="0.25">
      <c r="A164" s="100" t="s">
        <v>628</v>
      </c>
      <c r="B164" s="101" t="s">
        <v>629</v>
      </c>
      <c r="C164" s="102">
        <v>0</v>
      </c>
      <c r="D164" s="102">
        <v>0</v>
      </c>
      <c r="E164" s="102">
        <v>0</v>
      </c>
      <c r="F164" s="102">
        <v>0</v>
      </c>
      <c r="G164" s="102">
        <v>18.149999999999999</v>
      </c>
      <c r="H164" s="102">
        <v>0</v>
      </c>
      <c r="I164" s="102">
        <v>18.149999999999999</v>
      </c>
      <c r="J164" s="102">
        <v>0</v>
      </c>
      <c r="K164" s="102">
        <v>18.149999999999999</v>
      </c>
      <c r="L164" s="102">
        <v>0</v>
      </c>
    </row>
    <row r="165" spans="1:12" x14ac:dyDescent="0.25">
      <c r="A165" s="100" t="s">
        <v>630</v>
      </c>
      <c r="B165" s="101" t="s">
        <v>631</v>
      </c>
      <c r="C165" s="102">
        <v>0</v>
      </c>
      <c r="D165" s="102">
        <v>0</v>
      </c>
      <c r="E165" s="102">
        <v>0</v>
      </c>
      <c r="F165" s="102">
        <v>0</v>
      </c>
      <c r="G165" s="102">
        <v>0.59</v>
      </c>
      <c r="H165" s="102">
        <v>0</v>
      </c>
      <c r="I165" s="102">
        <v>0.59</v>
      </c>
      <c r="J165" s="102">
        <v>0</v>
      </c>
      <c r="K165" s="102">
        <v>0.59</v>
      </c>
      <c r="L165" s="102">
        <v>0</v>
      </c>
    </row>
    <row r="166" spans="1:12" x14ac:dyDescent="0.25">
      <c r="A166" s="100" t="s">
        <v>632</v>
      </c>
      <c r="B166" s="101" t="s">
        <v>633</v>
      </c>
      <c r="C166" s="102">
        <v>0</v>
      </c>
      <c r="D166" s="102">
        <v>0</v>
      </c>
      <c r="E166" s="102">
        <v>0</v>
      </c>
      <c r="F166" s="102">
        <v>0</v>
      </c>
      <c r="G166" s="102">
        <v>32.21</v>
      </c>
      <c r="H166" s="102">
        <v>0</v>
      </c>
      <c r="I166" s="102">
        <v>32.21</v>
      </c>
      <c r="J166" s="102">
        <v>0</v>
      </c>
      <c r="K166" s="102">
        <v>32.21</v>
      </c>
      <c r="L166" s="102">
        <v>0</v>
      </c>
    </row>
    <row r="167" spans="1:12" x14ac:dyDescent="0.25">
      <c r="A167" s="100" t="s">
        <v>634</v>
      </c>
      <c r="B167" s="101" t="s">
        <v>635</v>
      </c>
      <c r="C167" s="102">
        <v>0</v>
      </c>
      <c r="D167" s="102">
        <v>0</v>
      </c>
      <c r="E167" s="102">
        <v>0</v>
      </c>
      <c r="F167" s="102">
        <v>0</v>
      </c>
      <c r="G167" s="102">
        <v>631.73</v>
      </c>
      <c r="H167" s="102">
        <v>21.3</v>
      </c>
      <c r="I167" s="102">
        <v>631.73</v>
      </c>
      <c r="J167" s="102">
        <v>21.3</v>
      </c>
      <c r="K167" s="102">
        <v>610.42999999999995</v>
      </c>
      <c r="L167" s="102">
        <v>0</v>
      </c>
    </row>
    <row r="168" spans="1:12" x14ac:dyDescent="0.25">
      <c r="A168" s="100" t="s">
        <v>636</v>
      </c>
      <c r="B168" s="101" t="s">
        <v>637</v>
      </c>
      <c r="C168" s="102">
        <v>0</v>
      </c>
      <c r="D168" s="102">
        <v>0</v>
      </c>
      <c r="E168" s="102">
        <v>0</v>
      </c>
      <c r="F168" s="102">
        <v>0</v>
      </c>
      <c r="G168" s="102">
        <v>2638.96</v>
      </c>
      <c r="H168" s="102">
        <v>0</v>
      </c>
      <c r="I168" s="102">
        <v>2638.96</v>
      </c>
      <c r="J168" s="102">
        <v>0</v>
      </c>
      <c r="K168" s="102">
        <v>2638.96</v>
      </c>
      <c r="L168" s="102">
        <v>0</v>
      </c>
    </row>
    <row r="169" spans="1:12" x14ac:dyDescent="0.25">
      <c r="A169" s="100" t="s">
        <v>638</v>
      </c>
      <c r="B169" s="101" t="s">
        <v>639</v>
      </c>
      <c r="C169" s="102">
        <v>0</v>
      </c>
      <c r="D169" s="102">
        <v>0</v>
      </c>
      <c r="E169" s="102">
        <v>0</v>
      </c>
      <c r="F169" s="102">
        <v>0</v>
      </c>
      <c r="G169" s="102">
        <v>1911.92</v>
      </c>
      <c r="H169" s="102">
        <v>0</v>
      </c>
      <c r="I169" s="102">
        <v>1911.92</v>
      </c>
      <c r="J169" s="102">
        <v>0</v>
      </c>
      <c r="K169" s="102">
        <v>1911.92</v>
      </c>
      <c r="L169" s="102">
        <v>0</v>
      </c>
    </row>
    <row r="170" spans="1:12" x14ac:dyDescent="0.25">
      <c r="A170" s="100" t="s">
        <v>640</v>
      </c>
      <c r="B170" s="101" t="s">
        <v>641</v>
      </c>
      <c r="C170" s="102">
        <v>0</v>
      </c>
      <c r="D170" s="102">
        <v>0</v>
      </c>
      <c r="E170" s="102">
        <v>0</v>
      </c>
      <c r="F170" s="102">
        <v>0</v>
      </c>
      <c r="G170" s="102">
        <v>408</v>
      </c>
      <c r="H170" s="102">
        <v>0</v>
      </c>
      <c r="I170" s="102">
        <v>408</v>
      </c>
      <c r="J170" s="102">
        <v>0</v>
      </c>
      <c r="K170" s="102">
        <v>408</v>
      </c>
      <c r="L170" s="102">
        <v>0</v>
      </c>
    </row>
    <row r="171" spans="1:12" x14ac:dyDescent="0.25">
      <c r="A171" s="100" t="s">
        <v>642</v>
      </c>
      <c r="B171" s="101" t="s">
        <v>643</v>
      </c>
      <c r="C171" s="102">
        <v>0</v>
      </c>
      <c r="D171" s="102">
        <v>0</v>
      </c>
      <c r="E171" s="102">
        <v>0</v>
      </c>
      <c r="F171" s="102">
        <v>0</v>
      </c>
      <c r="G171" s="102">
        <v>869.82</v>
      </c>
      <c r="H171" s="102">
        <v>0</v>
      </c>
      <c r="I171" s="102">
        <v>869.82</v>
      </c>
      <c r="J171" s="102">
        <v>0</v>
      </c>
      <c r="K171" s="102">
        <v>869.82</v>
      </c>
      <c r="L171" s="102">
        <v>0</v>
      </c>
    </row>
    <row r="172" spans="1:12" x14ac:dyDescent="0.25">
      <c r="A172" s="100" t="s">
        <v>772</v>
      </c>
      <c r="B172" s="101" t="s">
        <v>773</v>
      </c>
      <c r="C172" s="102">
        <v>0</v>
      </c>
      <c r="D172" s="102">
        <v>0</v>
      </c>
      <c r="E172" s="102">
        <v>0</v>
      </c>
      <c r="F172" s="102">
        <v>0</v>
      </c>
      <c r="G172" s="102">
        <v>4250</v>
      </c>
      <c r="H172" s="102">
        <v>0</v>
      </c>
      <c r="I172" s="102">
        <v>4250</v>
      </c>
      <c r="J172" s="102">
        <v>0</v>
      </c>
      <c r="K172" s="102">
        <v>4250</v>
      </c>
      <c r="L172" s="102">
        <v>0</v>
      </c>
    </row>
    <row r="173" spans="1:12" x14ac:dyDescent="0.25">
      <c r="A173" s="100" t="s">
        <v>646</v>
      </c>
      <c r="B173" s="101" t="s">
        <v>647</v>
      </c>
      <c r="C173" s="102">
        <v>0</v>
      </c>
      <c r="D173" s="102">
        <v>0</v>
      </c>
      <c r="E173" s="102">
        <v>0</v>
      </c>
      <c r="F173" s="102">
        <v>0</v>
      </c>
      <c r="G173" s="102">
        <v>17959.13</v>
      </c>
      <c r="H173" s="102">
        <v>0</v>
      </c>
      <c r="I173" s="102">
        <v>17959.13</v>
      </c>
      <c r="J173" s="102">
        <v>0</v>
      </c>
      <c r="K173" s="102">
        <v>17959.13</v>
      </c>
      <c r="L173" s="102">
        <v>0</v>
      </c>
    </row>
    <row r="174" spans="1:12" x14ac:dyDescent="0.25">
      <c r="A174" s="100" t="s">
        <v>648</v>
      </c>
      <c r="B174" s="101" t="s">
        <v>649</v>
      </c>
      <c r="C174" s="102">
        <v>0</v>
      </c>
      <c r="D174" s="102">
        <v>0</v>
      </c>
      <c r="E174" s="102">
        <v>0</v>
      </c>
      <c r="F174" s="102">
        <v>0</v>
      </c>
      <c r="G174" s="102">
        <v>699.67</v>
      </c>
      <c r="H174" s="102">
        <v>0</v>
      </c>
      <c r="I174" s="102">
        <v>699.67</v>
      </c>
      <c r="J174" s="102">
        <v>0</v>
      </c>
      <c r="K174" s="102">
        <v>699.67</v>
      </c>
      <c r="L174" s="102">
        <v>0</v>
      </c>
    </row>
    <row r="175" spans="1:12" x14ac:dyDescent="0.25">
      <c r="A175" s="100" t="s">
        <v>650</v>
      </c>
      <c r="B175" s="101" t="s">
        <v>651</v>
      </c>
      <c r="C175" s="102">
        <v>0</v>
      </c>
      <c r="D175" s="102">
        <v>0</v>
      </c>
      <c r="E175" s="102">
        <v>0</v>
      </c>
      <c r="F175" s="102">
        <v>0</v>
      </c>
      <c r="G175" s="102">
        <v>360.69</v>
      </c>
      <c r="H175" s="102">
        <v>51.83</v>
      </c>
      <c r="I175" s="102">
        <v>360.69</v>
      </c>
      <c r="J175" s="102">
        <v>51.83</v>
      </c>
      <c r="K175" s="102">
        <v>308.86</v>
      </c>
      <c r="L175" s="102">
        <v>0</v>
      </c>
    </row>
    <row r="176" spans="1:12" x14ac:dyDescent="0.25">
      <c r="A176" s="100" t="s">
        <v>774</v>
      </c>
      <c r="B176" s="101" t="s">
        <v>775</v>
      </c>
      <c r="C176" s="102">
        <v>0</v>
      </c>
      <c r="D176" s="102">
        <v>0</v>
      </c>
      <c r="E176" s="102">
        <v>0</v>
      </c>
      <c r="F176" s="102">
        <v>0</v>
      </c>
      <c r="G176" s="102">
        <v>8.49</v>
      </c>
      <c r="H176" s="102">
        <v>8.49</v>
      </c>
      <c r="I176" s="102">
        <v>8.49</v>
      </c>
      <c r="J176" s="102">
        <v>8.49</v>
      </c>
      <c r="K176" s="102">
        <v>0</v>
      </c>
      <c r="L176" s="102">
        <v>0</v>
      </c>
    </row>
    <row r="177" spans="1:12" x14ac:dyDescent="0.25">
      <c r="A177" s="100" t="s">
        <v>776</v>
      </c>
      <c r="B177" s="101" t="s">
        <v>777</v>
      </c>
      <c r="C177" s="102">
        <v>0</v>
      </c>
      <c r="D177" s="102">
        <v>0</v>
      </c>
      <c r="E177" s="102">
        <v>0</v>
      </c>
      <c r="F177" s="102">
        <v>0</v>
      </c>
      <c r="G177" s="102">
        <v>4575.62</v>
      </c>
      <c r="H177" s="102">
        <v>0</v>
      </c>
      <c r="I177" s="102">
        <v>4575.62</v>
      </c>
      <c r="J177" s="102">
        <v>0</v>
      </c>
      <c r="K177" s="102">
        <v>4575.62</v>
      </c>
      <c r="L177" s="102">
        <v>0</v>
      </c>
    </row>
    <row r="178" spans="1:12" x14ac:dyDescent="0.25">
      <c r="A178" s="100" t="s">
        <v>652</v>
      </c>
      <c r="B178" s="101" t="s">
        <v>653</v>
      </c>
      <c r="C178" s="102">
        <v>0</v>
      </c>
      <c r="D178" s="102">
        <v>0</v>
      </c>
      <c r="E178" s="102">
        <v>0</v>
      </c>
      <c r="F178" s="102">
        <v>0</v>
      </c>
      <c r="G178" s="102">
        <v>0</v>
      </c>
      <c r="H178" s="102">
        <v>1282</v>
      </c>
      <c r="I178" s="102">
        <v>0</v>
      </c>
      <c r="J178" s="102">
        <v>1282</v>
      </c>
      <c r="K178" s="102">
        <v>-1282</v>
      </c>
      <c r="L178" s="102">
        <v>0</v>
      </c>
    </row>
    <row r="179" spans="1:12" x14ac:dyDescent="0.25">
      <c r="A179" s="100" t="s">
        <v>656</v>
      </c>
      <c r="B179" s="101" t="s">
        <v>657</v>
      </c>
      <c r="C179" s="102">
        <v>0</v>
      </c>
      <c r="D179" s="102">
        <v>0</v>
      </c>
      <c r="E179" s="102">
        <v>0</v>
      </c>
      <c r="F179" s="102">
        <v>0</v>
      </c>
      <c r="G179" s="102">
        <v>0</v>
      </c>
      <c r="H179" s="102">
        <v>12668.66</v>
      </c>
      <c r="I179" s="102">
        <v>0</v>
      </c>
      <c r="J179" s="102">
        <v>12668.66</v>
      </c>
      <c r="K179" s="102">
        <v>0</v>
      </c>
      <c r="L179" s="102">
        <v>12668.66</v>
      </c>
    </row>
    <row r="180" spans="1:12" x14ac:dyDescent="0.25">
      <c r="A180" s="100" t="s">
        <v>666</v>
      </c>
      <c r="B180" s="101" t="s">
        <v>667</v>
      </c>
      <c r="C180" s="102">
        <v>0</v>
      </c>
      <c r="D180" s="102">
        <v>0</v>
      </c>
      <c r="E180" s="102">
        <v>0</v>
      </c>
      <c r="F180" s="102">
        <v>0</v>
      </c>
      <c r="G180" s="102">
        <v>0</v>
      </c>
      <c r="H180" s="102">
        <v>989.42</v>
      </c>
      <c r="I180" s="102">
        <v>0</v>
      </c>
      <c r="J180" s="102">
        <v>989.42</v>
      </c>
      <c r="K180" s="102">
        <v>0</v>
      </c>
      <c r="L180" s="102">
        <v>989.42</v>
      </c>
    </row>
    <row r="181" spans="1:12" x14ac:dyDescent="0.25">
      <c r="A181" s="100" t="s">
        <v>668</v>
      </c>
      <c r="B181" s="101" t="s">
        <v>669</v>
      </c>
      <c r="C181" s="102">
        <v>0</v>
      </c>
      <c r="D181" s="102">
        <v>0</v>
      </c>
      <c r="E181" s="102">
        <v>0</v>
      </c>
      <c r="F181" s="102">
        <v>0</v>
      </c>
      <c r="G181" s="102">
        <v>0</v>
      </c>
      <c r="H181" s="102">
        <v>65479.37</v>
      </c>
      <c r="I181" s="102">
        <v>0</v>
      </c>
      <c r="J181" s="102">
        <v>65479.37</v>
      </c>
      <c r="K181" s="102">
        <v>0</v>
      </c>
      <c r="L181" s="102">
        <v>65479.37</v>
      </c>
    </row>
    <row r="182" spans="1:12" x14ac:dyDescent="0.25">
      <c r="A182" s="100" t="s">
        <v>670</v>
      </c>
      <c r="B182" s="101" t="s">
        <v>671</v>
      </c>
      <c r="C182" s="102">
        <v>0</v>
      </c>
      <c r="D182" s="102">
        <v>0</v>
      </c>
      <c r="E182" s="102">
        <v>0</v>
      </c>
      <c r="F182" s="102">
        <v>0</v>
      </c>
      <c r="G182" s="102">
        <v>0</v>
      </c>
      <c r="H182" s="102">
        <v>31332.15</v>
      </c>
      <c r="I182" s="102">
        <v>0</v>
      </c>
      <c r="J182" s="102">
        <v>31332.15</v>
      </c>
      <c r="K182" s="102">
        <v>0</v>
      </c>
      <c r="L182" s="102">
        <v>31332.15</v>
      </c>
    </row>
    <row r="183" spans="1:12" x14ac:dyDescent="0.25">
      <c r="A183" s="100" t="s">
        <v>672</v>
      </c>
      <c r="B183" s="101" t="s">
        <v>673</v>
      </c>
      <c r="C183" s="102">
        <v>0</v>
      </c>
      <c r="D183" s="102">
        <v>0</v>
      </c>
      <c r="E183" s="102">
        <v>0</v>
      </c>
      <c r="F183" s="102">
        <v>0</v>
      </c>
      <c r="G183" s="102">
        <v>0</v>
      </c>
      <c r="H183" s="102">
        <v>114811.1</v>
      </c>
      <c r="I183" s="102">
        <v>0</v>
      </c>
      <c r="J183" s="102">
        <v>114811.1</v>
      </c>
      <c r="K183" s="102">
        <v>0</v>
      </c>
      <c r="L183" s="102">
        <v>114811.1</v>
      </c>
    </row>
    <row r="184" spans="1:12" x14ac:dyDescent="0.25">
      <c r="A184" s="100" t="s">
        <v>682</v>
      </c>
      <c r="B184" s="101" t="s">
        <v>683</v>
      </c>
      <c r="C184" s="102">
        <v>0</v>
      </c>
      <c r="D184" s="102">
        <v>0</v>
      </c>
      <c r="E184" s="102">
        <v>0</v>
      </c>
      <c r="F184" s="102">
        <v>0</v>
      </c>
      <c r="G184" s="102">
        <v>0</v>
      </c>
      <c r="H184" s="102">
        <v>2110.09</v>
      </c>
      <c r="I184" s="102">
        <v>0</v>
      </c>
      <c r="J184" s="102">
        <v>2110.09</v>
      </c>
      <c r="K184" s="102">
        <v>0</v>
      </c>
      <c r="L184" s="102">
        <v>2110.09</v>
      </c>
    </row>
    <row r="185" spans="1:12" x14ac:dyDescent="0.25">
      <c r="A185" s="100" t="s">
        <v>778</v>
      </c>
      <c r="B185" s="101" t="s">
        <v>779</v>
      </c>
      <c r="C185" s="102">
        <v>0</v>
      </c>
      <c r="D185" s="102">
        <v>0</v>
      </c>
      <c r="E185" s="102">
        <v>0</v>
      </c>
      <c r="F185" s="102">
        <v>0</v>
      </c>
      <c r="G185" s="102">
        <v>593.73</v>
      </c>
      <c r="H185" s="102">
        <v>0</v>
      </c>
      <c r="I185" s="102">
        <v>593.73</v>
      </c>
      <c r="J185" s="102">
        <v>0</v>
      </c>
      <c r="K185" s="102">
        <v>0</v>
      </c>
      <c r="L185" s="102">
        <v>-593.73</v>
      </c>
    </row>
    <row r="186" spans="1:12" x14ac:dyDescent="0.25">
      <c r="A186" s="100" t="s">
        <v>684</v>
      </c>
      <c r="B186" s="101" t="s">
        <v>619</v>
      </c>
      <c r="C186" s="102">
        <v>0</v>
      </c>
      <c r="D186" s="102">
        <v>0</v>
      </c>
      <c r="E186" s="102">
        <v>0</v>
      </c>
      <c r="F186" s="102">
        <v>0</v>
      </c>
      <c r="G186" s="102">
        <v>0</v>
      </c>
      <c r="H186" s="102">
        <v>0.04</v>
      </c>
      <c r="I186" s="102">
        <v>0</v>
      </c>
      <c r="J186" s="102">
        <v>0.04</v>
      </c>
      <c r="K186" s="102">
        <v>0</v>
      </c>
      <c r="L186" s="102">
        <v>0.04</v>
      </c>
    </row>
    <row r="187" spans="1:12" x14ac:dyDescent="0.25">
      <c r="A187" s="100" t="s">
        <v>780</v>
      </c>
      <c r="B187" s="101" t="s">
        <v>781</v>
      </c>
      <c r="C187" s="102">
        <v>0</v>
      </c>
      <c r="D187" s="102">
        <v>0</v>
      </c>
      <c r="E187" s="102">
        <v>0</v>
      </c>
      <c r="F187" s="102">
        <v>0</v>
      </c>
      <c r="G187" s="102">
        <v>0</v>
      </c>
      <c r="H187" s="102">
        <v>60.76</v>
      </c>
      <c r="I187" s="102">
        <v>0</v>
      </c>
      <c r="J187" s="102">
        <v>60.76</v>
      </c>
      <c r="K187" s="102">
        <v>0</v>
      </c>
      <c r="L187" s="102">
        <v>60.76</v>
      </c>
    </row>
    <row r="188" spans="1:12" x14ac:dyDescent="0.25">
      <c r="A188" s="100" t="s">
        <v>685</v>
      </c>
      <c r="B188" s="101" t="s">
        <v>686</v>
      </c>
      <c r="C188" s="102">
        <v>0</v>
      </c>
      <c r="D188" s="102">
        <v>0</v>
      </c>
      <c r="E188" s="102">
        <v>0</v>
      </c>
      <c r="F188" s="102">
        <v>0</v>
      </c>
      <c r="G188" s="102">
        <v>0</v>
      </c>
      <c r="H188" s="102">
        <v>892.12</v>
      </c>
      <c r="I188" s="102">
        <v>0</v>
      </c>
      <c r="J188" s="102">
        <v>892.12</v>
      </c>
      <c r="K188" s="102">
        <v>0</v>
      </c>
      <c r="L188" s="102">
        <v>892.12</v>
      </c>
    </row>
    <row r="189" spans="1:12" x14ac:dyDescent="0.25">
      <c r="A189" s="100" t="s">
        <v>687</v>
      </c>
      <c r="B189" s="101" t="s">
        <v>688</v>
      </c>
      <c r="C189" s="102">
        <v>0</v>
      </c>
      <c r="D189" s="102">
        <v>0</v>
      </c>
      <c r="E189" s="102">
        <v>0</v>
      </c>
      <c r="F189" s="102">
        <v>0</v>
      </c>
      <c r="G189" s="102">
        <v>0</v>
      </c>
      <c r="H189" s="102">
        <v>533.59</v>
      </c>
      <c r="I189" s="102">
        <v>0</v>
      </c>
      <c r="J189" s="102">
        <v>533.59</v>
      </c>
      <c r="K189" s="102">
        <v>0</v>
      </c>
      <c r="L189" s="102">
        <v>533.59</v>
      </c>
    </row>
    <row r="190" spans="1:12" x14ac:dyDescent="0.25">
      <c r="A190" s="100" t="s">
        <v>782</v>
      </c>
      <c r="B190" s="101" t="s">
        <v>783</v>
      </c>
      <c r="C190" s="102">
        <v>0</v>
      </c>
      <c r="D190" s="102">
        <v>0</v>
      </c>
      <c r="E190" s="102">
        <v>0</v>
      </c>
      <c r="F190" s="102">
        <v>0</v>
      </c>
      <c r="G190" s="102">
        <v>0</v>
      </c>
      <c r="H190" s="102">
        <v>4250</v>
      </c>
      <c r="I190" s="102">
        <v>0</v>
      </c>
      <c r="J190" s="102">
        <v>4250</v>
      </c>
      <c r="K190" s="102">
        <v>0</v>
      </c>
      <c r="L190" s="102">
        <v>4250</v>
      </c>
    </row>
    <row r="191" spans="1:12" x14ac:dyDescent="0.25">
      <c r="A191" s="100" t="s">
        <v>689</v>
      </c>
      <c r="B191" s="101" t="s">
        <v>690</v>
      </c>
      <c r="C191" s="102">
        <v>0</v>
      </c>
      <c r="D191" s="102">
        <v>0</v>
      </c>
      <c r="E191" s="102">
        <v>0</v>
      </c>
      <c r="F191" s="102">
        <v>0</v>
      </c>
      <c r="G191" s="102">
        <v>100</v>
      </c>
      <c r="H191" s="102">
        <v>0</v>
      </c>
      <c r="I191" s="102">
        <v>100</v>
      </c>
      <c r="J191" s="102">
        <v>0</v>
      </c>
      <c r="K191" s="102">
        <v>100</v>
      </c>
      <c r="L191" s="102">
        <v>0</v>
      </c>
    </row>
    <row r="192" spans="1:12" x14ac:dyDescent="0.25">
      <c r="A192" s="100" t="s">
        <v>691</v>
      </c>
      <c r="B192" s="101" t="s">
        <v>692</v>
      </c>
      <c r="C192" s="102">
        <v>0</v>
      </c>
      <c r="D192" s="102">
        <v>0</v>
      </c>
      <c r="E192" s="102">
        <v>0</v>
      </c>
      <c r="F192" s="102">
        <v>0</v>
      </c>
      <c r="G192" s="102">
        <v>0</v>
      </c>
      <c r="H192" s="102">
        <v>100</v>
      </c>
      <c r="I192" s="102">
        <v>0</v>
      </c>
      <c r="J192" s="102">
        <v>100</v>
      </c>
      <c r="K192" s="102">
        <v>-100</v>
      </c>
      <c r="L192" s="102">
        <v>0</v>
      </c>
    </row>
    <row r="193" spans="1:12" x14ac:dyDescent="0.25">
      <c r="A193" s="100" t="s">
        <v>711</v>
      </c>
      <c r="B193" s="101" t="s">
        <v>694</v>
      </c>
      <c r="C193" s="102">
        <v>0</v>
      </c>
      <c r="D193" s="102">
        <v>0</v>
      </c>
      <c r="E193" s="102">
        <v>0</v>
      </c>
      <c r="F193" s="102">
        <v>0</v>
      </c>
      <c r="G193" s="102">
        <v>12675.86</v>
      </c>
      <c r="H193" s="102">
        <v>14126.93</v>
      </c>
      <c r="I193" s="102">
        <v>12675.86</v>
      </c>
      <c r="J193" s="102">
        <v>14126.93</v>
      </c>
      <c r="K193" s="102">
        <v>0</v>
      </c>
      <c r="L193" s="102">
        <v>1451.07</v>
      </c>
    </row>
    <row r="194" spans="1:12" x14ac:dyDescent="0.25">
      <c r="A194" s="100" t="s">
        <v>784</v>
      </c>
      <c r="B194" s="101" t="s">
        <v>785</v>
      </c>
      <c r="C194" s="102">
        <v>0</v>
      </c>
      <c r="D194" s="102">
        <v>0</v>
      </c>
      <c r="E194" s="102">
        <v>0</v>
      </c>
      <c r="F194" s="102">
        <v>0</v>
      </c>
      <c r="G194" s="102">
        <v>0</v>
      </c>
      <c r="H194" s="102">
        <v>9804.6200000000008</v>
      </c>
      <c r="I194" s="102">
        <v>0</v>
      </c>
      <c r="J194" s="102">
        <v>9804.6200000000008</v>
      </c>
      <c r="K194" s="102">
        <v>0</v>
      </c>
      <c r="L194" s="102">
        <v>9804.6200000000008</v>
      </c>
    </row>
    <row r="195" spans="1:12" x14ac:dyDescent="0.25">
      <c r="A195" s="100" t="s">
        <v>786</v>
      </c>
      <c r="B195" s="101" t="s">
        <v>787</v>
      </c>
      <c r="C195" s="102">
        <v>0</v>
      </c>
      <c r="D195" s="102">
        <v>0</v>
      </c>
      <c r="E195" s="102">
        <v>0</v>
      </c>
      <c r="F195" s="102">
        <v>0</v>
      </c>
      <c r="G195" s="102">
        <v>0</v>
      </c>
      <c r="H195" s="102">
        <v>1474.17</v>
      </c>
      <c r="I195" s="102">
        <v>0</v>
      </c>
      <c r="J195" s="102">
        <v>1474.17</v>
      </c>
      <c r="K195" s="102">
        <v>0</v>
      </c>
      <c r="L195" s="102">
        <v>1474.17</v>
      </c>
    </row>
    <row r="196" spans="1:12" x14ac:dyDescent="0.25">
      <c r="A196" s="100" t="s">
        <v>788</v>
      </c>
      <c r="B196" s="101" t="s">
        <v>789</v>
      </c>
      <c r="C196" s="102">
        <v>0</v>
      </c>
      <c r="D196" s="102">
        <v>0</v>
      </c>
      <c r="E196" s="102">
        <v>0</v>
      </c>
      <c r="F196" s="102">
        <v>0</v>
      </c>
      <c r="G196" s="102">
        <v>0</v>
      </c>
      <c r="H196" s="102">
        <v>1389.87</v>
      </c>
      <c r="I196" s="102">
        <v>0</v>
      </c>
      <c r="J196" s="102">
        <v>1389.87</v>
      </c>
      <c r="K196" s="102">
        <v>0</v>
      </c>
      <c r="L196" s="102">
        <v>1389.87</v>
      </c>
    </row>
    <row r="197" spans="1:12" x14ac:dyDescent="0.25">
      <c r="A197" s="100" t="s">
        <v>790</v>
      </c>
      <c r="B197" s="101" t="s">
        <v>791</v>
      </c>
      <c r="C197" s="102">
        <v>0</v>
      </c>
      <c r="D197" s="102">
        <v>0</v>
      </c>
      <c r="E197" s="102">
        <v>0</v>
      </c>
      <c r="F197" s="102">
        <v>0</v>
      </c>
      <c r="G197" s="102">
        <v>14119.73</v>
      </c>
      <c r="H197" s="102">
        <v>0</v>
      </c>
      <c r="I197" s="102">
        <v>14119.73</v>
      </c>
      <c r="J197" s="102">
        <v>0</v>
      </c>
      <c r="K197" s="102">
        <v>14119.73</v>
      </c>
      <c r="L197" s="102">
        <v>0</v>
      </c>
    </row>
  </sheetData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workbookViewId="0">
      <selection activeCell="B2" sqref="B2"/>
    </sheetView>
  </sheetViews>
  <sheetFormatPr defaultRowHeight="15" x14ac:dyDescent="0.25"/>
  <cols>
    <col min="1" max="1" width="16.140625" style="100" customWidth="1"/>
    <col min="2" max="2" width="46.7109375" style="101" customWidth="1"/>
    <col min="3" max="3" width="15.28515625" style="102" customWidth="1"/>
    <col min="4" max="4" width="15.28515625" style="102" bestFit="1" customWidth="1"/>
    <col min="5" max="5" width="15.140625" style="102" customWidth="1"/>
    <col min="6" max="7" width="15.28515625" style="102" bestFit="1" customWidth="1"/>
    <col min="8" max="8" width="15.28515625" style="102" customWidth="1"/>
    <col min="9" max="11" width="15.28515625" style="102" bestFit="1" customWidth="1"/>
    <col min="12" max="12" width="14.85546875" style="102" customWidth="1"/>
    <col min="13" max="16384" width="9.140625" style="96"/>
  </cols>
  <sheetData>
    <row r="1" spans="1:12" ht="22.5" x14ac:dyDescent="0.25">
      <c r="A1" s="106" t="s">
        <v>262</v>
      </c>
      <c r="B1" s="107" t="s">
        <v>263</v>
      </c>
      <c r="C1" s="108" t="s">
        <v>242</v>
      </c>
      <c r="D1" s="108" t="s">
        <v>243</v>
      </c>
      <c r="E1" s="108" t="s">
        <v>244</v>
      </c>
      <c r="F1" s="108" t="s">
        <v>245</v>
      </c>
      <c r="G1" s="108" t="s">
        <v>246</v>
      </c>
      <c r="H1" s="108" t="s">
        <v>247</v>
      </c>
      <c r="I1" s="108" t="s">
        <v>248</v>
      </c>
      <c r="J1" s="108" t="s">
        <v>249</v>
      </c>
      <c r="K1" s="108" t="s">
        <v>250</v>
      </c>
      <c r="L1" s="108" t="s">
        <v>251</v>
      </c>
    </row>
    <row r="2" spans="1:12" x14ac:dyDescent="0.25">
      <c r="A2" s="97" t="s">
        <v>792</v>
      </c>
      <c r="B2" s="98" t="s">
        <v>286</v>
      </c>
      <c r="C2" s="99">
        <v>0</v>
      </c>
      <c r="D2" s="99">
        <v>0</v>
      </c>
      <c r="E2" s="99">
        <v>0</v>
      </c>
      <c r="F2" s="99">
        <v>0</v>
      </c>
      <c r="G2" s="99">
        <v>2419.9899999999998</v>
      </c>
      <c r="H2" s="99">
        <v>0</v>
      </c>
      <c r="I2" s="99">
        <v>2419.9899999999998</v>
      </c>
      <c r="J2" s="99">
        <v>0</v>
      </c>
      <c r="K2" s="99">
        <v>2419.9899999999998</v>
      </c>
      <c r="L2" s="99">
        <v>0</v>
      </c>
    </row>
    <row r="3" spans="1:12" x14ac:dyDescent="0.25">
      <c r="A3" s="97" t="s">
        <v>793</v>
      </c>
      <c r="B3" s="98" t="s">
        <v>28</v>
      </c>
      <c r="C3" s="99">
        <v>0</v>
      </c>
      <c r="D3" s="99">
        <v>0</v>
      </c>
      <c r="E3" s="99">
        <v>0</v>
      </c>
      <c r="F3" s="99">
        <v>0</v>
      </c>
      <c r="G3" s="99">
        <v>57355.95</v>
      </c>
      <c r="H3" s="99">
        <v>0</v>
      </c>
      <c r="I3" s="99">
        <v>57355.95</v>
      </c>
      <c r="J3" s="99">
        <v>0</v>
      </c>
      <c r="K3" s="99">
        <v>57355.95</v>
      </c>
      <c r="L3" s="99">
        <v>0</v>
      </c>
    </row>
    <row r="4" spans="1:12" x14ac:dyDescent="0.25">
      <c r="A4" s="97" t="s">
        <v>794</v>
      </c>
      <c r="B4" s="98" t="s">
        <v>795</v>
      </c>
      <c r="C4" s="99">
        <v>0</v>
      </c>
      <c r="D4" s="99">
        <v>0</v>
      </c>
      <c r="E4" s="99">
        <v>0</v>
      </c>
      <c r="F4" s="99">
        <v>0</v>
      </c>
      <c r="G4" s="99">
        <v>20894.5</v>
      </c>
      <c r="H4" s="99">
        <v>0</v>
      </c>
      <c r="I4" s="99">
        <v>20894.5</v>
      </c>
      <c r="J4" s="99">
        <v>0</v>
      </c>
      <c r="K4" s="99">
        <v>20894.5</v>
      </c>
      <c r="L4" s="99">
        <v>0</v>
      </c>
    </row>
    <row r="5" spans="1:12" x14ac:dyDescent="0.25">
      <c r="A5" s="97" t="s">
        <v>796</v>
      </c>
      <c r="B5" s="98" t="s">
        <v>295</v>
      </c>
      <c r="C5" s="99">
        <v>0</v>
      </c>
      <c r="D5" s="99">
        <v>0</v>
      </c>
      <c r="E5" s="99">
        <v>0</v>
      </c>
      <c r="F5" s="99">
        <v>0</v>
      </c>
      <c r="G5" s="99">
        <v>2738.82</v>
      </c>
      <c r="H5" s="99">
        <v>0</v>
      </c>
      <c r="I5" s="99">
        <v>2738.82</v>
      </c>
      <c r="J5" s="99">
        <v>0</v>
      </c>
      <c r="K5" s="99">
        <v>2738.82</v>
      </c>
      <c r="L5" s="99">
        <v>0</v>
      </c>
    </row>
    <row r="6" spans="1:12" x14ac:dyDescent="0.25">
      <c r="A6" s="97" t="s">
        <v>898</v>
      </c>
      <c r="B6" s="98" t="s">
        <v>723</v>
      </c>
      <c r="C6" s="99">
        <v>2419.9899999999998</v>
      </c>
      <c r="D6" s="99">
        <v>0</v>
      </c>
      <c r="E6" s="99">
        <v>2419.9899999999998</v>
      </c>
      <c r="F6" s="99">
        <v>0</v>
      </c>
      <c r="G6" s="99">
        <v>0</v>
      </c>
      <c r="H6" s="99">
        <v>2419.9899999999998</v>
      </c>
      <c r="I6" s="99">
        <v>0</v>
      </c>
      <c r="J6" s="99">
        <v>2419.9899999999998</v>
      </c>
      <c r="K6" s="99">
        <v>0</v>
      </c>
      <c r="L6" s="99">
        <v>0</v>
      </c>
    </row>
    <row r="7" spans="1:12" x14ac:dyDescent="0.25">
      <c r="A7" s="97" t="s">
        <v>899</v>
      </c>
      <c r="B7" s="98" t="s">
        <v>725</v>
      </c>
      <c r="C7" s="99">
        <v>71876.02</v>
      </c>
      <c r="D7" s="99">
        <v>0</v>
      </c>
      <c r="E7" s="99">
        <v>71876.02</v>
      </c>
      <c r="F7" s="99">
        <v>0</v>
      </c>
      <c r="G7" s="99">
        <v>9113.25</v>
      </c>
      <c r="H7" s="99">
        <v>80989.27</v>
      </c>
      <c r="I7" s="99">
        <v>9113.25</v>
      </c>
      <c r="J7" s="99">
        <v>80989.27</v>
      </c>
      <c r="K7" s="99">
        <v>0</v>
      </c>
      <c r="L7" s="99">
        <v>0</v>
      </c>
    </row>
    <row r="8" spans="1:12" x14ac:dyDescent="0.25">
      <c r="A8" s="97" t="s">
        <v>900</v>
      </c>
      <c r="B8" s="98" t="s">
        <v>901</v>
      </c>
      <c r="C8" s="99">
        <v>0</v>
      </c>
      <c r="D8" s="99">
        <v>0</v>
      </c>
      <c r="E8" s="99">
        <v>0</v>
      </c>
      <c r="F8" s="99">
        <v>0</v>
      </c>
      <c r="G8" s="99">
        <v>4250</v>
      </c>
      <c r="H8" s="99">
        <v>4250</v>
      </c>
      <c r="I8" s="99">
        <v>4250</v>
      </c>
      <c r="J8" s="99">
        <v>4250</v>
      </c>
      <c r="K8" s="99">
        <v>0</v>
      </c>
      <c r="L8" s="99">
        <v>0</v>
      </c>
    </row>
    <row r="9" spans="1:12" x14ac:dyDescent="0.25">
      <c r="A9" s="97" t="s">
        <v>902</v>
      </c>
      <c r="B9" s="98" t="s">
        <v>729</v>
      </c>
      <c r="C9" s="99">
        <v>0</v>
      </c>
      <c r="D9" s="99">
        <v>0</v>
      </c>
      <c r="E9" s="99">
        <v>0</v>
      </c>
      <c r="F9" s="99">
        <v>0</v>
      </c>
      <c r="G9" s="99">
        <v>4250</v>
      </c>
      <c r="H9" s="99">
        <v>4250</v>
      </c>
      <c r="I9" s="99">
        <v>4250</v>
      </c>
      <c r="J9" s="99">
        <v>4250</v>
      </c>
      <c r="K9" s="99">
        <v>0</v>
      </c>
      <c r="L9" s="99">
        <v>0</v>
      </c>
    </row>
    <row r="10" spans="1:12" x14ac:dyDescent="0.25">
      <c r="A10" s="97" t="s">
        <v>903</v>
      </c>
      <c r="B10" s="98" t="s">
        <v>731</v>
      </c>
      <c r="C10" s="99">
        <v>0</v>
      </c>
      <c r="D10" s="99">
        <v>0</v>
      </c>
      <c r="E10" s="99">
        <v>0</v>
      </c>
      <c r="F10" s="99">
        <v>0</v>
      </c>
      <c r="G10" s="99">
        <v>4400</v>
      </c>
      <c r="H10" s="99">
        <v>4400</v>
      </c>
      <c r="I10" s="99">
        <v>4400</v>
      </c>
      <c r="J10" s="99">
        <v>4400</v>
      </c>
      <c r="K10" s="99">
        <v>0</v>
      </c>
      <c r="L10" s="99">
        <v>0</v>
      </c>
    </row>
    <row r="11" spans="1:12" x14ac:dyDescent="0.25">
      <c r="A11" s="97" t="s">
        <v>797</v>
      </c>
      <c r="B11" s="98" t="s">
        <v>297</v>
      </c>
      <c r="C11" s="99">
        <v>0</v>
      </c>
      <c r="D11" s="99">
        <v>0</v>
      </c>
      <c r="E11" s="99">
        <v>0</v>
      </c>
      <c r="F11" s="99">
        <v>0</v>
      </c>
      <c r="G11" s="99">
        <v>0</v>
      </c>
      <c r="H11" s="99">
        <v>408</v>
      </c>
      <c r="I11" s="99">
        <v>0</v>
      </c>
      <c r="J11" s="99">
        <v>408</v>
      </c>
      <c r="K11" s="99">
        <v>0</v>
      </c>
      <c r="L11" s="99">
        <v>408</v>
      </c>
    </row>
    <row r="12" spans="1:12" x14ac:dyDescent="0.25">
      <c r="A12" s="97" t="s">
        <v>798</v>
      </c>
      <c r="B12" s="98" t="s">
        <v>299</v>
      </c>
      <c r="C12" s="99">
        <v>0</v>
      </c>
      <c r="D12" s="99">
        <v>0</v>
      </c>
      <c r="E12" s="99">
        <v>0</v>
      </c>
      <c r="F12" s="99">
        <v>0</v>
      </c>
      <c r="G12" s="99">
        <v>0</v>
      </c>
      <c r="H12" s="99">
        <v>1911.92</v>
      </c>
      <c r="I12" s="99">
        <v>0</v>
      </c>
      <c r="J12" s="99">
        <v>1911.92</v>
      </c>
      <c r="K12" s="99">
        <v>0</v>
      </c>
      <c r="L12" s="99">
        <v>1911.92</v>
      </c>
    </row>
    <row r="13" spans="1:12" x14ac:dyDescent="0.25">
      <c r="A13" s="97" t="s">
        <v>799</v>
      </c>
      <c r="B13" s="98" t="s">
        <v>800</v>
      </c>
      <c r="C13" s="99">
        <v>0</v>
      </c>
      <c r="D13" s="99">
        <v>0</v>
      </c>
      <c r="E13" s="99">
        <v>0</v>
      </c>
      <c r="F13" s="99">
        <v>0</v>
      </c>
      <c r="G13" s="99">
        <v>0</v>
      </c>
      <c r="H13" s="99">
        <v>2638.96</v>
      </c>
      <c r="I13" s="99">
        <v>0</v>
      </c>
      <c r="J13" s="99">
        <v>2638.96</v>
      </c>
      <c r="K13" s="99">
        <v>0</v>
      </c>
      <c r="L13" s="99">
        <v>2638.96</v>
      </c>
    </row>
    <row r="14" spans="1:12" x14ac:dyDescent="0.25">
      <c r="A14" s="97" t="s">
        <v>801</v>
      </c>
      <c r="B14" s="98" t="s">
        <v>307</v>
      </c>
      <c r="C14" s="99">
        <v>0</v>
      </c>
      <c r="D14" s="99">
        <v>0</v>
      </c>
      <c r="E14" s="99">
        <v>0</v>
      </c>
      <c r="F14" s="99">
        <v>0</v>
      </c>
      <c r="G14" s="99">
        <v>0</v>
      </c>
      <c r="H14" s="99">
        <v>869.82</v>
      </c>
      <c r="I14" s="99">
        <v>0</v>
      </c>
      <c r="J14" s="99">
        <v>869.82</v>
      </c>
      <c r="K14" s="99">
        <v>0</v>
      </c>
      <c r="L14" s="99">
        <v>869.82</v>
      </c>
    </row>
    <row r="15" spans="1:12" x14ac:dyDescent="0.25">
      <c r="A15" s="97" t="s">
        <v>804</v>
      </c>
      <c r="B15" s="98" t="s">
        <v>311</v>
      </c>
      <c r="C15" s="99">
        <v>0</v>
      </c>
      <c r="D15" s="99">
        <v>0</v>
      </c>
      <c r="E15" s="99">
        <v>0</v>
      </c>
      <c r="F15" s="99">
        <v>0</v>
      </c>
      <c r="G15" s="99">
        <v>0.17</v>
      </c>
      <c r="H15" s="99">
        <v>0.17</v>
      </c>
      <c r="I15" s="99">
        <v>0.17</v>
      </c>
      <c r="J15" s="99">
        <v>0.17</v>
      </c>
      <c r="K15" s="99">
        <v>0</v>
      </c>
      <c r="L15" s="99">
        <v>0</v>
      </c>
    </row>
    <row r="16" spans="1:12" x14ac:dyDescent="0.25">
      <c r="A16" s="97" t="s">
        <v>805</v>
      </c>
      <c r="B16" s="98" t="s">
        <v>806</v>
      </c>
      <c r="C16" s="99">
        <v>0</v>
      </c>
      <c r="D16" s="99">
        <v>0</v>
      </c>
      <c r="E16" s="99">
        <v>0</v>
      </c>
      <c r="F16" s="99">
        <v>0</v>
      </c>
      <c r="G16" s="99">
        <v>0.17</v>
      </c>
      <c r="H16" s="99">
        <v>0.17</v>
      </c>
      <c r="I16" s="99">
        <v>0.17</v>
      </c>
      <c r="J16" s="99">
        <v>0.17</v>
      </c>
      <c r="K16" s="99">
        <v>0</v>
      </c>
      <c r="L16" s="99">
        <v>0</v>
      </c>
    </row>
    <row r="17" spans="1:12" x14ac:dyDescent="0.25">
      <c r="A17" s="97" t="s">
        <v>807</v>
      </c>
      <c r="B17" s="98" t="s">
        <v>315</v>
      </c>
      <c r="C17" s="99">
        <v>0</v>
      </c>
      <c r="D17" s="99">
        <v>0</v>
      </c>
      <c r="E17" s="99">
        <v>0</v>
      </c>
      <c r="F17" s="99">
        <v>0</v>
      </c>
      <c r="G17" s="99">
        <v>215187.23</v>
      </c>
      <c r="H17" s="99">
        <v>215187.23</v>
      </c>
      <c r="I17" s="99">
        <v>215187.23</v>
      </c>
      <c r="J17" s="99">
        <v>215187.23</v>
      </c>
      <c r="K17" s="99">
        <v>0</v>
      </c>
      <c r="L17" s="99">
        <v>0</v>
      </c>
    </row>
    <row r="18" spans="1:12" x14ac:dyDescent="0.25">
      <c r="A18" s="97" t="s">
        <v>808</v>
      </c>
      <c r="B18" s="98" t="s">
        <v>319</v>
      </c>
      <c r="C18" s="99">
        <v>0</v>
      </c>
      <c r="D18" s="99">
        <v>0</v>
      </c>
      <c r="E18" s="99">
        <v>0</v>
      </c>
      <c r="F18" s="99">
        <v>0</v>
      </c>
      <c r="G18" s="99">
        <v>215703.99</v>
      </c>
      <c r="H18" s="99">
        <v>175783.33</v>
      </c>
      <c r="I18" s="99">
        <v>215703.99</v>
      </c>
      <c r="J18" s="99">
        <v>175783.33</v>
      </c>
      <c r="K18" s="99">
        <v>39920.660000000003</v>
      </c>
      <c r="L18" s="99">
        <v>0</v>
      </c>
    </row>
    <row r="19" spans="1:12" x14ac:dyDescent="0.25">
      <c r="A19" s="97" t="s">
        <v>809</v>
      </c>
      <c r="B19" s="98" t="s">
        <v>321</v>
      </c>
      <c r="C19" s="99">
        <v>0</v>
      </c>
      <c r="D19" s="99">
        <v>0</v>
      </c>
      <c r="E19" s="99">
        <v>0</v>
      </c>
      <c r="F19" s="99">
        <v>0</v>
      </c>
      <c r="G19" s="99">
        <v>2072.2600000000002</v>
      </c>
      <c r="H19" s="99">
        <v>2497.1799999999998</v>
      </c>
      <c r="I19" s="99">
        <v>2072.2600000000002</v>
      </c>
      <c r="J19" s="99">
        <v>2497.1799999999998</v>
      </c>
      <c r="K19" s="99">
        <v>-424.92</v>
      </c>
      <c r="L19" s="99">
        <v>0</v>
      </c>
    </row>
    <row r="20" spans="1:12" x14ac:dyDescent="0.25">
      <c r="A20" s="97" t="s">
        <v>810</v>
      </c>
      <c r="B20" s="98" t="s">
        <v>323</v>
      </c>
      <c r="C20" s="99">
        <v>0</v>
      </c>
      <c r="D20" s="99">
        <v>0</v>
      </c>
      <c r="E20" s="99">
        <v>0</v>
      </c>
      <c r="F20" s="99">
        <v>0</v>
      </c>
      <c r="G20" s="99">
        <v>994</v>
      </c>
      <c r="H20" s="99">
        <v>1409.98</v>
      </c>
      <c r="I20" s="99">
        <v>994</v>
      </c>
      <c r="J20" s="99">
        <v>1409.98</v>
      </c>
      <c r="K20" s="99">
        <v>0</v>
      </c>
      <c r="L20" s="99">
        <v>415.98</v>
      </c>
    </row>
    <row r="21" spans="1:12" x14ac:dyDescent="0.25">
      <c r="A21" s="97" t="s">
        <v>811</v>
      </c>
      <c r="B21" s="98" t="s">
        <v>812</v>
      </c>
      <c r="C21" s="99">
        <v>17.45</v>
      </c>
      <c r="D21" s="99">
        <v>0</v>
      </c>
      <c r="E21" s="99">
        <v>17.45</v>
      </c>
      <c r="F21" s="99">
        <v>0</v>
      </c>
      <c r="G21" s="99">
        <v>170661.18</v>
      </c>
      <c r="H21" s="99">
        <v>162561.35</v>
      </c>
      <c r="I21" s="99">
        <v>170661.18</v>
      </c>
      <c r="J21" s="99">
        <v>162561.35</v>
      </c>
      <c r="K21" s="99">
        <v>8117.28</v>
      </c>
      <c r="L21" s="99">
        <v>0</v>
      </c>
    </row>
    <row r="22" spans="1:12" x14ac:dyDescent="0.25">
      <c r="A22" s="97" t="s">
        <v>813</v>
      </c>
      <c r="B22" s="98" t="s">
        <v>814</v>
      </c>
      <c r="C22" s="99">
        <v>0</v>
      </c>
      <c r="D22" s="99">
        <v>0</v>
      </c>
      <c r="E22" s="99">
        <v>0</v>
      </c>
      <c r="F22" s="99">
        <v>0</v>
      </c>
      <c r="G22" s="99">
        <v>2032.8</v>
      </c>
      <c r="H22" s="99">
        <v>2032.8</v>
      </c>
      <c r="I22" s="99">
        <v>2032.8</v>
      </c>
      <c r="J22" s="99">
        <v>2032.8</v>
      </c>
      <c r="K22" s="99">
        <v>0</v>
      </c>
      <c r="L22" s="99">
        <v>0</v>
      </c>
    </row>
    <row r="23" spans="1:12" x14ac:dyDescent="0.25">
      <c r="A23" s="97" t="s">
        <v>815</v>
      </c>
      <c r="B23" s="98" t="s">
        <v>816</v>
      </c>
      <c r="C23" s="99">
        <v>0</v>
      </c>
      <c r="D23" s="99">
        <v>0</v>
      </c>
      <c r="E23" s="99">
        <v>0</v>
      </c>
      <c r="F23" s="99">
        <v>0</v>
      </c>
      <c r="G23" s="99">
        <v>495333.79</v>
      </c>
      <c r="H23" s="99">
        <v>495333.79</v>
      </c>
      <c r="I23" s="99">
        <v>495333.79</v>
      </c>
      <c r="J23" s="99">
        <v>495333.79</v>
      </c>
      <c r="K23" s="99">
        <v>0</v>
      </c>
      <c r="L23" s="99">
        <v>0</v>
      </c>
    </row>
    <row r="24" spans="1:12" x14ac:dyDescent="0.25">
      <c r="A24" s="97" t="s">
        <v>817</v>
      </c>
      <c r="B24" s="98" t="s">
        <v>733</v>
      </c>
      <c r="C24" s="99">
        <v>0</v>
      </c>
      <c r="D24" s="99">
        <v>0</v>
      </c>
      <c r="E24" s="99">
        <v>0</v>
      </c>
      <c r="F24" s="99">
        <v>0</v>
      </c>
      <c r="G24" s="99">
        <v>135853.13</v>
      </c>
      <c r="H24" s="99">
        <v>135853.13</v>
      </c>
      <c r="I24" s="99">
        <v>135853.13</v>
      </c>
      <c r="J24" s="99">
        <v>135853.13</v>
      </c>
      <c r="K24" s="99">
        <v>0</v>
      </c>
      <c r="L24" s="99">
        <v>0</v>
      </c>
    </row>
    <row r="25" spans="1:12" x14ac:dyDescent="0.25">
      <c r="A25" s="97" t="s">
        <v>818</v>
      </c>
      <c r="B25" s="98" t="s">
        <v>339</v>
      </c>
      <c r="C25" s="99">
        <v>0</v>
      </c>
      <c r="D25" s="99">
        <v>0</v>
      </c>
      <c r="E25" s="99">
        <v>0</v>
      </c>
      <c r="F25" s="99">
        <v>0</v>
      </c>
      <c r="G25" s="99">
        <v>78098.81</v>
      </c>
      <c r="H25" s="99">
        <v>38109.85</v>
      </c>
      <c r="I25" s="99">
        <v>78098.81</v>
      </c>
      <c r="J25" s="99">
        <v>38109.85</v>
      </c>
      <c r="K25" s="99">
        <v>39988.959999999999</v>
      </c>
      <c r="L25" s="99">
        <v>0</v>
      </c>
    </row>
    <row r="26" spans="1:12" x14ac:dyDescent="0.25">
      <c r="A26" s="97" t="s">
        <v>819</v>
      </c>
      <c r="B26" s="98" t="s">
        <v>349</v>
      </c>
      <c r="C26" s="99">
        <v>8311.2000000000007</v>
      </c>
      <c r="D26" s="99">
        <v>0</v>
      </c>
      <c r="E26" s="99">
        <v>8311.2000000000007</v>
      </c>
      <c r="F26" s="99">
        <v>0</v>
      </c>
      <c r="G26" s="99">
        <v>3409.16</v>
      </c>
      <c r="H26" s="99">
        <v>3409.16</v>
      </c>
      <c r="I26" s="99">
        <v>3409.16</v>
      </c>
      <c r="J26" s="99">
        <v>3409.16</v>
      </c>
      <c r="K26" s="99">
        <v>8311.2000000000007</v>
      </c>
      <c r="L26" s="99">
        <v>0</v>
      </c>
    </row>
    <row r="27" spans="1:12" x14ac:dyDescent="0.25">
      <c r="A27" s="97" t="s">
        <v>820</v>
      </c>
      <c r="B27" s="98" t="s">
        <v>821</v>
      </c>
      <c r="C27" s="99">
        <v>0</v>
      </c>
      <c r="D27" s="99">
        <v>0</v>
      </c>
      <c r="E27" s="99">
        <v>0</v>
      </c>
      <c r="F27" s="99">
        <v>0</v>
      </c>
      <c r="G27" s="99">
        <v>29526.54</v>
      </c>
      <c r="H27" s="99">
        <v>24807.37</v>
      </c>
      <c r="I27" s="99">
        <v>29526.54</v>
      </c>
      <c r="J27" s="99">
        <v>24807.37</v>
      </c>
      <c r="K27" s="99">
        <v>4719.17</v>
      </c>
      <c r="L27" s="99">
        <v>0</v>
      </c>
    </row>
    <row r="28" spans="1:12" x14ac:dyDescent="0.25">
      <c r="A28" s="97" t="s">
        <v>822</v>
      </c>
      <c r="B28" s="98" t="s">
        <v>363</v>
      </c>
      <c r="C28" s="99">
        <v>0</v>
      </c>
      <c r="D28" s="99">
        <v>1695.6</v>
      </c>
      <c r="E28" s="99">
        <v>0</v>
      </c>
      <c r="F28" s="99">
        <v>1695.6</v>
      </c>
      <c r="G28" s="99">
        <v>222462.42</v>
      </c>
      <c r="H28" s="99">
        <v>324845.58</v>
      </c>
      <c r="I28" s="99">
        <v>222462.42</v>
      </c>
      <c r="J28" s="99">
        <v>324845.58</v>
      </c>
      <c r="K28" s="99">
        <v>0</v>
      </c>
      <c r="L28" s="99">
        <v>104078.76</v>
      </c>
    </row>
    <row r="29" spans="1:12" x14ac:dyDescent="0.25">
      <c r="A29" s="97" t="s">
        <v>823</v>
      </c>
      <c r="B29" s="98" t="s">
        <v>824</v>
      </c>
      <c r="C29" s="99">
        <v>0</v>
      </c>
      <c r="D29" s="99">
        <v>100</v>
      </c>
      <c r="E29" s="99">
        <v>0</v>
      </c>
      <c r="F29" s="99">
        <v>100</v>
      </c>
      <c r="G29" s="99">
        <v>10817.79</v>
      </c>
      <c r="H29" s="99">
        <v>12958.84</v>
      </c>
      <c r="I29" s="99">
        <v>10817.79</v>
      </c>
      <c r="J29" s="99">
        <v>12958.84</v>
      </c>
      <c r="K29" s="99">
        <v>0</v>
      </c>
      <c r="L29" s="99">
        <v>2241.0500000000002</v>
      </c>
    </row>
    <row r="30" spans="1:12" x14ac:dyDescent="0.25">
      <c r="A30" s="97" t="s">
        <v>825</v>
      </c>
      <c r="B30" s="98" t="s">
        <v>381</v>
      </c>
      <c r="C30" s="99">
        <v>0</v>
      </c>
      <c r="D30" s="99">
        <v>0</v>
      </c>
      <c r="E30" s="99">
        <v>0</v>
      </c>
      <c r="F30" s="99">
        <v>0</v>
      </c>
      <c r="G30" s="99">
        <v>924</v>
      </c>
      <c r="H30" s="99">
        <v>924</v>
      </c>
      <c r="I30" s="99">
        <v>924</v>
      </c>
      <c r="J30" s="99">
        <v>924</v>
      </c>
      <c r="K30" s="99">
        <v>0</v>
      </c>
      <c r="L30" s="99">
        <v>0</v>
      </c>
    </row>
    <row r="31" spans="1:12" x14ac:dyDescent="0.25">
      <c r="A31" s="97" t="s">
        <v>826</v>
      </c>
      <c r="B31" s="98" t="s">
        <v>383</v>
      </c>
      <c r="C31" s="99">
        <v>0</v>
      </c>
      <c r="D31" s="99">
        <v>0</v>
      </c>
      <c r="E31" s="99">
        <v>0</v>
      </c>
      <c r="F31" s="99">
        <v>0</v>
      </c>
      <c r="G31" s="99">
        <v>392.66</v>
      </c>
      <c r="H31" s="99">
        <v>434.96</v>
      </c>
      <c r="I31" s="99">
        <v>392.66</v>
      </c>
      <c r="J31" s="99">
        <v>434.96</v>
      </c>
      <c r="K31" s="99">
        <v>0</v>
      </c>
      <c r="L31" s="99">
        <v>42.3</v>
      </c>
    </row>
    <row r="32" spans="1:12" x14ac:dyDescent="0.25">
      <c r="A32" s="97" t="s">
        <v>827</v>
      </c>
      <c r="B32" s="98" t="s">
        <v>385</v>
      </c>
      <c r="C32" s="99">
        <v>0</v>
      </c>
      <c r="D32" s="99">
        <v>0</v>
      </c>
      <c r="E32" s="99">
        <v>0</v>
      </c>
      <c r="F32" s="99">
        <v>0</v>
      </c>
      <c r="G32" s="99">
        <v>38304.74</v>
      </c>
      <c r="H32" s="99">
        <v>42275.43</v>
      </c>
      <c r="I32" s="99">
        <v>38304.74</v>
      </c>
      <c r="J32" s="99">
        <v>42275.43</v>
      </c>
      <c r="K32" s="99">
        <v>0</v>
      </c>
      <c r="L32" s="99">
        <v>3970.69</v>
      </c>
    </row>
    <row r="33" spans="1:12" x14ac:dyDescent="0.25">
      <c r="A33" s="97" t="s">
        <v>828</v>
      </c>
      <c r="B33" s="98" t="s">
        <v>389</v>
      </c>
      <c r="C33" s="99">
        <v>0</v>
      </c>
      <c r="D33" s="99">
        <v>0</v>
      </c>
      <c r="E33" s="99">
        <v>0</v>
      </c>
      <c r="F33" s="99">
        <v>0</v>
      </c>
      <c r="G33" s="99">
        <v>1029.5999999999999</v>
      </c>
      <c r="H33" s="99">
        <v>1029.5999999999999</v>
      </c>
      <c r="I33" s="99">
        <v>1029.5999999999999</v>
      </c>
      <c r="J33" s="99">
        <v>1029.5999999999999</v>
      </c>
      <c r="K33" s="99">
        <v>0</v>
      </c>
      <c r="L33" s="99">
        <v>0</v>
      </c>
    </row>
    <row r="34" spans="1:12" x14ac:dyDescent="0.25">
      <c r="A34" s="97" t="s">
        <v>829</v>
      </c>
      <c r="B34" s="98" t="s">
        <v>830</v>
      </c>
      <c r="C34" s="99">
        <v>0</v>
      </c>
      <c r="D34" s="99">
        <v>0</v>
      </c>
      <c r="E34" s="99">
        <v>0</v>
      </c>
      <c r="F34" s="99">
        <v>0</v>
      </c>
      <c r="G34" s="99">
        <v>15763.79</v>
      </c>
      <c r="H34" s="99">
        <v>18164.900000000001</v>
      </c>
      <c r="I34" s="99">
        <v>15763.79</v>
      </c>
      <c r="J34" s="99">
        <v>18164.900000000001</v>
      </c>
      <c r="K34" s="99">
        <v>0</v>
      </c>
      <c r="L34" s="99">
        <v>2401.11</v>
      </c>
    </row>
    <row r="35" spans="1:12" x14ac:dyDescent="0.25">
      <c r="A35" s="97" t="s">
        <v>831</v>
      </c>
      <c r="B35" s="98" t="s">
        <v>832</v>
      </c>
      <c r="C35" s="99">
        <v>0</v>
      </c>
      <c r="D35" s="99">
        <v>0</v>
      </c>
      <c r="E35" s="99">
        <v>0</v>
      </c>
      <c r="F35" s="99">
        <v>0</v>
      </c>
      <c r="G35" s="99">
        <v>4462.0600000000004</v>
      </c>
      <c r="H35" s="99">
        <v>5028.9399999999996</v>
      </c>
      <c r="I35" s="99">
        <v>4462.0600000000004</v>
      </c>
      <c r="J35" s="99">
        <v>5028.9399999999996</v>
      </c>
      <c r="K35" s="99">
        <v>0</v>
      </c>
      <c r="L35" s="99">
        <v>566.88</v>
      </c>
    </row>
    <row r="36" spans="1:12" x14ac:dyDescent="0.25">
      <c r="A36" s="97" t="s">
        <v>833</v>
      </c>
      <c r="B36" s="98" t="s">
        <v>834</v>
      </c>
      <c r="C36" s="99">
        <v>0</v>
      </c>
      <c r="D36" s="99">
        <v>-16288.82</v>
      </c>
      <c r="E36" s="99">
        <v>0</v>
      </c>
      <c r="F36" s="99">
        <v>-16288.82</v>
      </c>
      <c r="G36" s="99">
        <v>82858.27</v>
      </c>
      <c r="H36" s="99">
        <v>99443.95</v>
      </c>
      <c r="I36" s="99">
        <v>82858.27</v>
      </c>
      <c r="J36" s="99">
        <v>99443.95</v>
      </c>
      <c r="K36" s="99">
        <v>0</v>
      </c>
      <c r="L36" s="99">
        <v>296.86</v>
      </c>
    </row>
    <row r="37" spans="1:12" x14ac:dyDescent="0.25">
      <c r="A37" s="97" t="s">
        <v>835</v>
      </c>
      <c r="B37" s="98" t="s">
        <v>413</v>
      </c>
      <c r="C37" s="99">
        <v>0</v>
      </c>
      <c r="D37" s="99">
        <v>0</v>
      </c>
      <c r="E37" s="99">
        <v>0</v>
      </c>
      <c r="F37" s="99">
        <v>0</v>
      </c>
      <c r="G37" s="99">
        <v>37.119999999999997</v>
      </c>
      <c r="H37" s="99">
        <v>37.119999999999997</v>
      </c>
      <c r="I37" s="99">
        <v>37.119999999999997</v>
      </c>
      <c r="J37" s="99">
        <v>37.119999999999997</v>
      </c>
      <c r="K37" s="99">
        <v>0</v>
      </c>
      <c r="L37" s="99">
        <v>0</v>
      </c>
    </row>
    <row r="38" spans="1:12" x14ac:dyDescent="0.25">
      <c r="A38" s="97" t="s">
        <v>836</v>
      </c>
      <c r="B38" s="98" t="s">
        <v>837</v>
      </c>
      <c r="C38" s="99">
        <v>0</v>
      </c>
      <c r="D38" s="99">
        <v>196002</v>
      </c>
      <c r="E38" s="99">
        <v>0</v>
      </c>
      <c r="F38" s="99">
        <v>196002</v>
      </c>
      <c r="G38" s="99">
        <v>304417.87</v>
      </c>
      <c r="H38" s="99">
        <v>360734.14</v>
      </c>
      <c r="I38" s="99">
        <v>304417.87</v>
      </c>
      <c r="J38" s="99">
        <v>360734.14</v>
      </c>
      <c r="K38" s="99">
        <v>0</v>
      </c>
      <c r="L38" s="99">
        <v>252318.27</v>
      </c>
    </row>
    <row r="39" spans="1:12" x14ac:dyDescent="0.25">
      <c r="A39" s="97" t="s">
        <v>904</v>
      </c>
      <c r="B39" s="98" t="s">
        <v>737</v>
      </c>
      <c r="C39" s="99">
        <v>0</v>
      </c>
      <c r="D39" s="99">
        <v>0</v>
      </c>
      <c r="E39" s="99">
        <v>0</v>
      </c>
      <c r="F39" s="99">
        <v>0</v>
      </c>
      <c r="G39" s="99">
        <v>300</v>
      </c>
      <c r="H39" s="99">
        <v>300</v>
      </c>
      <c r="I39" s="99">
        <v>300</v>
      </c>
      <c r="J39" s="99">
        <v>300</v>
      </c>
      <c r="K39" s="99">
        <v>0</v>
      </c>
      <c r="L39" s="99">
        <v>0</v>
      </c>
    </row>
    <row r="40" spans="1:12" x14ac:dyDescent="0.25">
      <c r="A40" s="97" t="s">
        <v>838</v>
      </c>
      <c r="B40" s="98" t="s">
        <v>55</v>
      </c>
      <c r="C40" s="99">
        <v>0</v>
      </c>
      <c r="D40" s="99">
        <v>0</v>
      </c>
      <c r="E40" s="99">
        <v>0</v>
      </c>
      <c r="F40" s="99">
        <v>0</v>
      </c>
      <c r="G40" s="99">
        <v>212.11</v>
      </c>
      <c r="H40" s="99">
        <v>212.11</v>
      </c>
      <c r="I40" s="99">
        <v>212.11</v>
      </c>
      <c r="J40" s="99">
        <v>212.11</v>
      </c>
      <c r="K40" s="99">
        <v>0</v>
      </c>
      <c r="L40" s="99">
        <v>0</v>
      </c>
    </row>
    <row r="41" spans="1:12" x14ac:dyDescent="0.25">
      <c r="A41" s="97" t="s">
        <v>839</v>
      </c>
      <c r="B41" s="98" t="s">
        <v>741</v>
      </c>
      <c r="C41" s="99">
        <v>0</v>
      </c>
      <c r="D41" s="99">
        <v>36270.67</v>
      </c>
      <c r="E41" s="99">
        <v>0</v>
      </c>
      <c r="F41" s="99">
        <v>36270.67</v>
      </c>
      <c r="G41" s="99">
        <v>4775.55</v>
      </c>
      <c r="H41" s="99">
        <v>9447.7099999999991</v>
      </c>
      <c r="I41" s="99">
        <v>4775.55</v>
      </c>
      <c r="J41" s="99">
        <v>9447.7099999999991</v>
      </c>
      <c r="K41" s="99">
        <v>0</v>
      </c>
      <c r="L41" s="99">
        <v>40942.83</v>
      </c>
    </row>
    <row r="42" spans="1:12" x14ac:dyDescent="0.25">
      <c r="A42" s="97" t="s">
        <v>840</v>
      </c>
      <c r="B42" s="98" t="s">
        <v>431</v>
      </c>
      <c r="C42" s="99">
        <v>0</v>
      </c>
      <c r="D42" s="99">
        <v>0</v>
      </c>
      <c r="E42" s="99">
        <v>0</v>
      </c>
      <c r="F42" s="99">
        <v>0</v>
      </c>
      <c r="G42" s="99">
        <v>144.43</v>
      </c>
      <c r="H42" s="99">
        <v>20.190000000000001</v>
      </c>
      <c r="I42" s="99">
        <v>144.43</v>
      </c>
      <c r="J42" s="99">
        <v>20.190000000000001</v>
      </c>
      <c r="K42" s="99">
        <v>124.24</v>
      </c>
      <c r="L42" s="99">
        <v>0</v>
      </c>
    </row>
    <row r="43" spans="1:12" x14ac:dyDescent="0.25">
      <c r="A43" s="97" t="s">
        <v>841</v>
      </c>
      <c r="B43" s="98" t="s">
        <v>433</v>
      </c>
      <c r="C43" s="99">
        <v>0</v>
      </c>
      <c r="D43" s="99">
        <v>0</v>
      </c>
      <c r="E43" s="99">
        <v>0</v>
      </c>
      <c r="F43" s="99">
        <v>0</v>
      </c>
      <c r="G43" s="99">
        <v>5054.37</v>
      </c>
      <c r="H43" s="99">
        <v>3407.12</v>
      </c>
      <c r="I43" s="99">
        <v>5054.37</v>
      </c>
      <c r="J43" s="99">
        <v>3407.12</v>
      </c>
      <c r="K43" s="99">
        <v>1647.25</v>
      </c>
      <c r="L43" s="99">
        <v>0</v>
      </c>
    </row>
    <row r="44" spans="1:12" x14ac:dyDescent="0.25">
      <c r="A44" s="97" t="s">
        <v>842</v>
      </c>
      <c r="B44" s="98" t="s">
        <v>843</v>
      </c>
      <c r="C44" s="99">
        <v>0</v>
      </c>
      <c r="D44" s="99">
        <v>0</v>
      </c>
      <c r="E44" s="99">
        <v>0</v>
      </c>
      <c r="F44" s="99">
        <v>0</v>
      </c>
      <c r="G44" s="99">
        <v>62.11</v>
      </c>
      <c r="H44" s="99">
        <v>62.11</v>
      </c>
      <c r="I44" s="99">
        <v>62.11</v>
      </c>
      <c r="J44" s="99">
        <v>62.11</v>
      </c>
      <c r="K44" s="99">
        <v>0</v>
      </c>
      <c r="L44" s="99">
        <v>0</v>
      </c>
    </row>
    <row r="45" spans="1:12" x14ac:dyDescent="0.25">
      <c r="A45" s="97" t="s">
        <v>844</v>
      </c>
      <c r="B45" s="98" t="s">
        <v>439</v>
      </c>
      <c r="C45" s="99">
        <v>0</v>
      </c>
      <c r="D45" s="99">
        <v>0</v>
      </c>
      <c r="E45" s="99">
        <v>0</v>
      </c>
      <c r="F45" s="99">
        <v>0</v>
      </c>
      <c r="G45" s="99">
        <v>237214.96</v>
      </c>
      <c r="H45" s="99">
        <v>237214.96</v>
      </c>
      <c r="I45" s="99">
        <v>237214.96</v>
      </c>
      <c r="J45" s="99">
        <v>237214.96</v>
      </c>
      <c r="K45" s="99">
        <v>0</v>
      </c>
      <c r="L45" s="99">
        <v>0</v>
      </c>
    </row>
    <row r="46" spans="1:12" x14ac:dyDescent="0.25">
      <c r="A46" s="97" t="s">
        <v>845</v>
      </c>
      <c r="B46" s="98" t="s">
        <v>151</v>
      </c>
      <c r="C46" s="99">
        <v>0</v>
      </c>
      <c r="D46" s="99">
        <v>5000</v>
      </c>
      <c r="E46" s="99">
        <v>0</v>
      </c>
      <c r="F46" s="99">
        <v>5000</v>
      </c>
      <c r="G46" s="99">
        <v>0</v>
      </c>
      <c r="H46" s="99">
        <v>0</v>
      </c>
      <c r="I46" s="99">
        <v>0</v>
      </c>
      <c r="J46" s="99">
        <v>0</v>
      </c>
      <c r="K46" s="99">
        <v>0</v>
      </c>
      <c r="L46" s="99">
        <v>5000</v>
      </c>
    </row>
    <row r="47" spans="1:12" x14ac:dyDescent="0.25">
      <c r="A47" s="97" t="s">
        <v>846</v>
      </c>
      <c r="B47" s="98" t="s">
        <v>214</v>
      </c>
      <c r="C47" s="99">
        <v>70905.460000000006</v>
      </c>
      <c r="D47" s="99">
        <v>0</v>
      </c>
      <c r="E47" s="99">
        <v>70905.460000000006</v>
      </c>
      <c r="F47" s="99">
        <v>0</v>
      </c>
      <c r="G47" s="99">
        <v>0</v>
      </c>
      <c r="H47" s="99">
        <v>-70366.880000000005</v>
      </c>
      <c r="I47" s="99">
        <v>0</v>
      </c>
      <c r="J47" s="99">
        <v>-70366.880000000005</v>
      </c>
      <c r="K47" s="99">
        <v>141272.34</v>
      </c>
      <c r="L47" s="99">
        <v>0</v>
      </c>
    </row>
    <row r="48" spans="1:12" x14ac:dyDescent="0.25">
      <c r="A48" s="97" t="s">
        <v>847</v>
      </c>
      <c r="B48" s="98" t="s">
        <v>448</v>
      </c>
      <c r="C48" s="99">
        <v>70366.880000000005</v>
      </c>
      <c r="D48" s="99">
        <v>0</v>
      </c>
      <c r="E48" s="99">
        <v>0</v>
      </c>
      <c r="F48" s="99">
        <v>-70366.880000000005</v>
      </c>
      <c r="G48" s="99">
        <v>-70366.880000000005</v>
      </c>
      <c r="H48" s="99">
        <v>0</v>
      </c>
      <c r="I48" s="99">
        <v>-70366.880000000005</v>
      </c>
      <c r="J48" s="99">
        <v>0</v>
      </c>
      <c r="K48" s="99">
        <v>0</v>
      </c>
      <c r="L48" s="99">
        <v>0</v>
      </c>
    </row>
    <row r="49" spans="1:12" x14ac:dyDescent="0.25">
      <c r="A49" s="97" t="s">
        <v>848</v>
      </c>
      <c r="B49" s="98" t="s">
        <v>450</v>
      </c>
      <c r="C49" s="99">
        <v>0</v>
      </c>
      <c r="D49" s="99">
        <v>0</v>
      </c>
      <c r="E49" s="99">
        <v>0</v>
      </c>
      <c r="F49" s="99">
        <v>0</v>
      </c>
      <c r="G49" s="99">
        <v>107.46</v>
      </c>
      <c r="H49" s="99">
        <v>229.73</v>
      </c>
      <c r="I49" s="99">
        <v>107.46</v>
      </c>
      <c r="J49" s="99">
        <v>229.73</v>
      </c>
      <c r="K49" s="99">
        <v>0</v>
      </c>
      <c r="L49" s="99">
        <v>122.27</v>
      </c>
    </row>
    <row r="50" spans="1:12" x14ac:dyDescent="0.25">
      <c r="A50" s="97" t="s">
        <v>849</v>
      </c>
      <c r="B50" s="98" t="s">
        <v>850</v>
      </c>
      <c r="C50" s="99">
        <v>0</v>
      </c>
      <c r="D50" s="99">
        <v>1117.55</v>
      </c>
      <c r="E50" s="99">
        <v>0</v>
      </c>
      <c r="F50" s="99">
        <v>1117.55</v>
      </c>
      <c r="G50" s="99">
        <v>1282</v>
      </c>
      <c r="H50" s="99">
        <v>0</v>
      </c>
      <c r="I50" s="99">
        <v>1282</v>
      </c>
      <c r="J50" s="99">
        <v>0</v>
      </c>
      <c r="K50" s="99">
        <v>0</v>
      </c>
      <c r="L50" s="99">
        <v>-164.45</v>
      </c>
    </row>
    <row r="51" spans="1:12" x14ac:dyDescent="0.25">
      <c r="A51" s="97" t="s">
        <v>851</v>
      </c>
      <c r="B51" s="98" t="s">
        <v>852</v>
      </c>
      <c r="C51" s="99">
        <v>0</v>
      </c>
      <c r="D51" s="99">
        <v>0</v>
      </c>
      <c r="E51" s="99">
        <v>0</v>
      </c>
      <c r="F51" s="99">
        <v>0</v>
      </c>
      <c r="G51" s="99">
        <v>5668.17</v>
      </c>
      <c r="H51" s="99">
        <v>33.24</v>
      </c>
      <c r="I51" s="99">
        <v>5668.17</v>
      </c>
      <c r="J51" s="99">
        <v>33.24</v>
      </c>
      <c r="K51" s="99">
        <v>5634.93</v>
      </c>
      <c r="L51" s="99">
        <v>0</v>
      </c>
    </row>
    <row r="52" spans="1:12" x14ac:dyDescent="0.25">
      <c r="A52" s="97" t="s">
        <v>853</v>
      </c>
      <c r="B52" s="98" t="s">
        <v>854</v>
      </c>
      <c r="C52" s="99">
        <v>0</v>
      </c>
      <c r="D52" s="99">
        <v>0</v>
      </c>
      <c r="E52" s="99">
        <v>0</v>
      </c>
      <c r="F52" s="99">
        <v>0</v>
      </c>
      <c r="G52" s="99">
        <v>1935.61</v>
      </c>
      <c r="H52" s="99">
        <v>0</v>
      </c>
      <c r="I52" s="99">
        <v>1935.61</v>
      </c>
      <c r="J52" s="99">
        <v>0</v>
      </c>
      <c r="K52" s="99">
        <v>1935.61</v>
      </c>
      <c r="L52" s="99">
        <v>0</v>
      </c>
    </row>
    <row r="53" spans="1:12" x14ac:dyDescent="0.25">
      <c r="A53" s="97" t="s">
        <v>855</v>
      </c>
      <c r="B53" s="98" t="s">
        <v>856</v>
      </c>
      <c r="C53" s="99">
        <v>0</v>
      </c>
      <c r="D53" s="99">
        <v>0</v>
      </c>
      <c r="E53" s="99">
        <v>0</v>
      </c>
      <c r="F53" s="99">
        <v>0</v>
      </c>
      <c r="G53" s="99">
        <v>165784.26999999999</v>
      </c>
      <c r="H53" s="99">
        <v>0</v>
      </c>
      <c r="I53" s="99">
        <v>165784.26999999999</v>
      </c>
      <c r="J53" s="99">
        <v>0</v>
      </c>
      <c r="K53" s="99">
        <v>165784.26999999999</v>
      </c>
      <c r="L53" s="99">
        <v>0</v>
      </c>
    </row>
    <row r="54" spans="1:12" x14ac:dyDescent="0.25">
      <c r="A54" s="97" t="s">
        <v>857</v>
      </c>
      <c r="B54" s="98" t="s">
        <v>514</v>
      </c>
      <c r="C54" s="99">
        <v>0</v>
      </c>
      <c r="D54" s="99">
        <v>0</v>
      </c>
      <c r="E54" s="99">
        <v>0</v>
      </c>
      <c r="F54" s="99">
        <v>0</v>
      </c>
      <c r="G54" s="99">
        <v>1409.98</v>
      </c>
      <c r="H54" s="99">
        <v>994</v>
      </c>
      <c r="I54" s="99">
        <v>1409.98</v>
      </c>
      <c r="J54" s="99">
        <v>994</v>
      </c>
      <c r="K54" s="99">
        <v>415.98</v>
      </c>
      <c r="L54" s="99">
        <v>0</v>
      </c>
    </row>
    <row r="55" spans="1:12" x14ac:dyDescent="0.25">
      <c r="A55" s="97" t="s">
        <v>858</v>
      </c>
      <c r="B55" s="98" t="s">
        <v>859</v>
      </c>
      <c r="C55" s="99">
        <v>0</v>
      </c>
      <c r="D55" s="99">
        <v>0</v>
      </c>
      <c r="E55" s="99">
        <v>0</v>
      </c>
      <c r="F55" s="99">
        <v>0</v>
      </c>
      <c r="G55" s="99">
        <v>281.98</v>
      </c>
      <c r="H55" s="99">
        <v>0</v>
      </c>
      <c r="I55" s="99">
        <v>281.98</v>
      </c>
      <c r="J55" s="99">
        <v>0</v>
      </c>
      <c r="K55" s="99">
        <v>281.98</v>
      </c>
      <c r="L55" s="99">
        <v>0</v>
      </c>
    </row>
    <row r="56" spans="1:12" x14ac:dyDescent="0.25">
      <c r="A56" s="97" t="s">
        <v>860</v>
      </c>
      <c r="B56" s="98" t="s">
        <v>520</v>
      </c>
      <c r="C56" s="99">
        <v>0</v>
      </c>
      <c r="D56" s="99">
        <v>0</v>
      </c>
      <c r="E56" s="99">
        <v>0</v>
      </c>
      <c r="F56" s="99">
        <v>0</v>
      </c>
      <c r="G56" s="99">
        <v>1.49</v>
      </c>
      <c r="H56" s="99">
        <v>0</v>
      </c>
      <c r="I56" s="99">
        <v>1.49</v>
      </c>
      <c r="J56" s="99">
        <v>0</v>
      </c>
      <c r="K56" s="99">
        <v>1.49</v>
      </c>
      <c r="L56" s="99">
        <v>0</v>
      </c>
    </row>
    <row r="57" spans="1:12" x14ac:dyDescent="0.25">
      <c r="A57" s="97" t="s">
        <v>861</v>
      </c>
      <c r="B57" s="98" t="s">
        <v>862</v>
      </c>
      <c r="C57" s="99">
        <v>0</v>
      </c>
      <c r="D57" s="99">
        <v>0</v>
      </c>
      <c r="E57" s="99">
        <v>0</v>
      </c>
      <c r="F57" s="99">
        <v>0</v>
      </c>
      <c r="G57" s="99">
        <v>53179.62</v>
      </c>
      <c r="H57" s="99">
        <v>509.35</v>
      </c>
      <c r="I57" s="99">
        <v>53179.62</v>
      </c>
      <c r="J57" s="99">
        <v>509.35</v>
      </c>
      <c r="K57" s="99">
        <v>52670.27</v>
      </c>
      <c r="L57" s="99">
        <v>0</v>
      </c>
    </row>
    <row r="58" spans="1:12" x14ac:dyDescent="0.25">
      <c r="A58" s="97" t="s">
        <v>863</v>
      </c>
      <c r="B58" s="98" t="s">
        <v>574</v>
      </c>
      <c r="C58" s="99">
        <v>0</v>
      </c>
      <c r="D58" s="99">
        <v>0</v>
      </c>
      <c r="E58" s="99">
        <v>0</v>
      </c>
      <c r="F58" s="99">
        <v>0</v>
      </c>
      <c r="G58" s="99">
        <v>51713.77</v>
      </c>
      <c r="H58" s="99">
        <v>5115.47</v>
      </c>
      <c r="I58" s="99">
        <v>51713.77</v>
      </c>
      <c r="J58" s="99">
        <v>5115.47</v>
      </c>
      <c r="K58" s="99">
        <v>46598.3</v>
      </c>
      <c r="L58" s="99">
        <v>0</v>
      </c>
    </row>
    <row r="59" spans="1:12" x14ac:dyDescent="0.25">
      <c r="A59" s="97" t="s">
        <v>864</v>
      </c>
      <c r="B59" s="98" t="s">
        <v>598</v>
      </c>
      <c r="C59" s="99">
        <v>0</v>
      </c>
      <c r="D59" s="99">
        <v>0</v>
      </c>
      <c r="E59" s="99">
        <v>0</v>
      </c>
      <c r="F59" s="99">
        <v>0</v>
      </c>
      <c r="G59" s="99">
        <v>16555.79</v>
      </c>
      <c r="H59" s="99">
        <v>1799.24</v>
      </c>
      <c r="I59" s="99">
        <v>16555.79</v>
      </c>
      <c r="J59" s="99">
        <v>1799.24</v>
      </c>
      <c r="K59" s="99">
        <v>14756.55</v>
      </c>
      <c r="L59" s="99">
        <v>0</v>
      </c>
    </row>
    <row r="60" spans="1:12" x14ac:dyDescent="0.25">
      <c r="A60" s="97" t="s">
        <v>865</v>
      </c>
      <c r="B60" s="98" t="s">
        <v>866</v>
      </c>
      <c r="C60" s="99">
        <v>0</v>
      </c>
      <c r="D60" s="99">
        <v>0</v>
      </c>
      <c r="E60" s="99">
        <v>0</v>
      </c>
      <c r="F60" s="99">
        <v>0</v>
      </c>
      <c r="G60" s="99">
        <v>1581.8</v>
      </c>
      <c r="H60" s="99">
        <v>0</v>
      </c>
      <c r="I60" s="99">
        <v>1581.8</v>
      </c>
      <c r="J60" s="99">
        <v>0</v>
      </c>
      <c r="K60" s="99">
        <v>1581.8</v>
      </c>
      <c r="L60" s="99">
        <v>0</v>
      </c>
    </row>
    <row r="61" spans="1:12" x14ac:dyDescent="0.25">
      <c r="A61" s="97" t="s">
        <v>867</v>
      </c>
      <c r="B61" s="98" t="s">
        <v>413</v>
      </c>
      <c r="C61" s="99">
        <v>0</v>
      </c>
      <c r="D61" s="99">
        <v>0</v>
      </c>
      <c r="E61" s="99">
        <v>0</v>
      </c>
      <c r="F61" s="99">
        <v>0</v>
      </c>
      <c r="G61" s="99">
        <v>262.12</v>
      </c>
      <c r="H61" s="99">
        <v>0</v>
      </c>
      <c r="I61" s="99">
        <v>262.12</v>
      </c>
      <c r="J61" s="99">
        <v>0</v>
      </c>
      <c r="K61" s="99">
        <v>262.12</v>
      </c>
      <c r="L61" s="99">
        <v>0</v>
      </c>
    </row>
    <row r="62" spans="1:12" x14ac:dyDescent="0.25">
      <c r="A62" s="97" t="s">
        <v>868</v>
      </c>
      <c r="B62" s="98" t="s">
        <v>869</v>
      </c>
      <c r="C62" s="99">
        <v>0</v>
      </c>
      <c r="D62" s="99">
        <v>0</v>
      </c>
      <c r="E62" s="99">
        <v>0</v>
      </c>
      <c r="F62" s="99">
        <v>0</v>
      </c>
      <c r="G62" s="99">
        <v>514.52</v>
      </c>
      <c r="H62" s="99">
        <v>0</v>
      </c>
      <c r="I62" s="99">
        <v>514.52</v>
      </c>
      <c r="J62" s="99">
        <v>0</v>
      </c>
      <c r="K62" s="99">
        <v>514.52</v>
      </c>
      <c r="L62" s="99">
        <v>0</v>
      </c>
    </row>
    <row r="63" spans="1:12" x14ac:dyDescent="0.25">
      <c r="A63" s="97" t="s">
        <v>870</v>
      </c>
      <c r="B63" s="98" t="s">
        <v>871</v>
      </c>
      <c r="C63" s="99">
        <v>0</v>
      </c>
      <c r="D63" s="99">
        <v>0</v>
      </c>
      <c r="E63" s="99">
        <v>0</v>
      </c>
      <c r="F63" s="99">
        <v>0</v>
      </c>
      <c r="G63" s="99">
        <v>62.11</v>
      </c>
      <c r="H63" s="99">
        <v>62.11</v>
      </c>
      <c r="I63" s="99">
        <v>62.11</v>
      </c>
      <c r="J63" s="99">
        <v>62.11</v>
      </c>
      <c r="K63" s="99">
        <v>0</v>
      </c>
      <c r="L63" s="99">
        <v>0</v>
      </c>
    </row>
    <row r="64" spans="1:12" x14ac:dyDescent="0.25">
      <c r="A64" s="97" t="s">
        <v>872</v>
      </c>
      <c r="B64" s="98" t="s">
        <v>873</v>
      </c>
      <c r="C64" s="99">
        <v>0</v>
      </c>
      <c r="D64" s="99">
        <v>0</v>
      </c>
      <c r="E64" s="99">
        <v>0</v>
      </c>
      <c r="F64" s="99">
        <v>0</v>
      </c>
      <c r="G64" s="99">
        <v>88.94</v>
      </c>
      <c r="H64" s="99">
        <v>0</v>
      </c>
      <c r="I64" s="99">
        <v>88.94</v>
      </c>
      <c r="J64" s="99">
        <v>0</v>
      </c>
      <c r="K64" s="99">
        <v>88.94</v>
      </c>
      <c r="L64" s="99">
        <v>0</v>
      </c>
    </row>
    <row r="65" spans="1:12" x14ac:dyDescent="0.25">
      <c r="A65" s="97" t="s">
        <v>874</v>
      </c>
      <c r="B65" s="98" t="s">
        <v>875</v>
      </c>
      <c r="C65" s="99">
        <v>0</v>
      </c>
      <c r="D65" s="99">
        <v>0</v>
      </c>
      <c r="E65" s="99">
        <v>0</v>
      </c>
      <c r="F65" s="99">
        <v>0</v>
      </c>
      <c r="G65" s="99">
        <v>663.94</v>
      </c>
      <c r="H65" s="99">
        <v>21.3</v>
      </c>
      <c r="I65" s="99">
        <v>663.94</v>
      </c>
      <c r="J65" s="99">
        <v>21.3</v>
      </c>
      <c r="K65" s="99">
        <v>642.64</v>
      </c>
      <c r="L65" s="99">
        <v>0</v>
      </c>
    </row>
    <row r="66" spans="1:12" x14ac:dyDescent="0.25">
      <c r="A66" s="97" t="s">
        <v>876</v>
      </c>
      <c r="B66" s="98" t="s">
        <v>877</v>
      </c>
      <c r="C66" s="99">
        <v>0</v>
      </c>
      <c r="D66" s="99">
        <v>0</v>
      </c>
      <c r="E66" s="99">
        <v>0</v>
      </c>
      <c r="F66" s="99">
        <v>0</v>
      </c>
      <c r="G66" s="99">
        <v>5828.7</v>
      </c>
      <c r="H66" s="99">
        <v>0</v>
      </c>
      <c r="I66" s="99">
        <v>5828.7</v>
      </c>
      <c r="J66" s="99">
        <v>0</v>
      </c>
      <c r="K66" s="99">
        <v>5828.7</v>
      </c>
      <c r="L66" s="99">
        <v>0</v>
      </c>
    </row>
    <row r="67" spans="1:12" x14ac:dyDescent="0.25">
      <c r="A67" s="97" t="s">
        <v>905</v>
      </c>
      <c r="B67" s="98" t="s">
        <v>773</v>
      </c>
      <c r="C67" s="99">
        <v>0</v>
      </c>
      <c r="D67" s="99">
        <v>0</v>
      </c>
      <c r="E67" s="99">
        <v>0</v>
      </c>
      <c r="F67" s="99">
        <v>0</v>
      </c>
      <c r="G67" s="99">
        <v>4250</v>
      </c>
      <c r="H67" s="99">
        <v>0</v>
      </c>
      <c r="I67" s="99">
        <v>4250</v>
      </c>
      <c r="J67" s="99">
        <v>0</v>
      </c>
      <c r="K67" s="99">
        <v>4250</v>
      </c>
      <c r="L67" s="99">
        <v>0</v>
      </c>
    </row>
    <row r="68" spans="1:12" x14ac:dyDescent="0.25">
      <c r="A68" s="97" t="s">
        <v>879</v>
      </c>
      <c r="B68" s="98" t="s">
        <v>880</v>
      </c>
      <c r="C68" s="99">
        <v>0</v>
      </c>
      <c r="D68" s="99">
        <v>0</v>
      </c>
      <c r="E68" s="99">
        <v>0</v>
      </c>
      <c r="F68" s="99">
        <v>0</v>
      </c>
      <c r="G68" s="99">
        <v>17959.13</v>
      </c>
      <c r="H68" s="99">
        <v>0</v>
      </c>
      <c r="I68" s="99">
        <v>17959.13</v>
      </c>
      <c r="J68" s="99">
        <v>0</v>
      </c>
      <c r="K68" s="99">
        <v>17959.13</v>
      </c>
      <c r="L68" s="99">
        <v>0</v>
      </c>
    </row>
    <row r="69" spans="1:12" x14ac:dyDescent="0.25">
      <c r="A69" s="97" t="s">
        <v>881</v>
      </c>
      <c r="B69" s="98" t="s">
        <v>882</v>
      </c>
      <c r="C69" s="99">
        <v>0</v>
      </c>
      <c r="D69" s="99">
        <v>0</v>
      </c>
      <c r="E69" s="99">
        <v>0</v>
      </c>
      <c r="F69" s="99">
        <v>0</v>
      </c>
      <c r="G69" s="99">
        <v>5644.47</v>
      </c>
      <c r="H69" s="99">
        <v>60.32</v>
      </c>
      <c r="I69" s="99">
        <v>5644.47</v>
      </c>
      <c r="J69" s="99">
        <v>60.32</v>
      </c>
      <c r="K69" s="99">
        <v>5584.15</v>
      </c>
      <c r="L69" s="99">
        <v>0</v>
      </c>
    </row>
    <row r="70" spans="1:12" x14ac:dyDescent="0.25">
      <c r="A70" s="97" t="s">
        <v>883</v>
      </c>
      <c r="B70" s="98" t="s">
        <v>884</v>
      </c>
      <c r="C70" s="99">
        <v>0</v>
      </c>
      <c r="D70" s="99">
        <v>0</v>
      </c>
      <c r="E70" s="99">
        <v>0</v>
      </c>
      <c r="F70" s="99">
        <v>0</v>
      </c>
      <c r="G70" s="99">
        <v>0</v>
      </c>
      <c r="H70" s="99">
        <v>1282</v>
      </c>
      <c r="I70" s="99">
        <v>0</v>
      </c>
      <c r="J70" s="99">
        <v>1282</v>
      </c>
      <c r="K70" s="99">
        <v>-1282</v>
      </c>
      <c r="L70" s="99">
        <v>0</v>
      </c>
    </row>
    <row r="71" spans="1:12" x14ac:dyDescent="0.25">
      <c r="A71" s="97" t="s">
        <v>885</v>
      </c>
      <c r="B71" s="98" t="s">
        <v>886</v>
      </c>
      <c r="C71" s="99">
        <v>0</v>
      </c>
      <c r="D71" s="99">
        <v>0</v>
      </c>
      <c r="E71" s="99">
        <v>0</v>
      </c>
      <c r="F71" s="99">
        <v>0</v>
      </c>
      <c r="G71" s="99">
        <v>0</v>
      </c>
      <c r="H71" s="99">
        <v>13658.08</v>
      </c>
      <c r="I71" s="99">
        <v>0</v>
      </c>
      <c r="J71" s="99">
        <v>13658.08</v>
      </c>
      <c r="K71" s="99">
        <v>0</v>
      </c>
      <c r="L71" s="99">
        <v>13658.08</v>
      </c>
    </row>
    <row r="72" spans="1:12" x14ac:dyDescent="0.25">
      <c r="A72" s="97" t="s">
        <v>887</v>
      </c>
      <c r="B72" s="98" t="s">
        <v>888</v>
      </c>
      <c r="C72" s="99">
        <v>0</v>
      </c>
      <c r="D72" s="99">
        <v>0</v>
      </c>
      <c r="E72" s="99">
        <v>0</v>
      </c>
      <c r="F72" s="99">
        <v>0</v>
      </c>
      <c r="G72" s="99">
        <v>593.73</v>
      </c>
      <c r="H72" s="99">
        <v>213732.71</v>
      </c>
      <c r="I72" s="99">
        <v>593.73</v>
      </c>
      <c r="J72" s="99">
        <v>213732.71</v>
      </c>
      <c r="K72" s="99">
        <v>0</v>
      </c>
      <c r="L72" s="99">
        <v>213138.98</v>
      </c>
    </row>
    <row r="73" spans="1:12" x14ac:dyDescent="0.25">
      <c r="A73" s="97" t="s">
        <v>889</v>
      </c>
      <c r="B73" s="98" t="s">
        <v>781</v>
      </c>
      <c r="C73" s="99">
        <v>0</v>
      </c>
      <c r="D73" s="99">
        <v>0</v>
      </c>
      <c r="E73" s="99">
        <v>0</v>
      </c>
      <c r="F73" s="99">
        <v>0</v>
      </c>
      <c r="G73" s="99">
        <v>0</v>
      </c>
      <c r="H73" s="99">
        <v>1486.51</v>
      </c>
      <c r="I73" s="99">
        <v>0</v>
      </c>
      <c r="J73" s="99">
        <v>1486.51</v>
      </c>
      <c r="K73" s="99">
        <v>0</v>
      </c>
      <c r="L73" s="99">
        <v>1486.51</v>
      </c>
    </row>
    <row r="74" spans="1:12" x14ac:dyDescent="0.25">
      <c r="A74" s="97" t="s">
        <v>906</v>
      </c>
      <c r="B74" s="98" t="s">
        <v>783</v>
      </c>
      <c r="C74" s="99">
        <v>0</v>
      </c>
      <c r="D74" s="99">
        <v>0</v>
      </c>
      <c r="E74" s="99">
        <v>0</v>
      </c>
      <c r="F74" s="99">
        <v>0</v>
      </c>
      <c r="G74" s="99">
        <v>0</v>
      </c>
      <c r="H74" s="99">
        <v>4250</v>
      </c>
      <c r="I74" s="99">
        <v>0</v>
      </c>
      <c r="J74" s="99">
        <v>4250</v>
      </c>
      <c r="K74" s="99">
        <v>0</v>
      </c>
      <c r="L74" s="99">
        <v>4250</v>
      </c>
    </row>
    <row r="75" spans="1:12" x14ac:dyDescent="0.25">
      <c r="A75" s="97" t="s">
        <v>890</v>
      </c>
      <c r="B75" s="98" t="s">
        <v>891</v>
      </c>
      <c r="C75" s="99">
        <v>0</v>
      </c>
      <c r="D75" s="99">
        <v>0</v>
      </c>
      <c r="E75" s="99">
        <v>0</v>
      </c>
      <c r="F75" s="99">
        <v>0</v>
      </c>
      <c r="G75" s="99">
        <v>100</v>
      </c>
      <c r="H75" s="99">
        <v>0</v>
      </c>
      <c r="I75" s="99">
        <v>100</v>
      </c>
      <c r="J75" s="99">
        <v>0</v>
      </c>
      <c r="K75" s="99">
        <v>100</v>
      </c>
      <c r="L75" s="99">
        <v>0</v>
      </c>
    </row>
    <row r="76" spans="1:12" x14ac:dyDescent="0.25">
      <c r="A76" s="97" t="s">
        <v>892</v>
      </c>
      <c r="B76" s="98" t="s">
        <v>893</v>
      </c>
      <c r="C76" s="99">
        <v>0</v>
      </c>
      <c r="D76" s="99">
        <v>0</v>
      </c>
      <c r="E76" s="99">
        <v>0</v>
      </c>
      <c r="F76" s="99">
        <v>0</v>
      </c>
      <c r="G76" s="99">
        <v>0</v>
      </c>
      <c r="H76" s="99">
        <v>100</v>
      </c>
      <c r="I76" s="99">
        <v>0</v>
      </c>
      <c r="J76" s="99">
        <v>100</v>
      </c>
      <c r="K76" s="99">
        <v>-100</v>
      </c>
      <c r="L76" s="99">
        <v>0</v>
      </c>
    </row>
    <row r="77" spans="1:12" x14ac:dyDescent="0.25">
      <c r="A77" s="97" t="s">
        <v>896</v>
      </c>
      <c r="B77" s="98" t="s">
        <v>897</v>
      </c>
      <c r="C77" s="99">
        <v>0</v>
      </c>
      <c r="D77" s="99">
        <v>0</v>
      </c>
      <c r="E77" s="99">
        <v>0</v>
      </c>
      <c r="F77" s="99">
        <v>0</v>
      </c>
      <c r="G77" s="99">
        <v>26795.59</v>
      </c>
      <c r="H77" s="99">
        <v>26795.59</v>
      </c>
      <c r="I77" s="99">
        <v>26795.59</v>
      </c>
      <c r="J77" s="99">
        <v>26795.59</v>
      </c>
      <c r="K77" s="99">
        <v>14119.73</v>
      </c>
      <c r="L77" s="99">
        <v>14119.73</v>
      </c>
    </row>
    <row r="78" spans="1:12" x14ac:dyDescent="0.25">
      <c r="A78" s="97"/>
      <c r="B78" s="98"/>
      <c r="C78" s="99"/>
      <c r="D78" s="99"/>
      <c r="E78" s="99"/>
      <c r="F78" s="99"/>
      <c r="G78" s="99"/>
      <c r="H78" s="99"/>
      <c r="I78" s="99"/>
      <c r="J78" s="99"/>
      <c r="K78" s="99"/>
      <c r="L78" s="99"/>
    </row>
    <row r="79" spans="1:12" x14ac:dyDescent="0.25">
      <c r="A79" s="97"/>
      <c r="B79" s="98"/>
      <c r="C79" s="99"/>
      <c r="D79" s="99"/>
      <c r="E79" s="99"/>
      <c r="F79" s="99"/>
      <c r="G79" s="99"/>
      <c r="H79" s="99"/>
      <c r="I79" s="99"/>
      <c r="J79" s="99"/>
      <c r="K79" s="99"/>
      <c r="L79" s="99"/>
    </row>
    <row r="80" spans="1:12" x14ac:dyDescent="0.25">
      <c r="A80" s="97"/>
      <c r="B80" s="98"/>
      <c r="C80" s="99"/>
      <c r="D80" s="99"/>
      <c r="E80" s="99"/>
      <c r="F80" s="99"/>
      <c r="G80" s="99"/>
      <c r="H80" s="99"/>
      <c r="I80" s="99"/>
      <c r="J80" s="99"/>
      <c r="K80" s="99"/>
      <c r="L80" s="99"/>
    </row>
    <row r="81" spans="1:12" x14ac:dyDescent="0.25">
      <c r="A81" s="97"/>
      <c r="B81" s="98"/>
      <c r="C81" s="99"/>
      <c r="D81" s="99"/>
      <c r="E81" s="99"/>
      <c r="F81" s="99"/>
      <c r="G81" s="99"/>
      <c r="H81" s="99"/>
      <c r="I81" s="99"/>
      <c r="J81" s="99"/>
      <c r="K81" s="99"/>
      <c r="L81" s="99"/>
    </row>
    <row r="82" spans="1:12" x14ac:dyDescent="0.25">
      <c r="A82" s="97"/>
      <c r="B82" s="98"/>
      <c r="C82" s="99"/>
      <c r="D82" s="99"/>
      <c r="E82" s="99"/>
      <c r="F82" s="99"/>
      <c r="G82" s="99"/>
      <c r="H82" s="99"/>
      <c r="I82" s="99"/>
      <c r="J82" s="99"/>
      <c r="K82" s="99"/>
      <c r="L82" s="99"/>
    </row>
    <row r="83" spans="1:12" x14ac:dyDescent="0.25">
      <c r="A83" s="97"/>
      <c r="B83" s="98"/>
      <c r="C83" s="99"/>
      <c r="D83" s="99"/>
      <c r="E83" s="99"/>
      <c r="F83" s="99"/>
      <c r="G83" s="99"/>
      <c r="H83" s="99"/>
      <c r="I83" s="99"/>
      <c r="J83" s="99"/>
      <c r="K83" s="99"/>
      <c r="L83" s="99"/>
    </row>
    <row r="84" spans="1:12" x14ac:dyDescent="0.25">
      <c r="A84" s="97"/>
      <c r="B84" s="98"/>
      <c r="C84" s="99"/>
      <c r="D84" s="99"/>
      <c r="E84" s="99"/>
      <c r="F84" s="99"/>
      <c r="G84" s="99"/>
      <c r="H84" s="99"/>
      <c r="I84" s="99"/>
      <c r="J84" s="99"/>
      <c r="K84" s="99"/>
      <c r="L84" s="99"/>
    </row>
    <row r="85" spans="1:12" x14ac:dyDescent="0.25">
      <c r="A85" s="97"/>
      <c r="B85" s="98"/>
      <c r="C85" s="99"/>
      <c r="D85" s="99"/>
      <c r="E85" s="99"/>
      <c r="F85" s="99"/>
      <c r="G85" s="99"/>
      <c r="H85" s="99"/>
      <c r="I85" s="99"/>
      <c r="J85" s="99"/>
      <c r="K85" s="99"/>
      <c r="L85" s="99"/>
    </row>
    <row r="86" spans="1:12" x14ac:dyDescent="0.25">
      <c r="A86" s="97"/>
      <c r="B86" s="98"/>
      <c r="C86" s="99"/>
      <c r="D86" s="99"/>
      <c r="E86" s="99"/>
      <c r="F86" s="99"/>
      <c r="G86" s="99"/>
      <c r="H86" s="99"/>
      <c r="I86" s="99"/>
      <c r="J86" s="99"/>
      <c r="K86" s="99"/>
      <c r="L86" s="99"/>
    </row>
    <row r="87" spans="1:12" x14ac:dyDescent="0.25">
      <c r="A87" s="97"/>
      <c r="B87" s="98"/>
      <c r="C87" s="99"/>
      <c r="D87" s="99"/>
      <c r="E87" s="99"/>
      <c r="F87" s="99"/>
      <c r="G87" s="99"/>
      <c r="H87" s="99"/>
      <c r="I87" s="99"/>
      <c r="J87" s="99"/>
      <c r="K87" s="99"/>
      <c r="L87" s="99"/>
    </row>
    <row r="88" spans="1:12" x14ac:dyDescent="0.25">
      <c r="A88" s="97"/>
      <c r="B88" s="98"/>
      <c r="C88" s="99"/>
      <c r="D88" s="99"/>
      <c r="E88" s="99"/>
      <c r="F88" s="99"/>
      <c r="G88" s="99"/>
      <c r="H88" s="99"/>
      <c r="I88" s="99"/>
      <c r="J88" s="99"/>
      <c r="K88" s="99"/>
      <c r="L88" s="99"/>
    </row>
    <row r="89" spans="1:12" x14ac:dyDescent="0.25">
      <c r="A89" s="97"/>
      <c r="B89" s="98"/>
      <c r="C89" s="99"/>
      <c r="D89" s="99"/>
      <c r="E89" s="99"/>
      <c r="F89" s="99"/>
      <c r="G89" s="99"/>
      <c r="H89" s="99"/>
      <c r="I89" s="99"/>
      <c r="J89" s="99"/>
      <c r="K89" s="99"/>
      <c r="L89" s="99"/>
    </row>
    <row r="90" spans="1:12" x14ac:dyDescent="0.25">
      <c r="A90" s="97"/>
      <c r="B90" s="98"/>
      <c r="C90" s="99"/>
      <c r="D90" s="99"/>
      <c r="E90" s="99"/>
      <c r="F90" s="99"/>
      <c r="G90" s="99"/>
      <c r="H90" s="99"/>
      <c r="I90" s="99"/>
      <c r="J90" s="99"/>
      <c r="K90" s="99"/>
      <c r="L90" s="99"/>
    </row>
    <row r="91" spans="1:12" x14ac:dyDescent="0.25">
      <c r="A91" s="97"/>
      <c r="B91" s="98"/>
      <c r="C91" s="99"/>
      <c r="D91" s="99"/>
      <c r="E91" s="99"/>
      <c r="F91" s="99"/>
      <c r="G91" s="99"/>
      <c r="H91" s="99"/>
      <c r="I91" s="99"/>
      <c r="J91" s="99"/>
      <c r="K91" s="99"/>
      <c r="L91" s="99"/>
    </row>
    <row r="92" spans="1:12" x14ac:dyDescent="0.25">
      <c r="A92" s="97"/>
      <c r="B92" s="98"/>
      <c r="C92" s="99"/>
      <c r="D92" s="99"/>
      <c r="E92" s="99"/>
      <c r="F92" s="99"/>
      <c r="G92" s="99"/>
      <c r="H92" s="99"/>
      <c r="I92" s="99"/>
      <c r="J92" s="99"/>
      <c r="K92" s="99"/>
      <c r="L92" s="99"/>
    </row>
    <row r="93" spans="1:12" x14ac:dyDescent="0.25">
      <c r="A93" s="97"/>
      <c r="B93" s="98"/>
      <c r="C93" s="99"/>
      <c r="D93" s="99"/>
      <c r="E93" s="99"/>
      <c r="F93" s="99"/>
      <c r="G93" s="99"/>
      <c r="H93" s="99"/>
      <c r="I93" s="99"/>
      <c r="J93" s="99"/>
      <c r="K93" s="99"/>
      <c r="L93" s="99"/>
    </row>
    <row r="94" spans="1:12" x14ac:dyDescent="0.25">
      <c r="A94" s="97"/>
      <c r="B94" s="98"/>
      <c r="C94" s="99"/>
      <c r="D94" s="99"/>
      <c r="E94" s="99"/>
      <c r="F94" s="99"/>
      <c r="G94" s="99"/>
      <c r="H94" s="99"/>
      <c r="I94" s="99"/>
      <c r="J94" s="99"/>
      <c r="K94" s="99"/>
      <c r="L94" s="99"/>
    </row>
    <row r="95" spans="1:12" x14ac:dyDescent="0.25">
      <c r="A95" s="97"/>
      <c r="B95" s="98"/>
      <c r="C95" s="99"/>
      <c r="D95" s="99"/>
      <c r="E95" s="99"/>
      <c r="F95" s="99"/>
      <c r="G95" s="99"/>
      <c r="H95" s="99"/>
      <c r="I95" s="99"/>
      <c r="J95" s="99"/>
      <c r="K95" s="99"/>
      <c r="L95" s="99"/>
    </row>
    <row r="96" spans="1:12" x14ac:dyDescent="0.25">
      <c r="A96" s="97"/>
      <c r="B96" s="98"/>
      <c r="C96" s="99"/>
      <c r="D96" s="99"/>
      <c r="E96" s="99"/>
      <c r="F96" s="99"/>
      <c r="G96" s="99"/>
      <c r="H96" s="99"/>
      <c r="I96" s="99"/>
      <c r="J96" s="99"/>
      <c r="K96" s="99"/>
      <c r="L96" s="99"/>
    </row>
    <row r="97" spans="1:12" x14ac:dyDescent="0.25">
      <c r="A97" s="97"/>
      <c r="B97" s="98"/>
      <c r="C97" s="99"/>
      <c r="D97" s="99"/>
      <c r="E97" s="99"/>
      <c r="F97" s="99"/>
      <c r="G97" s="99"/>
      <c r="H97" s="99"/>
      <c r="I97" s="99"/>
      <c r="J97" s="99"/>
      <c r="K97" s="99"/>
      <c r="L97" s="99"/>
    </row>
    <row r="98" spans="1:12" x14ac:dyDescent="0.25">
      <c r="A98" s="97"/>
      <c r="B98" s="98"/>
      <c r="C98" s="99"/>
      <c r="D98" s="99"/>
      <c r="E98" s="99"/>
      <c r="F98" s="99"/>
      <c r="G98" s="99"/>
      <c r="H98" s="99"/>
      <c r="I98" s="99"/>
      <c r="J98" s="99"/>
      <c r="K98" s="99"/>
      <c r="L98" s="99"/>
    </row>
    <row r="99" spans="1:12" x14ac:dyDescent="0.25">
      <c r="A99" s="97"/>
      <c r="B99" s="98"/>
      <c r="C99" s="99"/>
      <c r="D99" s="99"/>
      <c r="E99" s="99"/>
      <c r="F99" s="99"/>
      <c r="G99" s="99"/>
      <c r="H99" s="99"/>
      <c r="I99" s="99"/>
      <c r="J99" s="99"/>
      <c r="K99" s="99"/>
      <c r="L99" s="99"/>
    </row>
    <row r="100" spans="1:12" x14ac:dyDescent="0.25">
      <c r="A100" s="97"/>
      <c r="B100" s="98"/>
      <c r="C100" s="99"/>
      <c r="D100" s="99"/>
      <c r="E100" s="99"/>
      <c r="F100" s="99"/>
      <c r="G100" s="99"/>
      <c r="H100" s="99"/>
      <c r="I100" s="99"/>
      <c r="J100" s="99"/>
      <c r="K100" s="99"/>
      <c r="L100" s="99"/>
    </row>
    <row r="101" spans="1:12" x14ac:dyDescent="0.25">
      <c r="A101" s="97"/>
      <c r="B101" s="98"/>
      <c r="C101" s="99"/>
      <c r="D101" s="99"/>
      <c r="E101" s="99"/>
      <c r="F101" s="99"/>
      <c r="G101" s="99"/>
      <c r="H101" s="99"/>
      <c r="I101" s="99"/>
      <c r="J101" s="99"/>
      <c r="K101" s="99"/>
      <c r="L101" s="99"/>
    </row>
    <row r="102" spans="1:12" x14ac:dyDescent="0.25">
      <c r="A102" s="97"/>
      <c r="B102" s="98"/>
      <c r="C102" s="99"/>
      <c r="D102" s="99"/>
      <c r="E102" s="99"/>
      <c r="F102" s="99"/>
      <c r="G102" s="99"/>
      <c r="H102" s="99"/>
      <c r="I102" s="99"/>
      <c r="J102" s="99"/>
      <c r="K102" s="99"/>
      <c r="L102" s="99"/>
    </row>
    <row r="103" spans="1:12" x14ac:dyDescent="0.25">
      <c r="A103" s="97"/>
      <c r="B103" s="98"/>
      <c r="C103" s="99"/>
      <c r="D103" s="99"/>
      <c r="E103" s="99"/>
      <c r="F103" s="99"/>
      <c r="G103" s="99"/>
      <c r="H103" s="99"/>
      <c r="I103" s="99"/>
      <c r="J103" s="99"/>
      <c r="K103" s="99"/>
      <c r="L103" s="99"/>
    </row>
    <row r="104" spans="1:12" x14ac:dyDescent="0.25">
      <c r="A104" s="97"/>
      <c r="B104" s="98"/>
      <c r="C104" s="99"/>
      <c r="D104" s="99"/>
      <c r="E104" s="99"/>
      <c r="F104" s="99"/>
      <c r="G104" s="99"/>
      <c r="H104" s="99"/>
      <c r="I104" s="99"/>
      <c r="J104" s="99"/>
      <c r="K104" s="99"/>
      <c r="L104" s="99"/>
    </row>
    <row r="105" spans="1:12" x14ac:dyDescent="0.25">
      <c r="A105" s="97"/>
      <c r="B105" s="98"/>
      <c r="C105" s="99"/>
      <c r="D105" s="99"/>
      <c r="E105" s="99"/>
      <c r="F105" s="99"/>
      <c r="G105" s="99"/>
      <c r="H105" s="99"/>
      <c r="I105" s="99"/>
      <c r="J105" s="99"/>
      <c r="K105" s="99"/>
      <c r="L105" s="99"/>
    </row>
    <row r="106" spans="1:12" x14ac:dyDescent="0.25">
      <c r="A106" s="97"/>
      <c r="B106" s="98"/>
      <c r="C106" s="99"/>
      <c r="D106" s="99"/>
      <c r="E106" s="99"/>
      <c r="F106" s="99"/>
      <c r="G106" s="99"/>
      <c r="H106" s="99"/>
      <c r="I106" s="99"/>
      <c r="J106" s="99"/>
      <c r="K106" s="99"/>
      <c r="L106" s="99"/>
    </row>
    <row r="107" spans="1:12" x14ac:dyDescent="0.25">
      <c r="A107" s="97"/>
      <c r="B107" s="98"/>
      <c r="C107" s="99"/>
      <c r="D107" s="99"/>
      <c r="E107" s="99"/>
      <c r="F107" s="99"/>
      <c r="G107" s="99"/>
      <c r="H107" s="99"/>
      <c r="I107" s="99"/>
      <c r="J107" s="99"/>
      <c r="K107" s="99"/>
      <c r="L107" s="99"/>
    </row>
    <row r="108" spans="1:12" x14ac:dyDescent="0.25">
      <c r="A108" s="97"/>
      <c r="B108" s="98"/>
      <c r="C108" s="99"/>
      <c r="D108" s="99"/>
      <c r="E108" s="99"/>
      <c r="F108" s="99"/>
      <c r="G108" s="99"/>
      <c r="H108" s="99"/>
      <c r="I108" s="99"/>
      <c r="J108" s="99"/>
      <c r="K108" s="99"/>
      <c r="L108" s="99"/>
    </row>
    <row r="109" spans="1:12" x14ac:dyDescent="0.25">
      <c r="A109" s="97"/>
      <c r="B109" s="98"/>
      <c r="C109" s="99"/>
      <c r="D109" s="99"/>
      <c r="E109" s="99"/>
      <c r="F109" s="99"/>
      <c r="G109" s="99"/>
      <c r="H109" s="99"/>
      <c r="I109" s="99"/>
      <c r="J109" s="99"/>
      <c r="K109" s="99"/>
      <c r="L109" s="99"/>
    </row>
    <row r="110" spans="1:12" x14ac:dyDescent="0.25">
      <c r="A110" s="97"/>
      <c r="B110" s="98"/>
      <c r="C110" s="99"/>
      <c r="D110" s="99"/>
      <c r="E110" s="99"/>
      <c r="F110" s="99"/>
      <c r="G110" s="99"/>
      <c r="H110" s="99"/>
      <c r="I110" s="99"/>
      <c r="J110" s="99"/>
      <c r="K110" s="99"/>
      <c r="L110" s="99"/>
    </row>
    <row r="111" spans="1:12" x14ac:dyDescent="0.25">
      <c r="A111" s="97"/>
      <c r="B111" s="98"/>
      <c r="C111" s="99"/>
      <c r="D111" s="99"/>
      <c r="E111" s="99"/>
      <c r="F111" s="99"/>
      <c r="G111" s="99"/>
      <c r="H111" s="99"/>
      <c r="I111" s="99"/>
      <c r="J111" s="99"/>
      <c r="K111" s="99"/>
      <c r="L111" s="99"/>
    </row>
    <row r="112" spans="1:12" x14ac:dyDescent="0.25">
      <c r="A112" s="97"/>
      <c r="B112" s="98"/>
      <c r="C112" s="99"/>
      <c r="D112" s="99"/>
      <c r="E112" s="99"/>
      <c r="F112" s="99"/>
      <c r="G112" s="99"/>
      <c r="H112" s="99"/>
      <c r="I112" s="99"/>
      <c r="J112" s="99"/>
      <c r="K112" s="99"/>
      <c r="L112" s="99"/>
    </row>
    <row r="113" spans="1:12" x14ac:dyDescent="0.25">
      <c r="A113" s="97"/>
      <c r="B113" s="98"/>
      <c r="C113" s="99"/>
      <c r="D113" s="99"/>
      <c r="E113" s="99"/>
      <c r="F113" s="99"/>
      <c r="G113" s="99"/>
      <c r="H113" s="99"/>
      <c r="I113" s="99"/>
      <c r="J113" s="99"/>
      <c r="K113" s="99"/>
      <c r="L113" s="99"/>
    </row>
    <row r="114" spans="1:12" x14ac:dyDescent="0.25">
      <c r="A114" s="97"/>
      <c r="B114" s="98"/>
      <c r="C114" s="99"/>
      <c r="D114" s="99"/>
      <c r="E114" s="99"/>
      <c r="F114" s="99"/>
      <c r="G114" s="99"/>
      <c r="H114" s="99"/>
      <c r="I114" s="99"/>
      <c r="J114" s="99"/>
      <c r="K114" s="99"/>
      <c r="L114" s="99"/>
    </row>
    <row r="115" spans="1:12" x14ac:dyDescent="0.25">
      <c r="A115" s="97"/>
      <c r="B115" s="98"/>
      <c r="C115" s="99"/>
      <c r="D115" s="99"/>
      <c r="E115" s="99"/>
      <c r="F115" s="99"/>
      <c r="G115" s="99"/>
      <c r="H115" s="99"/>
      <c r="I115" s="99"/>
      <c r="J115" s="99"/>
      <c r="K115" s="99"/>
      <c r="L115" s="99"/>
    </row>
    <row r="116" spans="1:12" x14ac:dyDescent="0.25">
      <c r="A116" s="97"/>
      <c r="B116" s="98"/>
      <c r="C116" s="99"/>
      <c r="D116" s="99"/>
      <c r="E116" s="99"/>
      <c r="F116" s="99"/>
      <c r="G116" s="99"/>
      <c r="H116" s="99"/>
      <c r="I116" s="99"/>
      <c r="J116" s="99"/>
      <c r="K116" s="99"/>
      <c r="L116" s="99"/>
    </row>
    <row r="117" spans="1:12" x14ac:dyDescent="0.25">
      <c r="A117" s="97"/>
      <c r="B117" s="98"/>
      <c r="C117" s="99"/>
      <c r="D117" s="99"/>
      <c r="E117" s="99"/>
      <c r="F117" s="99"/>
      <c r="G117" s="99"/>
      <c r="H117" s="99"/>
      <c r="I117" s="99"/>
      <c r="J117" s="99"/>
      <c r="K117" s="99"/>
      <c r="L117" s="99"/>
    </row>
    <row r="118" spans="1:12" x14ac:dyDescent="0.25">
      <c r="A118" s="97"/>
      <c r="B118" s="98"/>
      <c r="C118" s="99"/>
      <c r="D118" s="99"/>
      <c r="E118" s="99"/>
      <c r="F118" s="99"/>
      <c r="G118" s="99"/>
      <c r="H118" s="99"/>
      <c r="I118" s="99"/>
      <c r="J118" s="99"/>
      <c r="K118" s="99"/>
      <c r="L118" s="99"/>
    </row>
    <row r="119" spans="1:12" x14ac:dyDescent="0.25">
      <c r="A119" s="97"/>
      <c r="B119" s="98"/>
      <c r="C119" s="99"/>
      <c r="D119" s="99"/>
      <c r="E119" s="99"/>
      <c r="F119" s="99"/>
      <c r="G119" s="99"/>
      <c r="H119" s="99"/>
      <c r="I119" s="99"/>
      <c r="J119" s="99"/>
      <c r="K119" s="99"/>
      <c r="L119" s="99"/>
    </row>
    <row r="120" spans="1:12" x14ac:dyDescent="0.25">
      <c r="A120" s="97"/>
      <c r="B120" s="98"/>
      <c r="C120" s="99"/>
      <c r="D120" s="99"/>
      <c r="E120" s="99"/>
      <c r="F120" s="99"/>
      <c r="G120" s="99"/>
      <c r="H120" s="99"/>
      <c r="I120" s="99"/>
      <c r="J120" s="99"/>
      <c r="K120" s="99"/>
      <c r="L120" s="99"/>
    </row>
    <row r="121" spans="1:12" x14ac:dyDescent="0.25">
      <c r="A121" s="97"/>
      <c r="B121" s="98"/>
      <c r="C121" s="99"/>
      <c r="D121" s="99"/>
      <c r="E121" s="99"/>
      <c r="F121" s="99"/>
      <c r="G121" s="99"/>
      <c r="H121" s="99"/>
      <c r="I121" s="99"/>
      <c r="J121" s="99"/>
      <c r="K121" s="99"/>
      <c r="L121" s="99"/>
    </row>
    <row r="122" spans="1:12" x14ac:dyDescent="0.25">
      <c r="A122" s="97"/>
      <c r="B122" s="98"/>
      <c r="C122" s="99"/>
      <c r="D122" s="99"/>
      <c r="E122" s="99"/>
      <c r="F122" s="99"/>
      <c r="G122" s="99"/>
      <c r="H122" s="99"/>
      <c r="I122" s="99"/>
      <c r="J122" s="99"/>
      <c r="K122" s="99"/>
      <c r="L122" s="99"/>
    </row>
    <row r="123" spans="1:12" x14ac:dyDescent="0.25">
      <c r="A123" s="97"/>
      <c r="B123" s="98"/>
      <c r="C123" s="99"/>
      <c r="D123" s="99"/>
      <c r="E123" s="99"/>
      <c r="F123" s="99"/>
      <c r="G123" s="99"/>
      <c r="H123" s="99"/>
      <c r="I123" s="99"/>
      <c r="J123" s="99"/>
      <c r="K123" s="99"/>
      <c r="L123" s="99"/>
    </row>
    <row r="124" spans="1:12" x14ac:dyDescent="0.25">
      <c r="A124" s="97"/>
      <c r="B124" s="98"/>
      <c r="C124" s="99"/>
      <c r="D124" s="99"/>
      <c r="E124" s="99"/>
      <c r="F124" s="99"/>
      <c r="G124" s="99"/>
      <c r="H124" s="99"/>
      <c r="I124" s="99"/>
      <c r="J124" s="99"/>
      <c r="K124" s="99"/>
      <c r="L124" s="99"/>
    </row>
  </sheetData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2"/>
  <sheetViews>
    <sheetView workbookViewId="0">
      <selection activeCell="B2" sqref="B2"/>
    </sheetView>
  </sheetViews>
  <sheetFormatPr defaultRowHeight="15" x14ac:dyDescent="0.25"/>
  <cols>
    <col min="1" max="1" width="8.28515625" style="103" bestFit="1" customWidth="1"/>
    <col min="2" max="2" width="86.140625" style="103" bestFit="1" customWidth="1"/>
    <col min="3" max="3" width="4.42578125" style="104" bestFit="1" customWidth="1"/>
    <col min="4" max="7" width="15.28515625" style="105" bestFit="1" customWidth="1"/>
    <col min="8" max="16384" width="9.140625" style="96"/>
  </cols>
  <sheetData>
    <row r="1" spans="1:7" ht="33.75" x14ac:dyDescent="0.25">
      <c r="A1" s="107" t="s">
        <v>230</v>
      </c>
      <c r="B1" s="107" t="s">
        <v>238</v>
      </c>
      <c r="C1" s="106" t="s">
        <v>252</v>
      </c>
      <c r="D1" s="108" t="s">
        <v>253</v>
      </c>
      <c r="E1" s="108" t="s">
        <v>254</v>
      </c>
      <c r="F1" s="108" t="s">
        <v>237</v>
      </c>
      <c r="G1" s="108" t="s">
        <v>235</v>
      </c>
    </row>
    <row r="2" spans="1:7" x14ac:dyDescent="0.25">
      <c r="A2" s="98" t="s">
        <v>907</v>
      </c>
      <c r="B2" s="98" t="s">
        <v>908</v>
      </c>
      <c r="C2" s="97" t="s">
        <v>909</v>
      </c>
      <c r="D2" s="99">
        <v>465374.61</v>
      </c>
      <c r="E2" s="99">
        <v>213138.98</v>
      </c>
      <c r="F2" s="99">
        <v>465375</v>
      </c>
      <c r="G2" s="99">
        <v>213139</v>
      </c>
    </row>
    <row r="3" spans="1:7" x14ac:dyDescent="0.25">
      <c r="A3" s="98" t="s">
        <v>910</v>
      </c>
      <c r="B3" s="98" t="s">
        <v>911</v>
      </c>
      <c r="C3" s="97" t="s">
        <v>912</v>
      </c>
      <c r="D3" s="99">
        <v>375326.99</v>
      </c>
      <c r="E3" s="99">
        <v>166200.25</v>
      </c>
      <c r="F3" s="99">
        <v>375327</v>
      </c>
      <c r="G3" s="99">
        <v>166200</v>
      </c>
    </row>
    <row r="4" spans="1:7" x14ac:dyDescent="0.25">
      <c r="A4" s="98" t="s">
        <v>913</v>
      </c>
      <c r="B4" s="98" t="s">
        <v>914</v>
      </c>
      <c r="C4" s="97" t="s">
        <v>915</v>
      </c>
      <c r="D4" s="99">
        <v>90047.62</v>
      </c>
      <c r="E4" s="99">
        <v>46938.73</v>
      </c>
      <c r="F4" s="99">
        <v>90048</v>
      </c>
      <c r="G4" s="99">
        <v>46939</v>
      </c>
    </row>
    <row r="5" spans="1:7" x14ac:dyDescent="0.25">
      <c r="A5" s="98" t="s">
        <v>916</v>
      </c>
      <c r="B5" s="98" t="s">
        <v>917</v>
      </c>
      <c r="C5" s="97" t="s">
        <v>918</v>
      </c>
      <c r="D5" s="99">
        <v>22722.7</v>
      </c>
      <c r="E5" s="99">
        <v>13658.08</v>
      </c>
      <c r="F5" s="99">
        <v>22723</v>
      </c>
      <c r="G5" s="99">
        <v>13658</v>
      </c>
    </row>
    <row r="6" spans="1:7" x14ac:dyDescent="0.25">
      <c r="A6" s="98" t="s">
        <v>919</v>
      </c>
      <c r="B6" s="98" t="s">
        <v>920</v>
      </c>
      <c r="C6" s="97" t="s">
        <v>921</v>
      </c>
      <c r="D6" s="99">
        <v>22722.7</v>
      </c>
      <c r="E6" s="99">
        <v>13658.08</v>
      </c>
      <c r="F6" s="99">
        <v>22723</v>
      </c>
      <c r="G6" s="99">
        <v>13658</v>
      </c>
    </row>
    <row r="7" spans="1:7" x14ac:dyDescent="0.25">
      <c r="A7" s="98">
        <v>2</v>
      </c>
      <c r="B7" s="98" t="s">
        <v>922</v>
      </c>
      <c r="C7" s="97" t="s">
        <v>923</v>
      </c>
      <c r="D7" s="99">
        <v>0</v>
      </c>
      <c r="E7" s="99">
        <v>0</v>
      </c>
      <c r="F7" s="99">
        <v>0</v>
      </c>
      <c r="G7" s="99">
        <v>0</v>
      </c>
    </row>
    <row r="8" spans="1:7" x14ac:dyDescent="0.25">
      <c r="A8" s="98">
        <v>3</v>
      </c>
      <c r="B8" s="98" t="s">
        <v>924</v>
      </c>
      <c r="C8" s="97" t="s">
        <v>925</v>
      </c>
      <c r="D8" s="99">
        <v>0</v>
      </c>
      <c r="E8" s="99">
        <v>0</v>
      </c>
      <c r="F8" s="99">
        <v>0</v>
      </c>
      <c r="G8" s="99">
        <v>0</v>
      </c>
    </row>
    <row r="9" spans="1:7" x14ac:dyDescent="0.25">
      <c r="A9" s="98" t="s">
        <v>926</v>
      </c>
      <c r="B9" s="98" t="s">
        <v>927</v>
      </c>
      <c r="C9" s="97" t="s">
        <v>928</v>
      </c>
      <c r="D9" s="99">
        <v>64465.07</v>
      </c>
      <c r="E9" s="99">
        <v>60524.28</v>
      </c>
      <c r="F9" s="99">
        <v>64466</v>
      </c>
      <c r="G9" s="99">
        <v>60525</v>
      </c>
    </row>
    <row r="10" spans="1:7" x14ac:dyDescent="0.25">
      <c r="A10" s="98" t="s">
        <v>929</v>
      </c>
      <c r="B10" s="98" t="s">
        <v>930</v>
      </c>
      <c r="C10" s="97" t="s">
        <v>931</v>
      </c>
      <c r="D10" s="99">
        <v>4424.8599999999997</v>
      </c>
      <c r="E10" s="99">
        <v>7570.54</v>
      </c>
      <c r="F10" s="99">
        <v>4425</v>
      </c>
      <c r="G10" s="99">
        <v>7571</v>
      </c>
    </row>
    <row r="11" spans="1:7" x14ac:dyDescent="0.25">
      <c r="A11" s="98">
        <v>2</v>
      </c>
      <c r="B11" s="98" t="s">
        <v>932</v>
      </c>
      <c r="C11" s="97" t="s">
        <v>933</v>
      </c>
      <c r="D11" s="99">
        <v>60040.21</v>
      </c>
      <c r="E11" s="99">
        <v>52953.74</v>
      </c>
      <c r="F11" s="99">
        <v>60041</v>
      </c>
      <c r="G11" s="99">
        <v>52954</v>
      </c>
    </row>
    <row r="12" spans="1:7" x14ac:dyDescent="0.25">
      <c r="A12" s="98" t="s">
        <v>913</v>
      </c>
      <c r="B12" s="98" t="s">
        <v>934</v>
      </c>
      <c r="C12" s="97" t="s">
        <v>935</v>
      </c>
      <c r="D12" s="99">
        <v>48305.25</v>
      </c>
      <c r="E12" s="99">
        <v>72.53</v>
      </c>
      <c r="F12" s="99">
        <v>48305</v>
      </c>
      <c r="G12" s="99">
        <v>72</v>
      </c>
    </row>
    <row r="13" spans="1:7" x14ac:dyDescent="0.25">
      <c r="A13" s="98" t="s">
        <v>936</v>
      </c>
      <c r="B13" s="98" t="s">
        <v>937</v>
      </c>
      <c r="C13" s="97" t="s">
        <v>938</v>
      </c>
      <c r="D13" s="99">
        <v>99354.09</v>
      </c>
      <c r="E13" s="99">
        <v>62936.65</v>
      </c>
      <c r="F13" s="99">
        <v>99354</v>
      </c>
      <c r="G13" s="99">
        <v>62937</v>
      </c>
    </row>
    <row r="14" spans="1:7" x14ac:dyDescent="0.25">
      <c r="A14" s="98" t="s">
        <v>939</v>
      </c>
      <c r="B14" s="98" t="s">
        <v>940</v>
      </c>
      <c r="C14" s="97" t="s">
        <v>941</v>
      </c>
      <c r="D14" s="99">
        <v>72882.070000000007</v>
      </c>
      <c r="E14" s="99">
        <v>46598.3</v>
      </c>
      <c r="F14" s="99">
        <v>72882</v>
      </c>
      <c r="G14" s="99">
        <v>46598</v>
      </c>
    </row>
    <row r="15" spans="1:7" x14ac:dyDescent="0.25">
      <c r="A15" s="98">
        <v>2</v>
      </c>
      <c r="B15" s="98" t="s">
        <v>942</v>
      </c>
      <c r="C15" s="97" t="s">
        <v>943</v>
      </c>
      <c r="D15" s="99">
        <v>0</v>
      </c>
      <c r="E15" s="99">
        <v>0</v>
      </c>
      <c r="F15" s="99">
        <v>0</v>
      </c>
      <c r="G15" s="99">
        <v>0</v>
      </c>
    </row>
    <row r="16" spans="1:7" x14ac:dyDescent="0.25">
      <c r="A16" s="98">
        <v>3</v>
      </c>
      <c r="B16" s="98" t="s">
        <v>944</v>
      </c>
      <c r="C16" s="97" t="s">
        <v>945</v>
      </c>
      <c r="D16" s="99">
        <v>24290.44</v>
      </c>
      <c r="E16" s="99">
        <v>14756.55</v>
      </c>
      <c r="F16" s="99">
        <v>24290</v>
      </c>
      <c r="G16" s="99">
        <v>14757</v>
      </c>
    </row>
    <row r="17" spans="1:7" x14ac:dyDescent="0.25">
      <c r="A17" s="98">
        <v>4</v>
      </c>
      <c r="B17" s="98" t="s">
        <v>946</v>
      </c>
      <c r="C17" s="97" t="s">
        <v>947</v>
      </c>
      <c r="D17" s="99">
        <v>2181.58</v>
      </c>
      <c r="E17" s="99">
        <v>1581.8</v>
      </c>
      <c r="F17" s="99">
        <v>2182</v>
      </c>
      <c r="G17" s="99">
        <v>1582</v>
      </c>
    </row>
    <row r="18" spans="1:7" x14ac:dyDescent="0.25">
      <c r="A18" s="98" t="s">
        <v>948</v>
      </c>
      <c r="B18" s="98" t="s">
        <v>949</v>
      </c>
      <c r="C18" s="97" t="s">
        <v>950</v>
      </c>
      <c r="D18" s="99">
        <v>88.68</v>
      </c>
      <c r="E18" s="99">
        <v>262.12</v>
      </c>
      <c r="F18" s="99">
        <v>89</v>
      </c>
      <c r="G18" s="99">
        <v>262</v>
      </c>
    </row>
    <row r="19" spans="1:7" x14ac:dyDescent="0.25">
      <c r="A19" s="98" t="s">
        <v>951</v>
      </c>
      <c r="B19" s="98" t="s">
        <v>952</v>
      </c>
      <c r="C19" s="97" t="s">
        <v>953</v>
      </c>
      <c r="D19" s="99">
        <v>12266.12</v>
      </c>
      <c r="E19" s="99">
        <v>5828.7</v>
      </c>
      <c r="F19" s="99">
        <v>12266</v>
      </c>
      <c r="G19" s="99">
        <v>5829</v>
      </c>
    </row>
    <row r="20" spans="1:7" x14ac:dyDescent="0.25">
      <c r="A20" s="98" t="s">
        <v>954</v>
      </c>
      <c r="B20" s="98" t="s">
        <v>955</v>
      </c>
      <c r="C20" s="97" t="s">
        <v>956</v>
      </c>
      <c r="D20" s="99">
        <v>0</v>
      </c>
      <c r="E20" s="99">
        <v>0</v>
      </c>
      <c r="F20" s="99">
        <v>0</v>
      </c>
      <c r="G20" s="99">
        <v>0</v>
      </c>
    </row>
    <row r="21" spans="1:7" x14ac:dyDescent="0.25">
      <c r="A21" s="98" t="s">
        <v>957</v>
      </c>
      <c r="B21" s="98" t="s">
        <v>958</v>
      </c>
      <c r="C21" s="97" t="s">
        <v>959</v>
      </c>
      <c r="D21" s="99">
        <v>0</v>
      </c>
      <c r="E21" s="99">
        <v>0</v>
      </c>
      <c r="F21" s="99">
        <v>0</v>
      </c>
      <c r="G21" s="99">
        <v>0</v>
      </c>
    </row>
    <row r="22" spans="1:7" x14ac:dyDescent="0.25">
      <c r="A22" s="98" t="s">
        <v>960</v>
      </c>
      <c r="B22" s="98" t="s">
        <v>961</v>
      </c>
      <c r="C22" s="97" t="s">
        <v>962</v>
      </c>
      <c r="D22" s="99">
        <v>39.729999999999997</v>
      </c>
      <c r="E22" s="99">
        <v>0</v>
      </c>
      <c r="F22" s="99">
        <v>40</v>
      </c>
      <c r="G22" s="99">
        <v>0</v>
      </c>
    </row>
    <row r="23" spans="1:7" x14ac:dyDescent="0.25">
      <c r="A23" s="98" t="s">
        <v>963</v>
      </c>
      <c r="B23" s="98" t="s">
        <v>964</v>
      </c>
      <c r="C23" s="97" t="s">
        <v>965</v>
      </c>
      <c r="D23" s="99">
        <v>1381.15</v>
      </c>
      <c r="E23" s="99">
        <v>1486.51</v>
      </c>
      <c r="F23" s="99">
        <v>1381</v>
      </c>
      <c r="G23" s="99">
        <v>1487</v>
      </c>
    </row>
    <row r="24" spans="1:7" x14ac:dyDescent="0.25">
      <c r="A24" s="98" t="s">
        <v>966</v>
      </c>
      <c r="B24" s="98" t="s">
        <v>967</v>
      </c>
      <c r="C24" s="97" t="s">
        <v>968</v>
      </c>
      <c r="D24" s="99">
        <v>595.38</v>
      </c>
      <c r="E24" s="99">
        <v>1246.0999999999999</v>
      </c>
      <c r="F24" s="99">
        <v>595</v>
      </c>
      <c r="G24" s="99">
        <v>1246</v>
      </c>
    </row>
    <row r="25" spans="1:7" x14ac:dyDescent="0.25">
      <c r="A25" s="98" t="s">
        <v>969</v>
      </c>
      <c r="B25" s="98" t="s">
        <v>970</v>
      </c>
      <c r="C25" s="97" t="s">
        <v>971</v>
      </c>
      <c r="D25" s="99">
        <v>0</v>
      </c>
      <c r="E25" s="99">
        <v>0</v>
      </c>
      <c r="F25" s="99">
        <v>0</v>
      </c>
      <c r="G25" s="99">
        <v>0</v>
      </c>
    </row>
    <row r="26" spans="1:7" x14ac:dyDescent="0.25">
      <c r="A26" s="98" t="s">
        <v>907</v>
      </c>
      <c r="B26" s="98" t="s">
        <v>972</v>
      </c>
      <c r="C26" s="97" t="s">
        <v>973</v>
      </c>
      <c r="D26" s="99">
        <v>0</v>
      </c>
      <c r="E26" s="99">
        <v>0</v>
      </c>
      <c r="F26" s="99">
        <v>0</v>
      </c>
      <c r="G26" s="99">
        <v>0</v>
      </c>
    </row>
    <row r="27" spans="1:7" x14ac:dyDescent="0.25">
      <c r="A27" s="98" t="s">
        <v>974</v>
      </c>
      <c r="B27" s="98" t="s">
        <v>975</v>
      </c>
      <c r="C27" s="97" t="s">
        <v>976</v>
      </c>
      <c r="D27" s="99">
        <v>-62657.599999999999</v>
      </c>
      <c r="E27" s="99">
        <v>-68714.53</v>
      </c>
      <c r="F27" s="99">
        <v>-62658</v>
      </c>
      <c r="G27" s="99">
        <v>-68715</v>
      </c>
    </row>
    <row r="28" spans="1:7" x14ac:dyDescent="0.25">
      <c r="A28" s="98" t="s">
        <v>977</v>
      </c>
      <c r="B28" s="98" t="s">
        <v>978</v>
      </c>
      <c r="C28" s="97" t="s">
        <v>979</v>
      </c>
      <c r="D28" s="99">
        <v>0</v>
      </c>
      <c r="E28" s="99">
        <v>4250</v>
      </c>
      <c r="F28" s="99">
        <v>0</v>
      </c>
      <c r="G28" s="99">
        <v>4250</v>
      </c>
    </row>
    <row r="29" spans="1:7" x14ac:dyDescent="0.25">
      <c r="A29" s="98" t="s">
        <v>980</v>
      </c>
      <c r="B29" s="98" t="s">
        <v>981</v>
      </c>
      <c r="C29" s="97" t="s">
        <v>982</v>
      </c>
      <c r="D29" s="99">
        <v>0</v>
      </c>
      <c r="E29" s="99">
        <v>4250</v>
      </c>
      <c r="F29" s="99">
        <v>0</v>
      </c>
      <c r="G29" s="99">
        <v>4250</v>
      </c>
    </row>
    <row r="30" spans="1:7" x14ac:dyDescent="0.25">
      <c r="A30" s="98" t="s">
        <v>983</v>
      </c>
      <c r="B30" s="98" t="s">
        <v>984</v>
      </c>
      <c r="C30" s="97" t="s">
        <v>985</v>
      </c>
      <c r="D30" s="99">
        <v>0</v>
      </c>
      <c r="E30" s="99">
        <v>0</v>
      </c>
      <c r="F30" s="99">
        <v>0</v>
      </c>
      <c r="G30" s="99">
        <v>0</v>
      </c>
    </row>
    <row r="31" spans="1:7" x14ac:dyDescent="0.25">
      <c r="A31" s="98" t="s">
        <v>986</v>
      </c>
      <c r="B31" s="98" t="s">
        <v>987</v>
      </c>
      <c r="C31" s="97" t="s">
        <v>988</v>
      </c>
      <c r="D31" s="99">
        <v>0</v>
      </c>
      <c r="E31" s="99">
        <v>0</v>
      </c>
      <c r="F31" s="99">
        <v>0</v>
      </c>
      <c r="G31" s="99">
        <v>0</v>
      </c>
    </row>
    <row r="32" spans="1:7" x14ac:dyDescent="0.25">
      <c r="A32" s="98">
        <v>2</v>
      </c>
      <c r="B32" s="98" t="s">
        <v>989</v>
      </c>
      <c r="C32" s="97" t="s">
        <v>990</v>
      </c>
      <c r="D32" s="99">
        <v>0</v>
      </c>
      <c r="E32" s="99">
        <v>0</v>
      </c>
      <c r="F32" s="99">
        <v>0</v>
      </c>
      <c r="G32" s="99">
        <v>0</v>
      </c>
    </row>
    <row r="33" spans="1:7" x14ac:dyDescent="0.25">
      <c r="A33" s="98">
        <v>3</v>
      </c>
      <c r="B33" s="98" t="s">
        <v>991</v>
      </c>
      <c r="C33" s="97" t="s">
        <v>992</v>
      </c>
      <c r="D33" s="99">
        <v>0</v>
      </c>
      <c r="E33" s="99">
        <v>0</v>
      </c>
      <c r="F33" s="99">
        <v>0</v>
      </c>
      <c r="G33" s="99">
        <v>0</v>
      </c>
    </row>
    <row r="34" spans="1:7" x14ac:dyDescent="0.25">
      <c r="A34" s="98" t="s">
        <v>993</v>
      </c>
      <c r="B34" s="98" t="s">
        <v>994</v>
      </c>
      <c r="C34" s="97" t="s">
        <v>995</v>
      </c>
      <c r="D34" s="99">
        <v>0</v>
      </c>
      <c r="E34" s="99">
        <v>0</v>
      </c>
      <c r="F34" s="99">
        <v>0</v>
      </c>
      <c r="G34" s="99">
        <v>0</v>
      </c>
    </row>
    <row r="35" spans="1:7" x14ac:dyDescent="0.25">
      <c r="A35" s="98" t="s">
        <v>996</v>
      </c>
      <c r="B35" s="98" t="s">
        <v>997</v>
      </c>
      <c r="C35" s="97" t="s">
        <v>998</v>
      </c>
      <c r="D35" s="99">
        <v>0</v>
      </c>
      <c r="E35" s="99">
        <v>0</v>
      </c>
      <c r="F35" s="99">
        <v>0</v>
      </c>
      <c r="G35" s="99">
        <v>0</v>
      </c>
    </row>
    <row r="36" spans="1:7" x14ac:dyDescent="0.25">
      <c r="A36" s="98" t="s">
        <v>999</v>
      </c>
      <c r="B36" s="98" t="s">
        <v>1000</v>
      </c>
      <c r="C36" s="97" t="s">
        <v>1001</v>
      </c>
      <c r="D36" s="99">
        <v>0</v>
      </c>
      <c r="E36" s="99">
        <v>0</v>
      </c>
      <c r="F36" s="99">
        <v>0</v>
      </c>
      <c r="G36" s="99">
        <v>0</v>
      </c>
    </row>
    <row r="37" spans="1:7" x14ac:dyDescent="0.25">
      <c r="A37" s="98" t="s">
        <v>1002</v>
      </c>
      <c r="B37" s="98" t="s">
        <v>1003</v>
      </c>
      <c r="C37" s="97" t="s">
        <v>1004</v>
      </c>
      <c r="D37" s="99">
        <v>0</v>
      </c>
      <c r="E37" s="99">
        <v>0</v>
      </c>
      <c r="F37" s="99">
        <v>0</v>
      </c>
      <c r="G37" s="99">
        <v>0</v>
      </c>
    </row>
    <row r="38" spans="1:7" x14ac:dyDescent="0.25">
      <c r="A38" s="98" t="s">
        <v>1005</v>
      </c>
      <c r="B38" s="98" t="s">
        <v>1006</v>
      </c>
      <c r="C38" s="97" t="s">
        <v>1007</v>
      </c>
      <c r="D38" s="99">
        <v>0</v>
      </c>
      <c r="E38" s="99">
        <v>0</v>
      </c>
      <c r="F38" s="99">
        <v>0</v>
      </c>
      <c r="G38" s="99">
        <v>0</v>
      </c>
    </row>
    <row r="39" spans="1:7" x14ac:dyDescent="0.25">
      <c r="A39" s="98" t="s">
        <v>1008</v>
      </c>
      <c r="B39" s="98" t="s">
        <v>1009</v>
      </c>
      <c r="C39" s="97" t="s">
        <v>1010</v>
      </c>
      <c r="D39" s="99">
        <v>0</v>
      </c>
      <c r="E39" s="99">
        <v>0</v>
      </c>
      <c r="F39" s="99">
        <v>0</v>
      </c>
      <c r="G39" s="99">
        <v>0</v>
      </c>
    </row>
    <row r="40" spans="1:7" x14ac:dyDescent="0.25">
      <c r="A40" s="98" t="s">
        <v>1011</v>
      </c>
      <c r="B40" s="98" t="s">
        <v>1012</v>
      </c>
      <c r="C40" s="97" t="s">
        <v>1013</v>
      </c>
      <c r="D40" s="99">
        <v>6426.26</v>
      </c>
      <c r="E40" s="99">
        <v>17959.13</v>
      </c>
      <c r="F40" s="99">
        <v>6426</v>
      </c>
      <c r="G40" s="99">
        <v>17959</v>
      </c>
    </row>
    <row r="41" spans="1:7" x14ac:dyDescent="0.25">
      <c r="A41" s="98" t="s">
        <v>1014</v>
      </c>
      <c r="B41" s="98" t="s">
        <v>1015</v>
      </c>
      <c r="C41" s="97" t="s">
        <v>1016</v>
      </c>
      <c r="D41" s="99">
        <v>0</v>
      </c>
      <c r="E41" s="99">
        <v>0</v>
      </c>
      <c r="F41" s="99">
        <v>0</v>
      </c>
      <c r="G41" s="99">
        <v>0</v>
      </c>
    </row>
    <row r="42" spans="1:7" x14ac:dyDescent="0.25">
      <c r="A42" s="98" t="s">
        <v>1017</v>
      </c>
      <c r="B42" s="98" t="s">
        <v>1018</v>
      </c>
      <c r="C42" s="97" t="s">
        <v>1019</v>
      </c>
      <c r="D42" s="99">
        <v>0</v>
      </c>
      <c r="E42" s="99">
        <v>0</v>
      </c>
      <c r="F42" s="99">
        <v>0</v>
      </c>
      <c r="G42" s="99">
        <v>0</v>
      </c>
    </row>
    <row r="43" spans="1:7" x14ac:dyDescent="0.25">
      <c r="A43" s="98" t="s">
        <v>1020</v>
      </c>
      <c r="B43" s="98" t="s">
        <v>1021</v>
      </c>
      <c r="C43" s="97" t="s">
        <v>1022</v>
      </c>
      <c r="D43" s="99">
        <v>0</v>
      </c>
      <c r="E43" s="99">
        <v>0</v>
      </c>
      <c r="F43" s="99">
        <v>0</v>
      </c>
      <c r="G43" s="99">
        <v>0</v>
      </c>
    </row>
    <row r="44" spans="1:7" x14ac:dyDescent="0.25">
      <c r="A44" s="98" t="s">
        <v>1023</v>
      </c>
      <c r="B44" s="98" t="s">
        <v>1024</v>
      </c>
      <c r="C44" s="97" t="s">
        <v>1025</v>
      </c>
      <c r="D44" s="99">
        <v>1536.67</v>
      </c>
      <c r="E44" s="99">
        <v>5584.15</v>
      </c>
      <c r="F44" s="99">
        <v>1537</v>
      </c>
      <c r="G44" s="99">
        <v>5584</v>
      </c>
    </row>
    <row r="45" spans="1:7" x14ac:dyDescent="0.25">
      <c r="A45" s="98" t="s">
        <v>1026</v>
      </c>
      <c r="B45" s="98" t="s">
        <v>1027</v>
      </c>
      <c r="C45" s="97" t="s">
        <v>1028</v>
      </c>
      <c r="D45" s="99">
        <v>0</v>
      </c>
      <c r="E45" s="99">
        <v>0</v>
      </c>
      <c r="F45" s="99">
        <v>0</v>
      </c>
      <c r="G45" s="99">
        <v>0</v>
      </c>
    </row>
    <row r="46" spans="1:7" x14ac:dyDescent="0.25">
      <c r="A46" s="98" t="s">
        <v>1029</v>
      </c>
      <c r="B46" s="98" t="s">
        <v>1030</v>
      </c>
      <c r="C46" s="97" t="s">
        <v>1031</v>
      </c>
      <c r="D46" s="99">
        <v>0</v>
      </c>
      <c r="E46" s="99">
        <v>0</v>
      </c>
      <c r="F46" s="99">
        <v>0</v>
      </c>
      <c r="G46" s="99">
        <v>0</v>
      </c>
    </row>
    <row r="47" spans="1:7" x14ac:dyDescent="0.25">
      <c r="A47" s="98" t="s">
        <v>974</v>
      </c>
      <c r="B47" s="98" t="s">
        <v>1032</v>
      </c>
      <c r="C47" s="97" t="s">
        <v>1033</v>
      </c>
      <c r="D47" s="99">
        <v>-7962.93</v>
      </c>
      <c r="E47" s="99">
        <v>-23543.279999999999</v>
      </c>
      <c r="F47" s="99">
        <v>-7963</v>
      </c>
      <c r="G47" s="99">
        <v>-23543</v>
      </c>
    </row>
    <row r="48" spans="1:7" x14ac:dyDescent="0.25">
      <c r="A48" s="98" t="s">
        <v>1034</v>
      </c>
      <c r="B48" s="98" t="s">
        <v>1035</v>
      </c>
      <c r="C48" s="97" t="s">
        <v>1036</v>
      </c>
      <c r="D48" s="99">
        <v>-70620.53</v>
      </c>
      <c r="E48" s="99">
        <v>-92257.81</v>
      </c>
      <c r="F48" s="99">
        <v>-70621</v>
      </c>
      <c r="G48" s="99">
        <v>-92258</v>
      </c>
    </row>
    <row r="49" spans="1:7" x14ac:dyDescent="0.25">
      <c r="A49" s="98" t="s">
        <v>1037</v>
      </c>
      <c r="B49" s="98" t="s">
        <v>1038</v>
      </c>
      <c r="C49" s="97" t="s">
        <v>1039</v>
      </c>
      <c r="D49" s="99">
        <v>-769.83</v>
      </c>
      <c r="E49" s="99">
        <v>-1282</v>
      </c>
      <c r="F49" s="99">
        <v>-770</v>
      </c>
      <c r="G49" s="99">
        <v>-1282</v>
      </c>
    </row>
    <row r="50" spans="1:7" x14ac:dyDescent="0.25">
      <c r="A50" s="98" t="s">
        <v>1040</v>
      </c>
      <c r="B50" s="98" t="s">
        <v>1041</v>
      </c>
      <c r="C50" s="97" t="s">
        <v>1042</v>
      </c>
      <c r="D50" s="99">
        <v>0</v>
      </c>
      <c r="E50" s="99">
        <v>0</v>
      </c>
      <c r="F50" s="99">
        <v>0</v>
      </c>
      <c r="G50" s="99">
        <v>0</v>
      </c>
    </row>
    <row r="51" spans="1:7" x14ac:dyDescent="0.25">
      <c r="A51" s="98">
        <v>2</v>
      </c>
      <c r="B51" s="98" t="s">
        <v>1043</v>
      </c>
      <c r="C51" s="97" t="s">
        <v>1044</v>
      </c>
      <c r="D51" s="99">
        <v>-769.83</v>
      </c>
      <c r="E51" s="99">
        <v>-1282</v>
      </c>
      <c r="F51" s="99">
        <v>-770</v>
      </c>
      <c r="G51" s="99">
        <v>-1282</v>
      </c>
    </row>
    <row r="52" spans="1:7" x14ac:dyDescent="0.25">
      <c r="A52" s="98" t="s">
        <v>1034</v>
      </c>
      <c r="B52" s="98" t="s">
        <v>1045</v>
      </c>
      <c r="C52" s="97" t="s">
        <v>1046</v>
      </c>
      <c r="D52" s="99">
        <v>-69850.7</v>
      </c>
      <c r="E52" s="99">
        <v>-90975.81</v>
      </c>
      <c r="F52" s="99">
        <v>-69851</v>
      </c>
      <c r="G52" s="99">
        <v>-90976</v>
      </c>
    </row>
    <row r="53" spans="1:7" x14ac:dyDescent="0.25">
      <c r="A53" s="98" t="s">
        <v>1047</v>
      </c>
      <c r="B53" s="98" t="s">
        <v>1048</v>
      </c>
      <c r="C53" s="97" t="s">
        <v>1049</v>
      </c>
      <c r="D53" s="99">
        <v>0</v>
      </c>
      <c r="E53" s="99">
        <v>0</v>
      </c>
      <c r="F53" s="99">
        <v>0</v>
      </c>
      <c r="G53" s="99">
        <v>0</v>
      </c>
    </row>
    <row r="54" spans="1:7" x14ac:dyDescent="0.25">
      <c r="A54" s="98" t="s">
        <v>1050</v>
      </c>
      <c r="B54" s="98" t="s">
        <v>1051</v>
      </c>
      <c r="C54" s="97" t="s">
        <v>1052</v>
      </c>
      <c r="D54" s="99">
        <v>0</v>
      </c>
      <c r="E54" s="99">
        <v>0</v>
      </c>
      <c r="F54" s="99">
        <v>0</v>
      </c>
      <c r="G54" s="99">
        <v>0</v>
      </c>
    </row>
    <row r="55" spans="1:7" x14ac:dyDescent="0.25">
      <c r="A55" s="98" t="s">
        <v>974</v>
      </c>
      <c r="B55" s="98" t="s">
        <v>1053</v>
      </c>
      <c r="C55" s="97" t="s">
        <v>1054</v>
      </c>
      <c r="D55" s="99">
        <v>0</v>
      </c>
      <c r="E55" s="99">
        <v>0</v>
      </c>
      <c r="F55" s="99">
        <v>0</v>
      </c>
      <c r="G55" s="99">
        <v>0</v>
      </c>
    </row>
    <row r="56" spans="1:7" x14ac:dyDescent="0.25">
      <c r="A56" s="98" t="s">
        <v>1055</v>
      </c>
      <c r="B56" s="98" t="s">
        <v>1056</v>
      </c>
      <c r="C56" s="97" t="s">
        <v>1057</v>
      </c>
      <c r="D56" s="99">
        <v>0</v>
      </c>
      <c r="E56" s="99">
        <v>0</v>
      </c>
      <c r="F56" s="99">
        <v>0</v>
      </c>
      <c r="G56" s="99">
        <v>0</v>
      </c>
    </row>
    <row r="57" spans="1:7" x14ac:dyDescent="0.25">
      <c r="A57" s="98" t="s">
        <v>1058</v>
      </c>
      <c r="B57" s="98" t="s">
        <v>1059</v>
      </c>
      <c r="C57" s="97" t="s">
        <v>1060</v>
      </c>
      <c r="D57" s="99">
        <v>0</v>
      </c>
      <c r="E57" s="99">
        <v>0</v>
      </c>
      <c r="F57" s="99">
        <v>0</v>
      </c>
      <c r="G57" s="99">
        <v>0</v>
      </c>
    </row>
    <row r="58" spans="1:7" x14ac:dyDescent="0.25">
      <c r="A58" s="98">
        <v>2</v>
      </c>
      <c r="B58" s="98" t="s">
        <v>1061</v>
      </c>
      <c r="C58" s="97" t="s">
        <v>1062</v>
      </c>
      <c r="D58" s="99">
        <v>0</v>
      </c>
      <c r="E58" s="99">
        <v>0</v>
      </c>
      <c r="F58" s="99">
        <v>0</v>
      </c>
      <c r="G58" s="99">
        <v>0</v>
      </c>
    </row>
    <row r="59" spans="1:7" x14ac:dyDescent="0.25">
      <c r="A59" s="98" t="s">
        <v>974</v>
      </c>
      <c r="B59" s="98" t="s">
        <v>1063</v>
      </c>
      <c r="C59" s="97" t="s">
        <v>1064</v>
      </c>
      <c r="D59" s="99">
        <v>0</v>
      </c>
      <c r="E59" s="99">
        <v>0</v>
      </c>
      <c r="F59" s="99">
        <v>0</v>
      </c>
      <c r="G59" s="99">
        <v>0</v>
      </c>
    </row>
    <row r="60" spans="1:7" x14ac:dyDescent="0.25">
      <c r="A60" s="98" t="s">
        <v>1065</v>
      </c>
      <c r="B60" s="98" t="s">
        <v>1066</v>
      </c>
      <c r="C60" s="97" t="s">
        <v>1067</v>
      </c>
      <c r="D60" s="99">
        <v>-70620.53</v>
      </c>
      <c r="E60" s="99">
        <v>-92257.81</v>
      </c>
      <c r="F60" s="99">
        <v>-70621</v>
      </c>
      <c r="G60" s="99">
        <v>-92258</v>
      </c>
    </row>
    <row r="61" spans="1:7" x14ac:dyDescent="0.25">
      <c r="A61" s="98" t="s">
        <v>969</v>
      </c>
      <c r="B61" s="98" t="s">
        <v>1068</v>
      </c>
      <c r="C61" s="97" t="s">
        <v>1069</v>
      </c>
      <c r="D61" s="99">
        <v>0</v>
      </c>
      <c r="E61" s="99">
        <v>0</v>
      </c>
      <c r="F61" s="99">
        <v>0</v>
      </c>
      <c r="G61" s="99">
        <v>0</v>
      </c>
    </row>
    <row r="62" spans="1:7" x14ac:dyDescent="0.25">
      <c r="A62" s="98" t="s">
        <v>1065</v>
      </c>
      <c r="B62" s="98" t="s">
        <v>1070</v>
      </c>
      <c r="C62" s="97" t="s">
        <v>1071</v>
      </c>
      <c r="D62" s="99">
        <v>-69850.7</v>
      </c>
      <c r="E62" s="99">
        <v>-90975.81</v>
      </c>
      <c r="F62" s="99">
        <v>-69851</v>
      </c>
      <c r="G62" s="99">
        <v>-90976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2"/>
  <sheetViews>
    <sheetView workbookViewId="0">
      <selection activeCell="B2" sqref="B2"/>
    </sheetView>
  </sheetViews>
  <sheetFormatPr defaultRowHeight="15" x14ac:dyDescent="0.25"/>
  <cols>
    <col min="1" max="1" width="8.28515625" style="101" bestFit="1" customWidth="1"/>
    <col min="2" max="2" width="86.140625" style="101" bestFit="1" customWidth="1"/>
    <col min="3" max="3" width="4.42578125" style="100" bestFit="1" customWidth="1"/>
    <col min="4" max="7" width="15.28515625" style="102" bestFit="1" customWidth="1"/>
    <col min="8" max="16384" width="9.140625" style="96"/>
  </cols>
  <sheetData>
    <row r="1" spans="1:7" ht="33.75" x14ac:dyDescent="0.25">
      <c r="A1" s="107" t="s">
        <v>230</v>
      </c>
      <c r="B1" s="107" t="s">
        <v>238</v>
      </c>
      <c r="C1" s="106" t="s">
        <v>252</v>
      </c>
      <c r="D1" s="108" t="s">
        <v>253</v>
      </c>
      <c r="E1" s="108" t="s">
        <v>254</v>
      </c>
      <c r="F1" s="108" t="s">
        <v>237</v>
      </c>
      <c r="G1" s="108" t="s">
        <v>235</v>
      </c>
    </row>
    <row r="2" spans="1:7" x14ac:dyDescent="0.25">
      <c r="A2" s="101" t="s">
        <v>907</v>
      </c>
      <c r="B2" s="101" t="s">
        <v>908</v>
      </c>
      <c r="C2" s="100" t="s">
        <v>909</v>
      </c>
      <c r="D2" s="102">
        <v>213138.98</v>
      </c>
      <c r="E2" s="102">
        <v>0</v>
      </c>
      <c r="F2" s="102">
        <v>213139</v>
      </c>
      <c r="G2" s="102">
        <v>0</v>
      </c>
    </row>
    <row r="3" spans="1:7" x14ac:dyDescent="0.25">
      <c r="A3" s="101" t="s">
        <v>910</v>
      </c>
      <c r="B3" s="101" t="s">
        <v>911</v>
      </c>
      <c r="C3" s="100" t="s">
        <v>912</v>
      </c>
      <c r="D3" s="99">
        <v>166200.25</v>
      </c>
      <c r="E3" s="99">
        <v>0</v>
      </c>
      <c r="F3" s="99">
        <v>166200</v>
      </c>
      <c r="G3" s="99">
        <v>0</v>
      </c>
    </row>
    <row r="4" spans="1:7" x14ac:dyDescent="0.25">
      <c r="A4" s="101" t="s">
        <v>913</v>
      </c>
      <c r="B4" s="101" t="s">
        <v>914</v>
      </c>
      <c r="C4" s="100" t="s">
        <v>915</v>
      </c>
      <c r="D4" s="102">
        <v>46938.73</v>
      </c>
      <c r="E4" s="102">
        <v>0</v>
      </c>
      <c r="F4" s="102">
        <v>46939</v>
      </c>
      <c r="G4" s="102">
        <v>0</v>
      </c>
    </row>
    <row r="5" spans="1:7" x14ac:dyDescent="0.25">
      <c r="A5" s="101" t="s">
        <v>916</v>
      </c>
      <c r="B5" s="101" t="s">
        <v>917</v>
      </c>
      <c r="C5" s="100" t="s">
        <v>918</v>
      </c>
      <c r="D5" s="102">
        <v>13658.08</v>
      </c>
      <c r="E5" s="102">
        <v>0</v>
      </c>
      <c r="F5" s="102">
        <v>13658</v>
      </c>
      <c r="G5" s="102">
        <v>0</v>
      </c>
    </row>
    <row r="6" spans="1:7" x14ac:dyDescent="0.25">
      <c r="A6" s="101" t="s">
        <v>919</v>
      </c>
      <c r="B6" s="101" t="s">
        <v>920</v>
      </c>
      <c r="C6" s="100" t="s">
        <v>921</v>
      </c>
      <c r="D6" s="102">
        <v>13658.08</v>
      </c>
      <c r="E6" s="102">
        <v>0</v>
      </c>
      <c r="F6" s="102">
        <v>13658</v>
      </c>
      <c r="G6" s="102">
        <v>0</v>
      </c>
    </row>
    <row r="7" spans="1:7" x14ac:dyDescent="0.25">
      <c r="A7" s="101">
        <v>2</v>
      </c>
      <c r="B7" s="101" t="s">
        <v>922</v>
      </c>
      <c r="C7" s="100" t="s">
        <v>923</v>
      </c>
      <c r="D7" s="102">
        <v>0</v>
      </c>
      <c r="E7" s="102">
        <v>0</v>
      </c>
      <c r="F7" s="102">
        <v>0</v>
      </c>
      <c r="G7" s="102">
        <v>0</v>
      </c>
    </row>
    <row r="8" spans="1:7" x14ac:dyDescent="0.25">
      <c r="A8" s="101">
        <v>3</v>
      </c>
      <c r="B8" s="101" t="s">
        <v>924</v>
      </c>
      <c r="C8" s="100" t="s">
        <v>925</v>
      </c>
      <c r="D8" s="102">
        <v>0</v>
      </c>
      <c r="E8" s="102">
        <v>0</v>
      </c>
      <c r="F8" s="102">
        <v>0</v>
      </c>
      <c r="G8" s="102">
        <v>0</v>
      </c>
    </row>
    <row r="9" spans="1:7" x14ac:dyDescent="0.25">
      <c r="A9" s="101" t="s">
        <v>926</v>
      </c>
      <c r="B9" s="101" t="s">
        <v>927</v>
      </c>
      <c r="C9" s="100" t="s">
        <v>928</v>
      </c>
      <c r="D9" s="102">
        <v>60524.28</v>
      </c>
      <c r="E9" s="102">
        <v>30628.68</v>
      </c>
      <c r="F9" s="102">
        <v>60525</v>
      </c>
      <c r="G9" s="102">
        <v>30630</v>
      </c>
    </row>
    <row r="10" spans="1:7" x14ac:dyDescent="0.25">
      <c r="A10" s="101" t="s">
        <v>929</v>
      </c>
      <c r="B10" s="101" t="s">
        <v>930</v>
      </c>
      <c r="C10" s="100" t="s">
        <v>931</v>
      </c>
      <c r="D10" s="102">
        <v>7570.54</v>
      </c>
      <c r="E10" s="102">
        <v>554.26</v>
      </c>
      <c r="F10" s="102">
        <v>7571</v>
      </c>
      <c r="G10" s="102">
        <v>554</v>
      </c>
    </row>
    <row r="11" spans="1:7" x14ac:dyDescent="0.25">
      <c r="A11" s="101">
        <v>2</v>
      </c>
      <c r="B11" s="101" t="s">
        <v>932</v>
      </c>
      <c r="C11" s="100" t="s">
        <v>933</v>
      </c>
      <c r="D11" s="102">
        <v>52953.74</v>
      </c>
      <c r="E11" s="102">
        <v>30074.42</v>
      </c>
      <c r="F11" s="102">
        <v>52954</v>
      </c>
      <c r="G11" s="102">
        <v>30076</v>
      </c>
    </row>
    <row r="12" spans="1:7" x14ac:dyDescent="0.25">
      <c r="A12" s="101" t="s">
        <v>913</v>
      </c>
      <c r="B12" s="101" t="s">
        <v>934</v>
      </c>
      <c r="C12" s="100" t="s">
        <v>935</v>
      </c>
      <c r="D12" s="102">
        <v>72.53</v>
      </c>
      <c r="E12" s="102">
        <v>-30628.68</v>
      </c>
      <c r="F12" s="102">
        <v>72</v>
      </c>
      <c r="G12" s="102">
        <v>-30630</v>
      </c>
    </row>
    <row r="13" spans="1:7" x14ac:dyDescent="0.25">
      <c r="A13" s="101" t="s">
        <v>936</v>
      </c>
      <c r="B13" s="101" t="s">
        <v>937</v>
      </c>
      <c r="C13" s="100" t="s">
        <v>938</v>
      </c>
      <c r="D13" s="102">
        <v>62936.65</v>
      </c>
      <c r="E13" s="102">
        <v>0</v>
      </c>
      <c r="F13" s="102">
        <v>62937</v>
      </c>
      <c r="G13" s="102">
        <v>0</v>
      </c>
    </row>
    <row r="14" spans="1:7" x14ac:dyDescent="0.25">
      <c r="A14" s="101" t="s">
        <v>939</v>
      </c>
      <c r="B14" s="101" t="s">
        <v>940</v>
      </c>
      <c r="C14" s="100" t="s">
        <v>941</v>
      </c>
      <c r="D14" s="102">
        <v>46598.3</v>
      </c>
      <c r="E14" s="102">
        <v>0</v>
      </c>
      <c r="F14" s="102">
        <v>46598</v>
      </c>
      <c r="G14" s="102">
        <v>0</v>
      </c>
    </row>
    <row r="15" spans="1:7" x14ac:dyDescent="0.25">
      <c r="A15" s="101">
        <v>2</v>
      </c>
      <c r="B15" s="101" t="s">
        <v>942</v>
      </c>
      <c r="C15" s="100" t="s">
        <v>943</v>
      </c>
      <c r="D15" s="102">
        <v>0</v>
      </c>
      <c r="E15" s="102">
        <v>0</v>
      </c>
      <c r="F15" s="102">
        <v>0</v>
      </c>
      <c r="G15" s="102">
        <v>0</v>
      </c>
    </row>
    <row r="16" spans="1:7" x14ac:dyDescent="0.25">
      <c r="A16" s="101">
        <v>3</v>
      </c>
      <c r="B16" s="101" t="s">
        <v>944</v>
      </c>
      <c r="C16" s="100" t="s">
        <v>945</v>
      </c>
      <c r="D16" s="102">
        <v>14756.55</v>
      </c>
      <c r="E16" s="102">
        <v>0</v>
      </c>
      <c r="F16" s="102">
        <v>14757</v>
      </c>
      <c r="G16" s="102">
        <v>0</v>
      </c>
    </row>
    <row r="17" spans="1:7" x14ac:dyDescent="0.25">
      <c r="A17" s="101">
        <v>4</v>
      </c>
      <c r="B17" s="101" t="s">
        <v>946</v>
      </c>
      <c r="C17" s="100" t="s">
        <v>947</v>
      </c>
      <c r="D17" s="102">
        <v>1581.8</v>
      </c>
      <c r="E17" s="102">
        <v>0</v>
      </c>
      <c r="F17" s="102">
        <v>1582</v>
      </c>
      <c r="G17" s="102">
        <v>0</v>
      </c>
    </row>
    <row r="18" spans="1:7" x14ac:dyDescent="0.25">
      <c r="A18" s="101" t="s">
        <v>948</v>
      </c>
      <c r="B18" s="101" t="s">
        <v>949</v>
      </c>
      <c r="C18" s="100" t="s">
        <v>950</v>
      </c>
      <c r="D18" s="102">
        <v>262.12</v>
      </c>
      <c r="E18" s="102">
        <v>82.5</v>
      </c>
      <c r="F18" s="102">
        <v>262</v>
      </c>
      <c r="G18" s="102">
        <v>83</v>
      </c>
    </row>
    <row r="19" spans="1:7" x14ac:dyDescent="0.25">
      <c r="A19" s="101" t="s">
        <v>951</v>
      </c>
      <c r="B19" s="101" t="s">
        <v>952</v>
      </c>
      <c r="C19" s="100" t="s">
        <v>953</v>
      </c>
      <c r="D19" s="102">
        <v>5828.7</v>
      </c>
      <c r="E19" s="102">
        <v>0</v>
      </c>
      <c r="F19" s="102">
        <v>5829</v>
      </c>
      <c r="G19" s="102">
        <v>0</v>
      </c>
    </row>
    <row r="20" spans="1:7" x14ac:dyDescent="0.25">
      <c r="A20" s="101" t="s">
        <v>954</v>
      </c>
      <c r="B20" s="101" t="s">
        <v>955</v>
      </c>
      <c r="C20" s="100" t="s">
        <v>956</v>
      </c>
      <c r="D20" s="102">
        <v>0</v>
      </c>
      <c r="E20" s="102">
        <v>0</v>
      </c>
      <c r="F20" s="102">
        <v>0</v>
      </c>
      <c r="G20" s="102">
        <v>0</v>
      </c>
    </row>
    <row r="21" spans="1:7" x14ac:dyDescent="0.25">
      <c r="A21" s="101" t="s">
        <v>957</v>
      </c>
      <c r="B21" s="101" t="s">
        <v>958</v>
      </c>
      <c r="C21" s="100" t="s">
        <v>959</v>
      </c>
      <c r="D21" s="102">
        <v>0</v>
      </c>
      <c r="E21" s="102">
        <v>0</v>
      </c>
      <c r="F21" s="102">
        <v>0</v>
      </c>
      <c r="G21" s="102">
        <v>0</v>
      </c>
    </row>
    <row r="22" spans="1:7" x14ac:dyDescent="0.25">
      <c r="A22" s="101" t="s">
        <v>960</v>
      </c>
      <c r="B22" s="101" t="s">
        <v>961</v>
      </c>
      <c r="C22" s="100" t="s">
        <v>962</v>
      </c>
      <c r="D22" s="102">
        <v>0</v>
      </c>
      <c r="E22" s="102">
        <v>0</v>
      </c>
      <c r="F22" s="102">
        <v>0</v>
      </c>
      <c r="G22" s="102">
        <v>0</v>
      </c>
    </row>
    <row r="23" spans="1:7" x14ac:dyDescent="0.25">
      <c r="A23" s="101" t="s">
        <v>963</v>
      </c>
      <c r="B23" s="101" t="s">
        <v>964</v>
      </c>
      <c r="C23" s="100" t="s">
        <v>965</v>
      </c>
      <c r="D23" s="102">
        <v>1486.51</v>
      </c>
      <c r="E23" s="102">
        <v>0.01</v>
      </c>
      <c r="F23" s="102">
        <v>1487</v>
      </c>
      <c r="G23" s="102">
        <v>0</v>
      </c>
    </row>
    <row r="24" spans="1:7" x14ac:dyDescent="0.25">
      <c r="A24" s="101" t="s">
        <v>966</v>
      </c>
      <c r="B24" s="101" t="s">
        <v>967</v>
      </c>
      <c r="C24" s="100" t="s">
        <v>968</v>
      </c>
      <c r="D24" s="102">
        <v>1246.0999999999999</v>
      </c>
      <c r="E24" s="102">
        <v>0.01</v>
      </c>
      <c r="F24" s="102">
        <v>1246</v>
      </c>
      <c r="G24" s="102">
        <v>0</v>
      </c>
    </row>
    <row r="25" spans="1:7" x14ac:dyDescent="0.25">
      <c r="A25" s="101" t="s">
        <v>969</v>
      </c>
      <c r="B25" s="101" t="s">
        <v>970</v>
      </c>
      <c r="C25" s="100" t="s">
        <v>971</v>
      </c>
      <c r="D25" s="102">
        <v>0</v>
      </c>
      <c r="E25" s="102">
        <v>0</v>
      </c>
      <c r="F25" s="102">
        <v>0</v>
      </c>
      <c r="G25" s="102">
        <v>0</v>
      </c>
    </row>
    <row r="26" spans="1:7" x14ac:dyDescent="0.25">
      <c r="A26" s="101" t="s">
        <v>907</v>
      </c>
      <c r="B26" s="101" t="s">
        <v>972</v>
      </c>
      <c r="C26" s="100" t="s">
        <v>973</v>
      </c>
      <c r="D26" s="102">
        <v>0</v>
      </c>
      <c r="E26" s="102">
        <v>0</v>
      </c>
      <c r="F26" s="102">
        <v>0</v>
      </c>
      <c r="G26" s="102">
        <v>0</v>
      </c>
    </row>
    <row r="27" spans="1:7" x14ac:dyDescent="0.25">
      <c r="A27" s="101" t="s">
        <v>974</v>
      </c>
      <c r="B27" s="101" t="s">
        <v>975</v>
      </c>
      <c r="C27" s="100" t="s">
        <v>976</v>
      </c>
      <c r="D27" s="102">
        <v>-68714.53</v>
      </c>
      <c r="E27" s="102">
        <v>-30711.18</v>
      </c>
      <c r="F27" s="102">
        <v>-68715</v>
      </c>
      <c r="G27" s="102">
        <v>-30713</v>
      </c>
    </row>
    <row r="28" spans="1:7" x14ac:dyDescent="0.25">
      <c r="A28" s="101" t="s">
        <v>977</v>
      </c>
      <c r="B28" s="101" t="s">
        <v>978</v>
      </c>
      <c r="C28" s="100" t="s">
        <v>979</v>
      </c>
      <c r="D28" s="102">
        <v>4250</v>
      </c>
      <c r="E28" s="102">
        <v>0</v>
      </c>
      <c r="F28" s="102">
        <v>4250</v>
      </c>
      <c r="G28" s="102">
        <v>0</v>
      </c>
    </row>
    <row r="29" spans="1:7" x14ac:dyDescent="0.25">
      <c r="A29" s="101" t="s">
        <v>980</v>
      </c>
      <c r="B29" s="101" t="s">
        <v>981</v>
      </c>
      <c r="C29" s="100" t="s">
        <v>982</v>
      </c>
      <c r="D29" s="102">
        <v>4250</v>
      </c>
      <c r="E29" s="102">
        <v>0</v>
      </c>
      <c r="F29" s="102">
        <v>4250</v>
      </c>
      <c r="G29" s="102">
        <v>0</v>
      </c>
    </row>
    <row r="30" spans="1:7" x14ac:dyDescent="0.25">
      <c r="A30" s="101" t="s">
        <v>983</v>
      </c>
      <c r="B30" s="101" t="s">
        <v>984</v>
      </c>
      <c r="C30" s="100" t="s">
        <v>985</v>
      </c>
      <c r="D30" s="102">
        <v>0</v>
      </c>
      <c r="E30" s="102">
        <v>0</v>
      </c>
      <c r="F30" s="102">
        <v>0</v>
      </c>
      <c r="G30" s="102">
        <v>0</v>
      </c>
    </row>
    <row r="31" spans="1:7" x14ac:dyDescent="0.25">
      <c r="A31" s="101" t="s">
        <v>986</v>
      </c>
      <c r="B31" s="101" t="s">
        <v>987</v>
      </c>
      <c r="C31" s="100" t="s">
        <v>988</v>
      </c>
      <c r="D31" s="102">
        <v>0</v>
      </c>
      <c r="E31" s="102">
        <v>0</v>
      </c>
      <c r="F31" s="102">
        <v>0</v>
      </c>
      <c r="G31" s="102">
        <v>0</v>
      </c>
    </row>
    <row r="32" spans="1:7" x14ac:dyDescent="0.25">
      <c r="A32" s="101">
        <v>2</v>
      </c>
      <c r="B32" s="101" t="s">
        <v>989</v>
      </c>
      <c r="C32" s="100" t="s">
        <v>990</v>
      </c>
      <c r="D32" s="102">
        <v>0</v>
      </c>
      <c r="E32" s="102">
        <v>0</v>
      </c>
      <c r="F32" s="102">
        <v>0</v>
      </c>
      <c r="G32" s="102">
        <v>0</v>
      </c>
    </row>
    <row r="33" spans="1:7" x14ac:dyDescent="0.25">
      <c r="A33" s="101">
        <v>3</v>
      </c>
      <c r="B33" s="101" t="s">
        <v>991</v>
      </c>
      <c r="C33" s="100" t="s">
        <v>992</v>
      </c>
      <c r="D33" s="102">
        <v>0</v>
      </c>
      <c r="E33" s="102">
        <v>0</v>
      </c>
      <c r="F33" s="102">
        <v>0</v>
      </c>
      <c r="G33" s="102">
        <v>0</v>
      </c>
    </row>
    <row r="34" spans="1:7" x14ac:dyDescent="0.25">
      <c r="A34" s="101" t="s">
        <v>993</v>
      </c>
      <c r="B34" s="101" t="s">
        <v>994</v>
      </c>
      <c r="C34" s="100" t="s">
        <v>995</v>
      </c>
      <c r="D34" s="102">
        <v>0</v>
      </c>
      <c r="E34" s="102">
        <v>0</v>
      </c>
      <c r="F34" s="102">
        <v>0</v>
      </c>
      <c r="G34" s="102">
        <v>0</v>
      </c>
    </row>
    <row r="35" spans="1:7" x14ac:dyDescent="0.25">
      <c r="A35" s="101" t="s">
        <v>996</v>
      </c>
      <c r="B35" s="101" t="s">
        <v>997</v>
      </c>
      <c r="C35" s="100" t="s">
        <v>998</v>
      </c>
      <c r="D35" s="102">
        <v>0</v>
      </c>
      <c r="E35" s="102">
        <v>0</v>
      </c>
      <c r="F35" s="102">
        <v>0</v>
      </c>
      <c r="G35" s="102">
        <v>0</v>
      </c>
    </row>
    <row r="36" spans="1:7" x14ac:dyDescent="0.25">
      <c r="A36" s="101" t="s">
        <v>999</v>
      </c>
      <c r="B36" s="101" t="s">
        <v>1000</v>
      </c>
      <c r="C36" s="100" t="s">
        <v>1001</v>
      </c>
      <c r="D36" s="102">
        <v>0</v>
      </c>
      <c r="E36" s="102">
        <v>0</v>
      </c>
      <c r="F36" s="102">
        <v>0</v>
      </c>
      <c r="G36" s="102">
        <v>0</v>
      </c>
    </row>
    <row r="37" spans="1:7" x14ac:dyDescent="0.25">
      <c r="A37" s="101" t="s">
        <v>1002</v>
      </c>
      <c r="B37" s="101" t="s">
        <v>1003</v>
      </c>
      <c r="C37" s="100" t="s">
        <v>1004</v>
      </c>
      <c r="D37" s="102">
        <v>0</v>
      </c>
      <c r="E37" s="102">
        <v>0</v>
      </c>
      <c r="F37" s="102">
        <v>0</v>
      </c>
      <c r="G37" s="102">
        <v>0</v>
      </c>
    </row>
    <row r="38" spans="1:7" x14ac:dyDescent="0.25">
      <c r="A38" s="101" t="s">
        <v>1005</v>
      </c>
      <c r="B38" s="101" t="s">
        <v>1006</v>
      </c>
      <c r="C38" s="100" t="s">
        <v>1007</v>
      </c>
      <c r="D38" s="102">
        <v>0</v>
      </c>
      <c r="E38" s="102">
        <v>0</v>
      </c>
      <c r="F38" s="102">
        <v>0</v>
      </c>
      <c r="G38" s="102">
        <v>0</v>
      </c>
    </row>
    <row r="39" spans="1:7" x14ac:dyDescent="0.25">
      <c r="A39" s="101" t="s">
        <v>1008</v>
      </c>
      <c r="B39" s="101" t="s">
        <v>1009</v>
      </c>
      <c r="C39" s="100" t="s">
        <v>1010</v>
      </c>
      <c r="D39" s="102">
        <v>0</v>
      </c>
      <c r="E39" s="102">
        <v>161.6</v>
      </c>
      <c r="F39" s="102">
        <v>0</v>
      </c>
      <c r="G39" s="102">
        <v>162</v>
      </c>
    </row>
    <row r="40" spans="1:7" x14ac:dyDescent="0.25">
      <c r="A40" s="101" t="s">
        <v>1011</v>
      </c>
      <c r="B40" s="101" t="s">
        <v>1012</v>
      </c>
      <c r="C40" s="100" t="s">
        <v>1013</v>
      </c>
      <c r="D40" s="102">
        <v>17959.13</v>
      </c>
      <c r="E40" s="102">
        <v>3236.41</v>
      </c>
      <c r="F40" s="102">
        <v>17959</v>
      </c>
      <c r="G40" s="102">
        <v>3236</v>
      </c>
    </row>
    <row r="41" spans="1:7" x14ac:dyDescent="0.25">
      <c r="A41" s="101" t="s">
        <v>1014</v>
      </c>
      <c r="B41" s="101" t="s">
        <v>1015</v>
      </c>
      <c r="C41" s="100" t="s">
        <v>1016</v>
      </c>
      <c r="D41" s="102">
        <v>0</v>
      </c>
      <c r="E41" s="102">
        <v>0</v>
      </c>
      <c r="F41" s="102">
        <v>0</v>
      </c>
      <c r="G41" s="102">
        <v>0</v>
      </c>
    </row>
    <row r="42" spans="1:7" x14ac:dyDescent="0.25">
      <c r="A42" s="101" t="s">
        <v>1017</v>
      </c>
      <c r="B42" s="101" t="s">
        <v>1018</v>
      </c>
      <c r="C42" s="100" t="s">
        <v>1019</v>
      </c>
      <c r="D42" s="102">
        <v>0</v>
      </c>
      <c r="E42" s="102">
        <v>0</v>
      </c>
      <c r="F42" s="102">
        <v>0</v>
      </c>
      <c r="G42" s="102">
        <v>0</v>
      </c>
    </row>
    <row r="43" spans="1:7" x14ac:dyDescent="0.25">
      <c r="A43" s="101" t="s">
        <v>1020</v>
      </c>
      <c r="B43" s="101" t="s">
        <v>1021</v>
      </c>
      <c r="C43" s="100" t="s">
        <v>1022</v>
      </c>
      <c r="D43" s="102">
        <v>0</v>
      </c>
      <c r="E43" s="102">
        <v>0</v>
      </c>
      <c r="F43" s="102">
        <v>0</v>
      </c>
      <c r="G43" s="102">
        <v>0</v>
      </c>
    </row>
    <row r="44" spans="1:7" x14ac:dyDescent="0.25">
      <c r="A44" s="101" t="s">
        <v>1023</v>
      </c>
      <c r="B44" s="101" t="s">
        <v>1024</v>
      </c>
      <c r="C44" s="100" t="s">
        <v>1025</v>
      </c>
      <c r="D44" s="102">
        <v>5584.15</v>
      </c>
      <c r="E44" s="102">
        <v>36529.449999999997</v>
      </c>
      <c r="F44" s="102">
        <v>5584</v>
      </c>
      <c r="G44" s="102">
        <v>36529</v>
      </c>
    </row>
    <row r="45" spans="1:7" x14ac:dyDescent="0.25">
      <c r="A45" s="101" t="s">
        <v>1026</v>
      </c>
      <c r="B45" s="101" t="s">
        <v>1027</v>
      </c>
      <c r="C45" s="100" t="s">
        <v>1028</v>
      </c>
      <c r="D45" s="102">
        <v>0</v>
      </c>
      <c r="E45" s="102">
        <v>0</v>
      </c>
      <c r="F45" s="102">
        <v>0</v>
      </c>
      <c r="G45" s="102">
        <v>0</v>
      </c>
    </row>
    <row r="46" spans="1:7" x14ac:dyDescent="0.25">
      <c r="A46" s="101" t="s">
        <v>1029</v>
      </c>
      <c r="B46" s="101" t="s">
        <v>1030</v>
      </c>
      <c r="C46" s="100" t="s">
        <v>1031</v>
      </c>
      <c r="D46" s="102">
        <v>0</v>
      </c>
      <c r="E46" s="102">
        <v>0</v>
      </c>
      <c r="F46" s="102">
        <v>0</v>
      </c>
      <c r="G46" s="102">
        <v>0</v>
      </c>
    </row>
    <row r="47" spans="1:7" x14ac:dyDescent="0.25">
      <c r="A47" s="101" t="s">
        <v>974</v>
      </c>
      <c r="B47" s="101" t="s">
        <v>1032</v>
      </c>
      <c r="C47" s="100" t="s">
        <v>1033</v>
      </c>
      <c r="D47" s="102">
        <v>-23543.279999999999</v>
      </c>
      <c r="E47" s="102">
        <v>-39604.26</v>
      </c>
      <c r="F47" s="102">
        <v>-23543</v>
      </c>
      <c r="G47" s="102">
        <v>-39603</v>
      </c>
    </row>
    <row r="48" spans="1:7" x14ac:dyDescent="0.25">
      <c r="A48" s="101" t="s">
        <v>1034</v>
      </c>
      <c r="B48" s="101" t="s">
        <v>1035</v>
      </c>
      <c r="C48" s="100" t="s">
        <v>1036</v>
      </c>
      <c r="D48" s="102">
        <v>-92257.81</v>
      </c>
      <c r="E48" s="102">
        <v>-70315.44</v>
      </c>
      <c r="F48" s="102">
        <v>-92258</v>
      </c>
      <c r="G48" s="102">
        <v>-70316</v>
      </c>
    </row>
    <row r="49" spans="1:7" x14ac:dyDescent="0.25">
      <c r="A49" s="101" t="s">
        <v>1037</v>
      </c>
      <c r="B49" s="101" t="s">
        <v>1038</v>
      </c>
      <c r="C49" s="100" t="s">
        <v>1039</v>
      </c>
      <c r="D49" s="102">
        <v>-1282</v>
      </c>
      <c r="E49" s="102">
        <v>51.44</v>
      </c>
      <c r="F49" s="102">
        <v>-1282</v>
      </c>
      <c r="G49" s="102">
        <v>51</v>
      </c>
    </row>
    <row r="50" spans="1:7" x14ac:dyDescent="0.25">
      <c r="A50" s="101" t="s">
        <v>1040</v>
      </c>
      <c r="B50" s="101" t="s">
        <v>1041</v>
      </c>
      <c r="C50" s="100" t="s">
        <v>1042</v>
      </c>
      <c r="D50" s="102">
        <v>0</v>
      </c>
      <c r="E50" s="102">
        <v>0</v>
      </c>
      <c r="F50" s="102">
        <v>0</v>
      </c>
      <c r="G50" s="102">
        <v>0</v>
      </c>
    </row>
    <row r="51" spans="1:7" x14ac:dyDescent="0.25">
      <c r="A51" s="101">
        <v>2</v>
      </c>
      <c r="B51" s="101" t="s">
        <v>1043</v>
      </c>
      <c r="C51" s="100" t="s">
        <v>1044</v>
      </c>
      <c r="D51" s="102">
        <v>-1282</v>
      </c>
      <c r="E51" s="102">
        <v>51.44</v>
      </c>
      <c r="F51" s="102">
        <v>-1282</v>
      </c>
      <c r="G51" s="102">
        <v>51</v>
      </c>
    </row>
    <row r="52" spans="1:7" x14ac:dyDescent="0.25">
      <c r="A52" s="101" t="s">
        <v>1034</v>
      </c>
      <c r="B52" s="101" t="s">
        <v>1045</v>
      </c>
      <c r="C52" s="100" t="s">
        <v>1046</v>
      </c>
      <c r="D52" s="102">
        <v>-90975.81</v>
      </c>
      <c r="E52" s="102">
        <v>-70366.880000000005</v>
      </c>
      <c r="F52" s="102">
        <v>-90976</v>
      </c>
      <c r="G52" s="102">
        <v>-70367</v>
      </c>
    </row>
    <row r="53" spans="1:7" x14ac:dyDescent="0.25">
      <c r="A53" s="101" t="s">
        <v>1047</v>
      </c>
      <c r="B53" s="101" t="s">
        <v>1048</v>
      </c>
      <c r="C53" s="100" t="s">
        <v>1049</v>
      </c>
      <c r="D53" s="102">
        <v>0</v>
      </c>
      <c r="E53" s="102">
        <v>0</v>
      </c>
      <c r="F53" s="102">
        <v>0</v>
      </c>
      <c r="G53" s="102">
        <v>0</v>
      </c>
    </row>
    <row r="54" spans="1:7" x14ac:dyDescent="0.25">
      <c r="A54" s="101" t="s">
        <v>1050</v>
      </c>
      <c r="B54" s="101" t="s">
        <v>1051</v>
      </c>
      <c r="C54" s="100" t="s">
        <v>1052</v>
      </c>
      <c r="D54" s="102">
        <v>0</v>
      </c>
      <c r="E54" s="102">
        <v>0</v>
      </c>
      <c r="F54" s="102">
        <v>0</v>
      </c>
      <c r="G54" s="102">
        <v>0</v>
      </c>
    </row>
    <row r="55" spans="1:7" x14ac:dyDescent="0.25">
      <c r="A55" s="101" t="s">
        <v>974</v>
      </c>
      <c r="B55" s="101" t="s">
        <v>1053</v>
      </c>
      <c r="C55" s="100" t="s">
        <v>1054</v>
      </c>
      <c r="D55" s="102">
        <v>0</v>
      </c>
      <c r="E55" s="102">
        <v>0</v>
      </c>
      <c r="F55" s="102">
        <v>0</v>
      </c>
      <c r="G55" s="102">
        <v>0</v>
      </c>
    </row>
    <row r="56" spans="1:7" x14ac:dyDescent="0.25">
      <c r="A56" s="101" t="s">
        <v>1055</v>
      </c>
      <c r="B56" s="101" t="s">
        <v>1056</v>
      </c>
      <c r="C56" s="100" t="s">
        <v>1057</v>
      </c>
      <c r="D56" s="102">
        <v>0</v>
      </c>
      <c r="E56" s="102">
        <v>0</v>
      </c>
      <c r="F56" s="102">
        <v>0</v>
      </c>
      <c r="G56" s="102">
        <v>0</v>
      </c>
    </row>
    <row r="57" spans="1:7" x14ac:dyDescent="0.25">
      <c r="A57" s="101" t="s">
        <v>1058</v>
      </c>
      <c r="B57" s="101" t="s">
        <v>1059</v>
      </c>
      <c r="C57" s="100" t="s">
        <v>1060</v>
      </c>
      <c r="D57" s="102">
        <v>0</v>
      </c>
      <c r="E57" s="102">
        <v>0</v>
      </c>
      <c r="F57" s="102">
        <v>0</v>
      </c>
      <c r="G57" s="102">
        <v>0</v>
      </c>
    </row>
    <row r="58" spans="1:7" x14ac:dyDescent="0.25">
      <c r="A58" s="101">
        <v>2</v>
      </c>
      <c r="B58" s="101" t="s">
        <v>1061</v>
      </c>
      <c r="C58" s="100" t="s">
        <v>1062</v>
      </c>
      <c r="D58" s="102">
        <v>0</v>
      </c>
      <c r="E58" s="102">
        <v>0</v>
      </c>
      <c r="F58" s="102">
        <v>0</v>
      </c>
      <c r="G58" s="102">
        <v>0</v>
      </c>
    </row>
    <row r="59" spans="1:7" x14ac:dyDescent="0.25">
      <c r="A59" s="101" t="s">
        <v>974</v>
      </c>
      <c r="B59" s="101" t="s">
        <v>1063</v>
      </c>
      <c r="C59" s="100" t="s">
        <v>1064</v>
      </c>
      <c r="D59" s="102">
        <v>0</v>
      </c>
      <c r="E59" s="102">
        <v>0</v>
      </c>
      <c r="F59" s="102">
        <v>0</v>
      </c>
      <c r="G59" s="102">
        <v>0</v>
      </c>
    </row>
    <row r="60" spans="1:7" x14ac:dyDescent="0.25">
      <c r="A60" s="101" t="s">
        <v>1065</v>
      </c>
      <c r="B60" s="101" t="s">
        <v>1066</v>
      </c>
      <c r="C60" s="100" t="s">
        <v>1067</v>
      </c>
      <c r="D60" s="102">
        <v>-92257.81</v>
      </c>
      <c r="E60" s="102">
        <v>-70315.44</v>
      </c>
      <c r="F60" s="102">
        <v>-92258</v>
      </c>
      <c r="G60" s="102">
        <v>-70316</v>
      </c>
    </row>
    <row r="61" spans="1:7" x14ac:dyDescent="0.25">
      <c r="A61" s="101" t="s">
        <v>969</v>
      </c>
      <c r="B61" s="101" t="s">
        <v>1068</v>
      </c>
      <c r="C61" s="100" t="s">
        <v>1069</v>
      </c>
      <c r="D61" s="102">
        <v>0</v>
      </c>
      <c r="E61" s="102">
        <v>0</v>
      </c>
      <c r="F61" s="102">
        <v>0</v>
      </c>
      <c r="G61" s="102">
        <v>0</v>
      </c>
    </row>
    <row r="62" spans="1:7" x14ac:dyDescent="0.25">
      <c r="A62" s="101" t="s">
        <v>1065</v>
      </c>
      <c r="B62" s="101" t="s">
        <v>1070</v>
      </c>
      <c r="C62" s="100" t="s">
        <v>1071</v>
      </c>
      <c r="D62" s="102">
        <v>-90975.81</v>
      </c>
      <c r="E62" s="102">
        <v>-70366.880000000005</v>
      </c>
      <c r="F62" s="102">
        <v>-90976</v>
      </c>
      <c r="G62" s="102">
        <v>-70367</v>
      </c>
    </row>
  </sheetData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68"/>
  <sheetViews>
    <sheetView workbookViewId="0">
      <selection activeCell="B2" sqref="B2"/>
    </sheetView>
  </sheetViews>
  <sheetFormatPr defaultRowHeight="15" x14ac:dyDescent="0.25"/>
  <cols>
    <col min="1" max="1" width="8.28515625" style="103" bestFit="1" customWidth="1"/>
    <col min="2" max="2" width="63.5703125" style="103" bestFit="1" customWidth="1"/>
    <col min="3" max="3" width="4.42578125" style="104" bestFit="1" customWidth="1"/>
    <col min="4" max="11" width="15.28515625" style="105" bestFit="1" customWidth="1"/>
    <col min="12" max="16384" width="9.140625" style="96"/>
  </cols>
  <sheetData>
    <row r="1" spans="1:11" ht="22.5" x14ac:dyDescent="0.25">
      <c r="A1" s="107" t="s">
        <v>230</v>
      </c>
      <c r="B1" s="107" t="s">
        <v>231</v>
      </c>
      <c r="C1" s="106" t="s">
        <v>252</v>
      </c>
      <c r="D1" s="108" t="s">
        <v>255</v>
      </c>
      <c r="E1" s="108" t="s">
        <v>256</v>
      </c>
      <c r="F1" s="108" t="s">
        <v>257</v>
      </c>
      <c r="G1" s="108" t="s">
        <v>258</v>
      </c>
      <c r="H1" s="108" t="s">
        <v>232</v>
      </c>
      <c r="I1" s="108" t="s">
        <v>233</v>
      </c>
      <c r="J1" s="108" t="s">
        <v>234</v>
      </c>
      <c r="K1" s="108" t="s">
        <v>235</v>
      </c>
    </row>
    <row r="2" spans="1:11" x14ac:dyDescent="0.25">
      <c r="A2" s="98"/>
      <c r="B2" s="98" t="s">
        <v>1072</v>
      </c>
      <c r="C2" s="97" t="s">
        <v>1073</v>
      </c>
      <c r="D2" s="99">
        <v>190954.35</v>
      </c>
      <c r="E2" s="99">
        <v>18313.759999999998</v>
      </c>
      <c r="F2" s="99">
        <v>172640.59</v>
      </c>
      <c r="G2" s="99">
        <v>179732.87</v>
      </c>
      <c r="H2" s="99">
        <v>190954</v>
      </c>
      <c r="I2" s="99">
        <v>18314</v>
      </c>
      <c r="J2" s="99">
        <v>172640</v>
      </c>
      <c r="K2" s="99">
        <v>179732</v>
      </c>
    </row>
    <row r="3" spans="1:11" x14ac:dyDescent="0.25">
      <c r="A3" s="98" t="s">
        <v>910</v>
      </c>
      <c r="B3" s="98" t="s">
        <v>1074</v>
      </c>
      <c r="C3" s="97" t="s">
        <v>1075</v>
      </c>
      <c r="D3" s="99">
        <v>83409.259999999995</v>
      </c>
      <c r="E3" s="99">
        <v>18094.82</v>
      </c>
      <c r="F3" s="99">
        <v>65314.44</v>
      </c>
      <c r="G3" s="99">
        <v>77580.56</v>
      </c>
      <c r="H3" s="99">
        <v>83410</v>
      </c>
      <c r="I3" s="99">
        <v>18095</v>
      </c>
      <c r="J3" s="99">
        <v>65315</v>
      </c>
      <c r="K3" s="99">
        <v>77581</v>
      </c>
    </row>
    <row r="4" spans="1:11" x14ac:dyDescent="0.25">
      <c r="A4" s="98" t="s">
        <v>1076</v>
      </c>
      <c r="B4" s="98" t="s">
        <v>1077</v>
      </c>
      <c r="C4" s="97" t="s">
        <v>1078</v>
      </c>
      <c r="D4" s="99">
        <v>2419.9899999999998</v>
      </c>
      <c r="E4" s="99">
        <v>1020</v>
      </c>
      <c r="F4" s="99">
        <v>1399.99</v>
      </c>
      <c r="G4" s="99">
        <v>2011.99</v>
      </c>
      <c r="H4" s="99">
        <v>2420</v>
      </c>
      <c r="I4" s="99">
        <v>1020</v>
      </c>
      <c r="J4" s="99">
        <v>1400</v>
      </c>
      <c r="K4" s="99">
        <v>2012</v>
      </c>
    </row>
    <row r="5" spans="1:11" x14ac:dyDescent="0.25">
      <c r="A5" s="98" t="s">
        <v>1079</v>
      </c>
      <c r="B5" s="98" t="s">
        <v>1080</v>
      </c>
      <c r="C5" s="97" t="s">
        <v>1081</v>
      </c>
      <c r="D5" s="99">
        <v>0</v>
      </c>
      <c r="E5" s="99">
        <v>0</v>
      </c>
      <c r="F5" s="99">
        <v>0</v>
      </c>
      <c r="G5" s="99">
        <v>0</v>
      </c>
      <c r="H5" s="99">
        <v>0</v>
      </c>
      <c r="I5" s="99">
        <v>0</v>
      </c>
      <c r="J5" s="99">
        <v>0</v>
      </c>
      <c r="K5" s="99">
        <v>0</v>
      </c>
    </row>
    <row r="6" spans="1:11" x14ac:dyDescent="0.25">
      <c r="A6" s="98">
        <v>2</v>
      </c>
      <c r="B6" s="98" t="s">
        <v>1082</v>
      </c>
      <c r="C6" s="97" t="s">
        <v>1083</v>
      </c>
      <c r="D6" s="99">
        <v>2419.9899999999998</v>
      </c>
      <c r="E6" s="99">
        <v>1020</v>
      </c>
      <c r="F6" s="99">
        <v>1399.99</v>
      </c>
      <c r="G6" s="99">
        <v>2011.99</v>
      </c>
      <c r="H6" s="99">
        <v>2420</v>
      </c>
      <c r="I6" s="99">
        <v>1020</v>
      </c>
      <c r="J6" s="99">
        <v>1400</v>
      </c>
      <c r="K6" s="99">
        <v>2012</v>
      </c>
    </row>
    <row r="7" spans="1:11" x14ac:dyDescent="0.25">
      <c r="A7" s="98">
        <v>3</v>
      </c>
      <c r="B7" s="98" t="s">
        <v>1084</v>
      </c>
      <c r="C7" s="97" t="s">
        <v>1085</v>
      </c>
      <c r="D7" s="99">
        <v>0</v>
      </c>
      <c r="E7" s="99">
        <v>0</v>
      </c>
      <c r="F7" s="99">
        <v>0</v>
      </c>
      <c r="G7" s="99">
        <v>0</v>
      </c>
      <c r="H7" s="99">
        <v>0</v>
      </c>
      <c r="I7" s="99">
        <v>0</v>
      </c>
      <c r="J7" s="99">
        <v>0</v>
      </c>
      <c r="K7" s="99">
        <v>0</v>
      </c>
    </row>
    <row r="8" spans="1:11" x14ac:dyDescent="0.25">
      <c r="A8" s="98">
        <v>4</v>
      </c>
      <c r="B8" s="98" t="s">
        <v>1086</v>
      </c>
      <c r="C8" s="97" t="s">
        <v>1087</v>
      </c>
      <c r="D8" s="99">
        <v>0</v>
      </c>
      <c r="E8" s="99">
        <v>0</v>
      </c>
      <c r="F8" s="99">
        <v>0</v>
      </c>
      <c r="G8" s="99">
        <v>0</v>
      </c>
      <c r="H8" s="99">
        <v>0</v>
      </c>
      <c r="I8" s="99">
        <v>0</v>
      </c>
      <c r="J8" s="99">
        <v>0</v>
      </c>
      <c r="K8" s="99">
        <v>0</v>
      </c>
    </row>
    <row r="9" spans="1:11" x14ac:dyDescent="0.25">
      <c r="A9" s="98">
        <v>5</v>
      </c>
      <c r="B9" s="98" t="s">
        <v>1088</v>
      </c>
      <c r="C9" s="97" t="s">
        <v>1089</v>
      </c>
      <c r="D9" s="99">
        <v>0</v>
      </c>
      <c r="E9" s="99">
        <v>0</v>
      </c>
      <c r="F9" s="99">
        <v>0</v>
      </c>
      <c r="G9" s="99">
        <v>0</v>
      </c>
      <c r="H9" s="99">
        <v>0</v>
      </c>
      <c r="I9" s="99">
        <v>0</v>
      </c>
      <c r="J9" s="99">
        <v>0</v>
      </c>
      <c r="K9" s="99">
        <v>0</v>
      </c>
    </row>
    <row r="10" spans="1:11" x14ac:dyDescent="0.25">
      <c r="A10" s="98">
        <v>6</v>
      </c>
      <c r="B10" s="98" t="s">
        <v>1090</v>
      </c>
      <c r="C10" s="97" t="s">
        <v>1091</v>
      </c>
      <c r="D10" s="99">
        <v>0</v>
      </c>
      <c r="E10" s="99">
        <v>0</v>
      </c>
      <c r="F10" s="99">
        <v>0</v>
      </c>
      <c r="G10" s="99">
        <v>0</v>
      </c>
      <c r="H10" s="99">
        <v>0</v>
      </c>
      <c r="I10" s="99">
        <v>0</v>
      </c>
      <c r="J10" s="99">
        <v>0</v>
      </c>
      <c r="K10" s="99">
        <v>0</v>
      </c>
    </row>
    <row r="11" spans="1:11" x14ac:dyDescent="0.25">
      <c r="A11" s="98">
        <v>7</v>
      </c>
      <c r="B11" s="98" t="s">
        <v>1092</v>
      </c>
      <c r="C11" s="97" t="s">
        <v>1093</v>
      </c>
      <c r="D11" s="99">
        <v>0</v>
      </c>
      <c r="E11" s="99">
        <v>0</v>
      </c>
      <c r="F11" s="99">
        <v>0</v>
      </c>
      <c r="G11" s="99">
        <v>0</v>
      </c>
      <c r="H11" s="99">
        <v>0</v>
      </c>
      <c r="I11" s="99">
        <v>0</v>
      </c>
      <c r="J11" s="99">
        <v>0</v>
      </c>
      <c r="K11" s="99">
        <v>0</v>
      </c>
    </row>
    <row r="12" spans="1:11" x14ac:dyDescent="0.25">
      <c r="A12" s="98" t="s">
        <v>1094</v>
      </c>
      <c r="B12" s="98" t="s">
        <v>1095</v>
      </c>
      <c r="C12" s="97" t="s">
        <v>1096</v>
      </c>
      <c r="D12" s="99">
        <v>80989.27</v>
      </c>
      <c r="E12" s="99">
        <v>17074.82</v>
      </c>
      <c r="F12" s="99">
        <v>63914.45</v>
      </c>
      <c r="G12" s="99">
        <v>75568.570000000007</v>
      </c>
      <c r="H12" s="99">
        <v>80990</v>
      </c>
      <c r="I12" s="99">
        <v>17075</v>
      </c>
      <c r="J12" s="99">
        <v>63915</v>
      </c>
      <c r="K12" s="99">
        <v>75569</v>
      </c>
    </row>
    <row r="13" spans="1:11" x14ac:dyDescent="0.25">
      <c r="A13" s="98" t="s">
        <v>1097</v>
      </c>
      <c r="B13" s="98" t="s">
        <v>1098</v>
      </c>
      <c r="C13" s="97" t="s">
        <v>1099</v>
      </c>
      <c r="D13" s="99">
        <v>0</v>
      </c>
      <c r="E13" s="99">
        <v>0</v>
      </c>
      <c r="F13" s="99">
        <v>0</v>
      </c>
      <c r="G13" s="99">
        <v>0</v>
      </c>
      <c r="H13" s="99">
        <v>0</v>
      </c>
      <c r="I13" s="99">
        <v>0</v>
      </c>
      <c r="J13" s="99">
        <v>0</v>
      </c>
      <c r="K13" s="99">
        <v>0</v>
      </c>
    </row>
    <row r="14" spans="1:11" x14ac:dyDescent="0.25">
      <c r="A14" s="98">
        <v>2</v>
      </c>
      <c r="B14" s="98" t="s">
        <v>1100</v>
      </c>
      <c r="C14" s="97" t="s">
        <v>792</v>
      </c>
      <c r="D14" s="99">
        <v>57355.95</v>
      </c>
      <c r="E14" s="99">
        <v>8072.8</v>
      </c>
      <c r="F14" s="99">
        <v>49283.15</v>
      </c>
      <c r="G14" s="99">
        <v>55444.03</v>
      </c>
      <c r="H14" s="99">
        <v>57356</v>
      </c>
      <c r="I14" s="99">
        <v>8073</v>
      </c>
      <c r="J14" s="99">
        <v>49283</v>
      </c>
      <c r="K14" s="99">
        <v>55444</v>
      </c>
    </row>
    <row r="15" spans="1:11" x14ac:dyDescent="0.25">
      <c r="A15" s="98">
        <v>3</v>
      </c>
      <c r="B15" s="98" t="s">
        <v>1101</v>
      </c>
      <c r="C15" s="97" t="s">
        <v>1102</v>
      </c>
      <c r="D15" s="99">
        <v>20894.5</v>
      </c>
      <c r="E15" s="99">
        <v>6762.64</v>
      </c>
      <c r="F15" s="99">
        <v>14131.86</v>
      </c>
      <c r="G15" s="99">
        <v>18255.54</v>
      </c>
      <c r="H15" s="99">
        <v>20895</v>
      </c>
      <c r="I15" s="99">
        <v>6763</v>
      </c>
      <c r="J15" s="99">
        <v>14132</v>
      </c>
      <c r="K15" s="99">
        <v>18256</v>
      </c>
    </row>
    <row r="16" spans="1:11" x14ac:dyDescent="0.25">
      <c r="A16" s="98">
        <v>4</v>
      </c>
      <c r="B16" s="98" t="s">
        <v>1103</v>
      </c>
      <c r="C16" s="97" t="s">
        <v>1104</v>
      </c>
      <c r="D16" s="99">
        <v>0</v>
      </c>
      <c r="E16" s="99">
        <v>0</v>
      </c>
      <c r="F16" s="99">
        <v>0</v>
      </c>
      <c r="G16" s="99">
        <v>0</v>
      </c>
      <c r="H16" s="99">
        <v>0</v>
      </c>
      <c r="I16" s="99">
        <v>0</v>
      </c>
      <c r="J16" s="99">
        <v>0</v>
      </c>
      <c r="K16" s="99">
        <v>0</v>
      </c>
    </row>
    <row r="17" spans="1:11" x14ac:dyDescent="0.25">
      <c r="A17" s="98">
        <v>5</v>
      </c>
      <c r="B17" s="98" t="s">
        <v>1105</v>
      </c>
      <c r="C17" s="97" t="s">
        <v>1106</v>
      </c>
      <c r="D17" s="99">
        <v>0</v>
      </c>
      <c r="E17" s="99">
        <v>0</v>
      </c>
      <c r="F17" s="99">
        <v>0</v>
      </c>
      <c r="G17" s="99">
        <v>0</v>
      </c>
      <c r="H17" s="99">
        <v>0</v>
      </c>
      <c r="I17" s="99">
        <v>0</v>
      </c>
      <c r="J17" s="99">
        <v>0</v>
      </c>
      <c r="K17" s="99">
        <v>0</v>
      </c>
    </row>
    <row r="18" spans="1:11" x14ac:dyDescent="0.25">
      <c r="A18" s="98">
        <v>6</v>
      </c>
      <c r="B18" s="98" t="s">
        <v>1107</v>
      </c>
      <c r="C18" s="97" t="s">
        <v>1108</v>
      </c>
      <c r="D18" s="99">
        <v>2738.82</v>
      </c>
      <c r="E18" s="99">
        <v>2239.38</v>
      </c>
      <c r="F18" s="99">
        <v>499.44</v>
      </c>
      <c r="G18" s="99">
        <v>1869</v>
      </c>
      <c r="H18" s="99">
        <v>2739</v>
      </c>
      <c r="I18" s="99">
        <v>2239</v>
      </c>
      <c r="J18" s="99">
        <v>500</v>
      </c>
      <c r="K18" s="99">
        <v>1869</v>
      </c>
    </row>
    <row r="19" spans="1:11" x14ac:dyDescent="0.25">
      <c r="A19" s="98">
        <v>7</v>
      </c>
      <c r="B19" s="98" t="s">
        <v>1109</v>
      </c>
      <c r="C19" s="97" t="s">
        <v>1110</v>
      </c>
      <c r="D19" s="99">
        <v>0</v>
      </c>
      <c r="E19" s="99">
        <v>0</v>
      </c>
      <c r="F19" s="99">
        <v>0</v>
      </c>
      <c r="G19" s="99">
        <v>0</v>
      </c>
      <c r="H19" s="99">
        <v>0</v>
      </c>
      <c r="I19" s="99">
        <v>0</v>
      </c>
      <c r="J19" s="99">
        <v>0</v>
      </c>
      <c r="K19" s="99">
        <v>0</v>
      </c>
    </row>
    <row r="20" spans="1:11" x14ac:dyDescent="0.25">
      <c r="A20" s="98">
        <v>8</v>
      </c>
      <c r="B20" s="98" t="s">
        <v>1111</v>
      </c>
      <c r="C20" s="97" t="s">
        <v>1112</v>
      </c>
      <c r="D20" s="99">
        <v>0</v>
      </c>
      <c r="E20" s="99">
        <v>0</v>
      </c>
      <c r="F20" s="99">
        <v>0</v>
      </c>
      <c r="G20" s="99">
        <v>0</v>
      </c>
      <c r="H20" s="99">
        <v>0</v>
      </c>
      <c r="I20" s="99">
        <v>0</v>
      </c>
      <c r="J20" s="99">
        <v>0</v>
      </c>
      <c r="K20" s="99">
        <v>0</v>
      </c>
    </row>
    <row r="21" spans="1:11" x14ac:dyDescent="0.25">
      <c r="A21" s="98">
        <v>9</v>
      </c>
      <c r="B21" s="98" t="s">
        <v>1113</v>
      </c>
      <c r="C21" s="97" t="s">
        <v>1114</v>
      </c>
      <c r="D21" s="99">
        <v>0</v>
      </c>
      <c r="E21" s="99">
        <v>0</v>
      </c>
      <c r="F21" s="99">
        <v>0</v>
      </c>
      <c r="G21" s="99">
        <v>0</v>
      </c>
      <c r="H21" s="99">
        <v>0</v>
      </c>
      <c r="I21" s="99">
        <v>0</v>
      </c>
      <c r="J21" s="99">
        <v>0</v>
      </c>
      <c r="K21" s="99">
        <v>0</v>
      </c>
    </row>
    <row r="22" spans="1:11" x14ac:dyDescent="0.25">
      <c r="A22" s="98" t="s">
        <v>1115</v>
      </c>
      <c r="B22" s="98" t="s">
        <v>1116</v>
      </c>
      <c r="C22" s="97" t="s">
        <v>793</v>
      </c>
      <c r="D22" s="99">
        <v>0</v>
      </c>
      <c r="E22" s="99">
        <v>0</v>
      </c>
      <c r="F22" s="99">
        <v>0</v>
      </c>
      <c r="G22" s="99">
        <v>0</v>
      </c>
      <c r="H22" s="99">
        <v>0</v>
      </c>
      <c r="I22" s="99">
        <v>0</v>
      </c>
      <c r="J22" s="99">
        <v>0</v>
      </c>
      <c r="K22" s="99">
        <v>0</v>
      </c>
    </row>
    <row r="23" spans="1:11" x14ac:dyDescent="0.25">
      <c r="A23" s="98" t="s">
        <v>1117</v>
      </c>
      <c r="B23" s="98" t="s">
        <v>1118</v>
      </c>
      <c r="C23" s="97" t="s">
        <v>794</v>
      </c>
      <c r="D23" s="99">
        <v>0</v>
      </c>
      <c r="E23" s="99">
        <v>0</v>
      </c>
      <c r="F23" s="99">
        <v>0</v>
      </c>
      <c r="G23" s="99">
        <v>0</v>
      </c>
      <c r="H23" s="99">
        <v>0</v>
      </c>
      <c r="I23" s="99">
        <v>0</v>
      </c>
      <c r="J23" s="99">
        <v>0</v>
      </c>
      <c r="K23" s="99">
        <v>0</v>
      </c>
    </row>
    <row r="24" spans="1:11" x14ac:dyDescent="0.25">
      <c r="A24" s="98">
        <v>2</v>
      </c>
      <c r="B24" s="98" t="s">
        <v>1119</v>
      </c>
      <c r="C24" s="97" t="s">
        <v>1120</v>
      </c>
      <c r="D24" s="99">
        <v>0</v>
      </c>
      <c r="E24" s="99">
        <v>0</v>
      </c>
      <c r="F24" s="99">
        <v>0</v>
      </c>
      <c r="G24" s="99">
        <v>0</v>
      </c>
      <c r="H24" s="99">
        <v>0</v>
      </c>
      <c r="I24" s="99">
        <v>0</v>
      </c>
      <c r="J24" s="99">
        <v>0</v>
      </c>
      <c r="K24" s="99">
        <v>0</v>
      </c>
    </row>
    <row r="25" spans="1:11" x14ac:dyDescent="0.25">
      <c r="A25" s="98">
        <v>3</v>
      </c>
      <c r="B25" s="98" t="s">
        <v>1121</v>
      </c>
      <c r="C25" s="97" t="s">
        <v>1122</v>
      </c>
      <c r="D25" s="99">
        <v>0</v>
      </c>
      <c r="E25" s="99">
        <v>0</v>
      </c>
      <c r="F25" s="99">
        <v>0</v>
      </c>
      <c r="G25" s="99">
        <v>0</v>
      </c>
      <c r="H25" s="99">
        <v>0</v>
      </c>
      <c r="I25" s="99">
        <v>0</v>
      </c>
      <c r="J25" s="99">
        <v>0</v>
      </c>
      <c r="K25" s="99">
        <v>0</v>
      </c>
    </row>
    <row r="26" spans="1:11" x14ac:dyDescent="0.25">
      <c r="A26" s="98">
        <v>4</v>
      </c>
      <c r="B26" s="98" t="s">
        <v>1123</v>
      </c>
      <c r="C26" s="97" t="s">
        <v>1124</v>
      </c>
      <c r="D26" s="99">
        <v>0</v>
      </c>
      <c r="E26" s="99">
        <v>0</v>
      </c>
      <c r="F26" s="99">
        <v>0</v>
      </c>
      <c r="G26" s="99">
        <v>0</v>
      </c>
      <c r="H26" s="99">
        <v>0</v>
      </c>
      <c r="I26" s="99">
        <v>0</v>
      </c>
      <c r="J26" s="99">
        <v>0</v>
      </c>
      <c r="K26" s="99">
        <v>0</v>
      </c>
    </row>
    <row r="27" spans="1:11" x14ac:dyDescent="0.25">
      <c r="A27" s="98">
        <v>5</v>
      </c>
      <c r="B27" s="98" t="s">
        <v>1125</v>
      </c>
      <c r="C27" s="97" t="s">
        <v>1126</v>
      </c>
      <c r="D27" s="99">
        <v>0</v>
      </c>
      <c r="E27" s="99">
        <v>0</v>
      </c>
      <c r="F27" s="99">
        <v>0</v>
      </c>
      <c r="G27" s="99">
        <v>0</v>
      </c>
      <c r="H27" s="99">
        <v>0</v>
      </c>
      <c r="I27" s="99">
        <v>0</v>
      </c>
      <c r="J27" s="99">
        <v>0</v>
      </c>
      <c r="K27" s="99">
        <v>0</v>
      </c>
    </row>
    <row r="28" spans="1:11" x14ac:dyDescent="0.25">
      <c r="A28" s="98">
        <v>6</v>
      </c>
      <c r="B28" s="98" t="s">
        <v>1127</v>
      </c>
      <c r="C28" s="97" t="s">
        <v>1128</v>
      </c>
      <c r="D28" s="99">
        <v>0</v>
      </c>
      <c r="E28" s="99">
        <v>0</v>
      </c>
      <c r="F28" s="99">
        <v>0</v>
      </c>
      <c r="G28" s="99">
        <v>0</v>
      </c>
      <c r="H28" s="99">
        <v>0</v>
      </c>
      <c r="I28" s="99">
        <v>0</v>
      </c>
      <c r="J28" s="99">
        <v>0</v>
      </c>
      <c r="K28" s="99">
        <v>0</v>
      </c>
    </row>
    <row r="29" spans="1:11" x14ac:dyDescent="0.25">
      <c r="A29" s="98">
        <v>7</v>
      </c>
      <c r="B29" s="98" t="s">
        <v>1129</v>
      </c>
      <c r="C29" s="97" t="s">
        <v>1130</v>
      </c>
      <c r="D29" s="99">
        <v>0</v>
      </c>
      <c r="E29" s="99">
        <v>0</v>
      </c>
      <c r="F29" s="99">
        <v>0</v>
      </c>
      <c r="G29" s="99">
        <v>0</v>
      </c>
      <c r="H29" s="99">
        <v>0</v>
      </c>
      <c r="I29" s="99">
        <v>0</v>
      </c>
      <c r="J29" s="99">
        <v>0</v>
      </c>
      <c r="K29" s="99">
        <v>0</v>
      </c>
    </row>
    <row r="30" spans="1:11" x14ac:dyDescent="0.25">
      <c r="A30" s="98">
        <v>8</v>
      </c>
      <c r="B30" s="98" t="s">
        <v>1131</v>
      </c>
      <c r="C30" s="97" t="s">
        <v>796</v>
      </c>
      <c r="D30" s="99">
        <v>0</v>
      </c>
      <c r="E30" s="99">
        <v>0</v>
      </c>
      <c r="F30" s="99">
        <v>0</v>
      </c>
      <c r="G30" s="99">
        <v>0</v>
      </c>
      <c r="H30" s="99">
        <v>0</v>
      </c>
      <c r="I30" s="99">
        <v>0</v>
      </c>
      <c r="J30" s="99">
        <v>0</v>
      </c>
      <c r="K30" s="99">
        <v>0</v>
      </c>
    </row>
    <row r="31" spans="1:11" x14ac:dyDescent="0.25">
      <c r="A31" s="98" t="s">
        <v>926</v>
      </c>
      <c r="B31" s="98" t="s">
        <v>1132</v>
      </c>
      <c r="C31" s="97" t="s">
        <v>1133</v>
      </c>
      <c r="D31" s="99">
        <v>105766.37</v>
      </c>
      <c r="E31" s="99">
        <v>218.94</v>
      </c>
      <c r="F31" s="99">
        <v>105547.43</v>
      </c>
      <c r="G31" s="99">
        <v>100380.82</v>
      </c>
      <c r="H31" s="99">
        <v>105766</v>
      </c>
      <c r="I31" s="99">
        <v>219</v>
      </c>
      <c r="J31" s="99">
        <v>105547</v>
      </c>
      <c r="K31" s="99">
        <v>100380</v>
      </c>
    </row>
    <row r="32" spans="1:11" x14ac:dyDescent="0.25">
      <c r="A32" s="98" t="s">
        <v>1134</v>
      </c>
      <c r="B32" s="98" t="s">
        <v>1135</v>
      </c>
      <c r="C32" s="97" t="s">
        <v>1136</v>
      </c>
      <c r="D32" s="99">
        <v>38757.42</v>
      </c>
      <c r="E32" s="99">
        <v>179.21</v>
      </c>
      <c r="F32" s="99">
        <v>38578.21</v>
      </c>
      <c r="G32" s="99">
        <v>39079.760000000002</v>
      </c>
      <c r="H32" s="99">
        <v>38757</v>
      </c>
      <c r="I32" s="99">
        <v>179</v>
      </c>
      <c r="J32" s="99">
        <v>38578</v>
      </c>
      <c r="K32" s="99">
        <v>39080</v>
      </c>
    </row>
    <row r="33" spans="1:11" x14ac:dyDescent="0.25">
      <c r="A33" s="98" t="s">
        <v>1137</v>
      </c>
      <c r="B33" s="98" t="s">
        <v>1138</v>
      </c>
      <c r="C33" s="97" t="s">
        <v>1139</v>
      </c>
      <c r="D33" s="99">
        <v>0</v>
      </c>
      <c r="E33" s="99">
        <v>0</v>
      </c>
      <c r="F33" s="99">
        <v>0</v>
      </c>
      <c r="G33" s="99">
        <v>0</v>
      </c>
      <c r="H33" s="99">
        <v>0</v>
      </c>
      <c r="I33" s="99">
        <v>0</v>
      </c>
      <c r="J33" s="99">
        <v>0</v>
      </c>
      <c r="K33" s="99">
        <v>0</v>
      </c>
    </row>
    <row r="34" spans="1:11" x14ac:dyDescent="0.25">
      <c r="A34" s="98">
        <v>2</v>
      </c>
      <c r="B34" s="98" t="s">
        <v>1140</v>
      </c>
      <c r="C34" s="97" t="s">
        <v>1141</v>
      </c>
      <c r="D34" s="99">
        <v>0</v>
      </c>
      <c r="E34" s="99">
        <v>0</v>
      </c>
      <c r="F34" s="99">
        <v>0</v>
      </c>
      <c r="G34" s="99">
        <v>0</v>
      </c>
      <c r="H34" s="99">
        <v>0</v>
      </c>
      <c r="I34" s="99">
        <v>0</v>
      </c>
      <c r="J34" s="99">
        <v>0</v>
      </c>
      <c r="K34" s="99">
        <v>0</v>
      </c>
    </row>
    <row r="35" spans="1:11" x14ac:dyDescent="0.25">
      <c r="A35" s="98">
        <v>3</v>
      </c>
      <c r="B35" s="98" t="s">
        <v>1142</v>
      </c>
      <c r="C35" s="97" t="s">
        <v>1143</v>
      </c>
      <c r="D35" s="99">
        <v>0</v>
      </c>
      <c r="E35" s="99">
        <v>0</v>
      </c>
      <c r="F35" s="99">
        <v>0</v>
      </c>
      <c r="G35" s="99">
        <v>0</v>
      </c>
      <c r="H35" s="99">
        <v>0</v>
      </c>
      <c r="I35" s="99">
        <v>0</v>
      </c>
      <c r="J35" s="99">
        <v>0</v>
      </c>
      <c r="K35" s="99">
        <v>0</v>
      </c>
    </row>
    <row r="36" spans="1:11" x14ac:dyDescent="0.25">
      <c r="A36" s="98">
        <v>4</v>
      </c>
      <c r="B36" s="98" t="s">
        <v>1144</v>
      </c>
      <c r="C36" s="97" t="s">
        <v>1145</v>
      </c>
      <c r="D36" s="99">
        <v>0</v>
      </c>
      <c r="E36" s="99">
        <v>0</v>
      </c>
      <c r="F36" s="99">
        <v>0</v>
      </c>
      <c r="G36" s="99">
        <v>0</v>
      </c>
      <c r="H36" s="99">
        <v>0</v>
      </c>
      <c r="I36" s="99">
        <v>0</v>
      </c>
      <c r="J36" s="99">
        <v>0</v>
      </c>
      <c r="K36" s="99">
        <v>0</v>
      </c>
    </row>
    <row r="37" spans="1:11" x14ac:dyDescent="0.25">
      <c r="A37" s="98">
        <v>5</v>
      </c>
      <c r="B37" s="98" t="s">
        <v>1146</v>
      </c>
      <c r="C37" s="97" t="s">
        <v>1147</v>
      </c>
      <c r="D37" s="99">
        <v>38757.42</v>
      </c>
      <c r="E37" s="99">
        <v>179.21</v>
      </c>
      <c r="F37" s="99">
        <v>38578.21</v>
      </c>
      <c r="G37" s="99">
        <v>39079.760000000002</v>
      </c>
      <c r="H37" s="99">
        <v>38757</v>
      </c>
      <c r="I37" s="99">
        <v>179</v>
      </c>
      <c r="J37" s="99">
        <v>38578</v>
      </c>
      <c r="K37" s="99">
        <v>39080</v>
      </c>
    </row>
    <row r="38" spans="1:11" x14ac:dyDescent="0.25">
      <c r="A38" s="98">
        <v>6</v>
      </c>
      <c r="B38" s="98" t="s">
        <v>1148</v>
      </c>
      <c r="C38" s="97" t="s">
        <v>1149</v>
      </c>
      <c r="D38" s="99">
        <v>0</v>
      </c>
      <c r="E38" s="99">
        <v>0</v>
      </c>
      <c r="F38" s="99">
        <v>0</v>
      </c>
      <c r="G38" s="99">
        <v>0</v>
      </c>
      <c r="H38" s="99">
        <v>0</v>
      </c>
      <c r="I38" s="99">
        <v>0</v>
      </c>
      <c r="J38" s="99">
        <v>0</v>
      </c>
      <c r="K38" s="99">
        <v>0</v>
      </c>
    </row>
    <row r="39" spans="1:11" x14ac:dyDescent="0.25">
      <c r="A39" s="98" t="s">
        <v>1150</v>
      </c>
      <c r="B39" s="98" t="s">
        <v>1151</v>
      </c>
      <c r="C39" s="97" t="s">
        <v>1152</v>
      </c>
      <c r="D39" s="99">
        <v>9245.48</v>
      </c>
      <c r="E39" s="99">
        <v>0</v>
      </c>
      <c r="F39" s="99">
        <v>9245.48</v>
      </c>
      <c r="G39" s="99">
        <v>8475.65</v>
      </c>
      <c r="H39" s="99">
        <v>9245</v>
      </c>
      <c r="I39" s="99">
        <v>0</v>
      </c>
      <c r="J39" s="99">
        <v>9245</v>
      </c>
      <c r="K39" s="99">
        <v>8475</v>
      </c>
    </row>
    <row r="40" spans="1:11" x14ac:dyDescent="0.25">
      <c r="A40" s="98" t="s">
        <v>1153</v>
      </c>
      <c r="B40" s="98" t="s">
        <v>1154</v>
      </c>
      <c r="C40" s="97" t="s">
        <v>1155</v>
      </c>
      <c r="D40" s="99">
        <v>8311.2000000000007</v>
      </c>
      <c r="E40" s="99">
        <v>0</v>
      </c>
      <c r="F40" s="99">
        <v>8311.2000000000007</v>
      </c>
      <c r="G40" s="99">
        <v>8311.2000000000007</v>
      </c>
      <c r="H40" s="99">
        <v>8311</v>
      </c>
      <c r="I40" s="99">
        <v>0</v>
      </c>
      <c r="J40" s="99">
        <v>8311</v>
      </c>
      <c r="K40" s="99">
        <v>8311</v>
      </c>
    </row>
    <row r="41" spans="1:11" x14ac:dyDescent="0.25">
      <c r="A41" s="98">
        <v>2</v>
      </c>
      <c r="B41" s="98" t="s">
        <v>1156</v>
      </c>
      <c r="C41" s="97" t="s">
        <v>1157</v>
      </c>
      <c r="D41" s="99">
        <v>0</v>
      </c>
      <c r="E41" s="99">
        <v>0</v>
      </c>
      <c r="F41" s="99">
        <v>0</v>
      </c>
      <c r="G41" s="99">
        <v>0</v>
      </c>
      <c r="H41" s="99">
        <v>0</v>
      </c>
      <c r="I41" s="99">
        <v>0</v>
      </c>
      <c r="J41" s="99">
        <v>0</v>
      </c>
      <c r="K41" s="99">
        <v>0</v>
      </c>
    </row>
    <row r="42" spans="1:11" x14ac:dyDescent="0.25">
      <c r="A42" s="98">
        <v>3</v>
      </c>
      <c r="B42" s="98" t="s">
        <v>1158</v>
      </c>
      <c r="C42" s="97" t="s">
        <v>898</v>
      </c>
      <c r="D42" s="99">
        <v>0</v>
      </c>
      <c r="E42" s="99">
        <v>0</v>
      </c>
      <c r="F42" s="99">
        <v>0</v>
      </c>
      <c r="G42" s="99">
        <v>0</v>
      </c>
      <c r="H42" s="99">
        <v>0</v>
      </c>
      <c r="I42" s="99">
        <v>0</v>
      </c>
      <c r="J42" s="99">
        <v>0</v>
      </c>
      <c r="K42" s="99">
        <v>0</v>
      </c>
    </row>
    <row r="43" spans="1:11" x14ac:dyDescent="0.25">
      <c r="A43" s="98">
        <v>4</v>
      </c>
      <c r="B43" s="98" t="s">
        <v>1159</v>
      </c>
      <c r="C43" s="97" t="s">
        <v>899</v>
      </c>
      <c r="D43" s="99">
        <v>0</v>
      </c>
      <c r="E43" s="99">
        <v>0</v>
      </c>
      <c r="F43" s="99">
        <v>0</v>
      </c>
      <c r="G43" s="99">
        <v>0</v>
      </c>
      <c r="H43" s="99">
        <v>0</v>
      </c>
      <c r="I43" s="99">
        <v>0</v>
      </c>
      <c r="J43" s="99">
        <v>0</v>
      </c>
      <c r="K43" s="99">
        <v>0</v>
      </c>
    </row>
    <row r="44" spans="1:11" x14ac:dyDescent="0.25">
      <c r="A44" s="98">
        <v>5</v>
      </c>
      <c r="B44" s="98" t="s">
        <v>1160</v>
      </c>
      <c r="C44" s="97" t="s">
        <v>900</v>
      </c>
      <c r="D44" s="99">
        <v>0</v>
      </c>
      <c r="E44" s="99">
        <v>0</v>
      </c>
      <c r="F44" s="99">
        <v>0</v>
      </c>
      <c r="G44" s="99">
        <v>0</v>
      </c>
      <c r="H44" s="99">
        <v>0</v>
      </c>
      <c r="I44" s="99">
        <v>0</v>
      </c>
      <c r="J44" s="99">
        <v>0</v>
      </c>
      <c r="K44" s="99">
        <v>0</v>
      </c>
    </row>
    <row r="45" spans="1:11" x14ac:dyDescent="0.25">
      <c r="A45" s="98">
        <v>6</v>
      </c>
      <c r="B45" s="98" t="s">
        <v>1161</v>
      </c>
      <c r="C45" s="97" t="s">
        <v>1162</v>
      </c>
      <c r="D45" s="99">
        <v>0</v>
      </c>
      <c r="E45" s="99">
        <v>0</v>
      </c>
      <c r="F45" s="99">
        <v>0</v>
      </c>
      <c r="G45" s="99">
        <v>0</v>
      </c>
      <c r="H45" s="99">
        <v>0</v>
      </c>
      <c r="I45" s="99">
        <v>0</v>
      </c>
      <c r="J45" s="99">
        <v>0</v>
      </c>
      <c r="K45" s="99">
        <v>0</v>
      </c>
    </row>
    <row r="46" spans="1:11" x14ac:dyDescent="0.25">
      <c r="A46" s="98">
        <v>7</v>
      </c>
      <c r="B46" s="98" t="s">
        <v>1163</v>
      </c>
      <c r="C46" s="97" t="s">
        <v>1164</v>
      </c>
      <c r="D46" s="99">
        <v>934.28</v>
      </c>
      <c r="E46" s="99">
        <v>0</v>
      </c>
      <c r="F46" s="99">
        <v>934.28</v>
      </c>
      <c r="G46" s="99">
        <v>164.45</v>
      </c>
      <c r="H46" s="99">
        <v>934</v>
      </c>
      <c r="I46" s="99">
        <v>0</v>
      </c>
      <c r="J46" s="99">
        <v>934</v>
      </c>
      <c r="K46" s="99">
        <v>164</v>
      </c>
    </row>
    <row r="47" spans="1:11" x14ac:dyDescent="0.25">
      <c r="A47" s="98" t="s">
        <v>1165</v>
      </c>
      <c r="B47" s="98" t="s">
        <v>1166</v>
      </c>
      <c r="C47" s="97" t="s">
        <v>1167</v>
      </c>
      <c r="D47" s="99">
        <v>54368.43</v>
      </c>
      <c r="E47" s="99">
        <v>39.729999999999997</v>
      </c>
      <c r="F47" s="99">
        <v>54328.7</v>
      </c>
      <c r="G47" s="99">
        <v>44708.13</v>
      </c>
      <c r="H47" s="99">
        <v>54369</v>
      </c>
      <c r="I47" s="99">
        <v>40</v>
      </c>
      <c r="J47" s="99">
        <v>54329</v>
      </c>
      <c r="K47" s="99">
        <v>44708</v>
      </c>
    </row>
    <row r="48" spans="1:11" x14ac:dyDescent="0.25">
      <c r="A48" s="98" t="s">
        <v>1168</v>
      </c>
      <c r="B48" s="98" t="s">
        <v>1154</v>
      </c>
      <c r="C48" s="97" t="s">
        <v>1169</v>
      </c>
      <c r="D48" s="99">
        <v>54328.7</v>
      </c>
      <c r="E48" s="99">
        <v>0</v>
      </c>
      <c r="F48" s="99">
        <v>54328.7</v>
      </c>
      <c r="G48" s="99">
        <v>44708.13</v>
      </c>
      <c r="H48" s="99">
        <v>54329</v>
      </c>
      <c r="I48" s="99">
        <v>0</v>
      </c>
      <c r="J48" s="99">
        <v>54329</v>
      </c>
      <c r="K48" s="99">
        <v>44708</v>
      </c>
    </row>
    <row r="49" spans="1:11" x14ac:dyDescent="0.25">
      <c r="A49" s="98">
        <v>2</v>
      </c>
      <c r="B49" s="98" t="s">
        <v>1156</v>
      </c>
      <c r="C49" s="97" t="s">
        <v>1170</v>
      </c>
      <c r="D49" s="99">
        <v>0</v>
      </c>
      <c r="E49" s="99">
        <v>0</v>
      </c>
      <c r="F49" s="99">
        <v>0</v>
      </c>
      <c r="G49" s="99">
        <v>0</v>
      </c>
      <c r="H49" s="99">
        <v>0</v>
      </c>
      <c r="I49" s="99">
        <v>0</v>
      </c>
      <c r="J49" s="99">
        <v>0</v>
      </c>
      <c r="K49" s="99">
        <v>0</v>
      </c>
    </row>
    <row r="50" spans="1:11" x14ac:dyDescent="0.25">
      <c r="A50" s="98">
        <v>3</v>
      </c>
      <c r="B50" s="98" t="s">
        <v>1158</v>
      </c>
      <c r="C50" s="97" t="s">
        <v>1171</v>
      </c>
      <c r="D50" s="99">
        <v>0</v>
      </c>
      <c r="E50" s="99">
        <v>0</v>
      </c>
      <c r="F50" s="99">
        <v>0</v>
      </c>
      <c r="G50" s="99">
        <v>0</v>
      </c>
      <c r="H50" s="99">
        <v>0</v>
      </c>
      <c r="I50" s="99">
        <v>0</v>
      </c>
      <c r="J50" s="99">
        <v>0</v>
      </c>
      <c r="K50" s="99">
        <v>0</v>
      </c>
    </row>
    <row r="51" spans="1:11" x14ac:dyDescent="0.25">
      <c r="A51" s="98">
        <v>4</v>
      </c>
      <c r="B51" s="98" t="s">
        <v>1159</v>
      </c>
      <c r="C51" s="97" t="s">
        <v>1172</v>
      </c>
      <c r="D51" s="99">
        <v>0</v>
      </c>
      <c r="E51" s="99">
        <v>0</v>
      </c>
      <c r="F51" s="99">
        <v>0</v>
      </c>
      <c r="G51" s="99">
        <v>0</v>
      </c>
      <c r="H51" s="99">
        <v>0</v>
      </c>
      <c r="I51" s="99">
        <v>0</v>
      </c>
      <c r="J51" s="99">
        <v>0</v>
      </c>
      <c r="K51" s="99">
        <v>0</v>
      </c>
    </row>
    <row r="52" spans="1:11" x14ac:dyDescent="0.25">
      <c r="A52" s="98">
        <v>5</v>
      </c>
      <c r="B52" s="98" t="s">
        <v>1173</v>
      </c>
      <c r="C52" s="97" t="s">
        <v>1174</v>
      </c>
      <c r="D52" s="99">
        <v>0</v>
      </c>
      <c r="E52" s="99">
        <v>0</v>
      </c>
      <c r="F52" s="99">
        <v>0</v>
      </c>
      <c r="G52" s="99">
        <v>0</v>
      </c>
      <c r="H52" s="99">
        <v>0</v>
      </c>
      <c r="I52" s="99">
        <v>0</v>
      </c>
      <c r="J52" s="99">
        <v>0</v>
      </c>
      <c r="K52" s="99">
        <v>0</v>
      </c>
    </row>
    <row r="53" spans="1:11" x14ac:dyDescent="0.25">
      <c r="A53" s="98">
        <v>6</v>
      </c>
      <c r="B53" s="98" t="s">
        <v>1175</v>
      </c>
      <c r="C53" s="97" t="s">
        <v>1176</v>
      </c>
      <c r="D53" s="99">
        <v>0</v>
      </c>
      <c r="E53" s="99">
        <v>0</v>
      </c>
      <c r="F53" s="99">
        <v>0</v>
      </c>
      <c r="G53" s="99">
        <v>0</v>
      </c>
      <c r="H53" s="99">
        <v>0</v>
      </c>
      <c r="I53" s="99">
        <v>0</v>
      </c>
      <c r="J53" s="99">
        <v>0</v>
      </c>
      <c r="K53" s="99">
        <v>0</v>
      </c>
    </row>
    <row r="54" spans="1:11" x14ac:dyDescent="0.25">
      <c r="A54" s="98">
        <v>7</v>
      </c>
      <c r="B54" s="98" t="s">
        <v>1177</v>
      </c>
      <c r="C54" s="97" t="s">
        <v>1178</v>
      </c>
      <c r="D54" s="99">
        <v>0</v>
      </c>
      <c r="E54" s="99">
        <v>0</v>
      </c>
      <c r="F54" s="99">
        <v>0</v>
      </c>
      <c r="G54" s="99">
        <v>0</v>
      </c>
      <c r="H54" s="99">
        <v>0</v>
      </c>
      <c r="I54" s="99">
        <v>0</v>
      </c>
      <c r="J54" s="99">
        <v>0</v>
      </c>
      <c r="K54" s="99">
        <v>0</v>
      </c>
    </row>
    <row r="55" spans="1:11" x14ac:dyDescent="0.25">
      <c r="A55" s="98">
        <v>8</v>
      </c>
      <c r="B55" s="98" t="s">
        <v>1161</v>
      </c>
      <c r="C55" s="97" t="s">
        <v>1179</v>
      </c>
      <c r="D55" s="99">
        <v>39.729999999999997</v>
      </c>
      <c r="E55" s="99">
        <v>39.729999999999997</v>
      </c>
      <c r="F55" s="99">
        <v>0</v>
      </c>
      <c r="G55" s="99">
        <v>0</v>
      </c>
      <c r="H55" s="99">
        <v>40</v>
      </c>
      <c r="I55" s="99">
        <v>40</v>
      </c>
      <c r="J55" s="99">
        <v>0</v>
      </c>
      <c r="K55" s="99">
        <v>0</v>
      </c>
    </row>
    <row r="56" spans="1:11" x14ac:dyDescent="0.25">
      <c r="A56" s="98" t="s">
        <v>1180</v>
      </c>
      <c r="B56" s="98" t="s">
        <v>1181</v>
      </c>
      <c r="C56" s="97" t="s">
        <v>1182</v>
      </c>
      <c r="D56" s="99">
        <v>3395.04</v>
      </c>
      <c r="E56" s="99">
        <v>0</v>
      </c>
      <c r="F56" s="99">
        <v>3395.04</v>
      </c>
      <c r="G56" s="99">
        <v>8117.28</v>
      </c>
      <c r="H56" s="99">
        <v>3395</v>
      </c>
      <c r="I56" s="99">
        <v>0</v>
      </c>
      <c r="J56" s="99">
        <v>3395</v>
      </c>
      <c r="K56" s="99">
        <v>8117</v>
      </c>
    </row>
    <row r="57" spans="1:11" x14ac:dyDescent="0.25">
      <c r="A57" s="98" t="s">
        <v>1183</v>
      </c>
      <c r="B57" s="98" t="s">
        <v>1184</v>
      </c>
      <c r="C57" s="97" t="s">
        <v>1185</v>
      </c>
      <c r="D57" s="99">
        <v>3395.04</v>
      </c>
      <c r="E57" s="99">
        <v>0</v>
      </c>
      <c r="F57" s="99">
        <v>3395.04</v>
      </c>
      <c r="G57" s="99">
        <v>8117.28</v>
      </c>
      <c r="H57" s="99">
        <v>3395</v>
      </c>
      <c r="I57" s="99">
        <v>0</v>
      </c>
      <c r="J57" s="99">
        <v>3395</v>
      </c>
      <c r="K57" s="99">
        <v>8117</v>
      </c>
    </row>
    <row r="58" spans="1:11" x14ac:dyDescent="0.25">
      <c r="A58" s="98">
        <v>2</v>
      </c>
      <c r="B58" s="98" t="s">
        <v>1186</v>
      </c>
      <c r="C58" s="97" t="s">
        <v>1187</v>
      </c>
      <c r="D58" s="99">
        <v>0</v>
      </c>
      <c r="E58" s="99">
        <v>0</v>
      </c>
      <c r="F58" s="99">
        <v>0</v>
      </c>
      <c r="G58" s="99">
        <v>0</v>
      </c>
      <c r="H58" s="99">
        <v>0</v>
      </c>
      <c r="I58" s="99">
        <v>0</v>
      </c>
      <c r="J58" s="99">
        <v>0</v>
      </c>
      <c r="K58" s="99">
        <v>0</v>
      </c>
    </row>
    <row r="59" spans="1:11" x14ac:dyDescent="0.25">
      <c r="A59" s="98">
        <v>3</v>
      </c>
      <c r="B59" s="98" t="s">
        <v>1188</v>
      </c>
      <c r="C59" s="97" t="s">
        <v>1189</v>
      </c>
      <c r="D59" s="99">
        <v>0</v>
      </c>
      <c r="E59" s="99">
        <v>0</v>
      </c>
      <c r="F59" s="99">
        <v>0</v>
      </c>
      <c r="G59" s="99">
        <v>0</v>
      </c>
      <c r="H59" s="99">
        <v>0</v>
      </c>
      <c r="I59" s="99">
        <v>0</v>
      </c>
      <c r="J59" s="99">
        <v>0</v>
      </c>
      <c r="K59" s="99">
        <v>0</v>
      </c>
    </row>
    <row r="60" spans="1:11" x14ac:dyDescent="0.25">
      <c r="A60" s="98">
        <v>4</v>
      </c>
      <c r="B60" s="98" t="s">
        <v>1190</v>
      </c>
      <c r="C60" s="97" t="s">
        <v>1191</v>
      </c>
      <c r="D60" s="99">
        <v>0</v>
      </c>
      <c r="E60" s="99">
        <v>0</v>
      </c>
      <c r="F60" s="99">
        <v>0</v>
      </c>
      <c r="G60" s="99">
        <v>0</v>
      </c>
      <c r="H60" s="99">
        <v>0</v>
      </c>
      <c r="I60" s="99">
        <v>0</v>
      </c>
      <c r="J60" s="99">
        <v>0</v>
      </c>
      <c r="K60" s="99">
        <v>0</v>
      </c>
    </row>
    <row r="61" spans="1:11" x14ac:dyDescent="0.25">
      <c r="A61" s="98">
        <v>5</v>
      </c>
      <c r="B61" s="98" t="s">
        <v>1192</v>
      </c>
      <c r="C61" s="97" t="s">
        <v>1193</v>
      </c>
      <c r="D61" s="99">
        <v>0</v>
      </c>
      <c r="E61" s="99">
        <v>0</v>
      </c>
      <c r="F61" s="99">
        <v>0</v>
      </c>
      <c r="G61" s="99">
        <v>0</v>
      </c>
      <c r="H61" s="99">
        <v>0</v>
      </c>
      <c r="I61" s="99">
        <v>0</v>
      </c>
      <c r="J61" s="99">
        <v>0</v>
      </c>
      <c r="K61" s="99">
        <v>0</v>
      </c>
    </row>
    <row r="62" spans="1:11" x14ac:dyDescent="0.25">
      <c r="A62" s="98" t="s">
        <v>936</v>
      </c>
      <c r="B62" s="98" t="s">
        <v>1194</v>
      </c>
      <c r="C62" s="97" t="s">
        <v>1195</v>
      </c>
      <c r="D62" s="99">
        <v>1778.72</v>
      </c>
      <c r="E62" s="99">
        <v>0</v>
      </c>
      <c r="F62" s="99">
        <v>1778.72</v>
      </c>
      <c r="G62" s="99">
        <v>1771.49</v>
      </c>
      <c r="H62" s="99">
        <v>1778</v>
      </c>
      <c r="I62" s="99">
        <v>0</v>
      </c>
      <c r="J62" s="99">
        <v>1778</v>
      </c>
      <c r="K62" s="99">
        <v>1771</v>
      </c>
    </row>
    <row r="63" spans="1:11" x14ac:dyDescent="0.25">
      <c r="A63" s="98" t="s">
        <v>939</v>
      </c>
      <c r="B63" s="98" t="s">
        <v>1196</v>
      </c>
      <c r="C63" s="97" t="s">
        <v>902</v>
      </c>
      <c r="D63" s="99">
        <v>0</v>
      </c>
      <c r="E63" s="99">
        <v>0</v>
      </c>
      <c r="F63" s="99">
        <v>0</v>
      </c>
      <c r="G63" s="99">
        <v>0</v>
      </c>
      <c r="H63" s="99">
        <v>0</v>
      </c>
      <c r="I63" s="99">
        <v>0</v>
      </c>
      <c r="J63" s="99">
        <v>0</v>
      </c>
      <c r="K63" s="99">
        <v>0</v>
      </c>
    </row>
    <row r="64" spans="1:11" x14ac:dyDescent="0.25">
      <c r="A64" s="98">
        <v>2</v>
      </c>
      <c r="B64" s="98" t="s">
        <v>1197</v>
      </c>
      <c r="C64" s="97" t="s">
        <v>1198</v>
      </c>
      <c r="D64" s="99">
        <v>123.43</v>
      </c>
      <c r="E64" s="99">
        <v>0</v>
      </c>
      <c r="F64" s="99">
        <v>123.43</v>
      </c>
      <c r="G64" s="99">
        <v>124.24</v>
      </c>
      <c r="H64" s="99">
        <v>123</v>
      </c>
      <c r="I64" s="99">
        <v>0</v>
      </c>
      <c r="J64" s="99">
        <v>123</v>
      </c>
      <c r="K64" s="99">
        <v>124</v>
      </c>
    </row>
    <row r="65" spans="1:11" x14ac:dyDescent="0.25">
      <c r="A65" s="98">
        <v>3</v>
      </c>
      <c r="B65" s="98" t="s">
        <v>1199</v>
      </c>
      <c r="C65" s="97" t="s">
        <v>1200</v>
      </c>
      <c r="D65" s="99">
        <v>0</v>
      </c>
      <c r="E65" s="99">
        <v>0</v>
      </c>
      <c r="F65" s="99">
        <v>0</v>
      </c>
      <c r="G65" s="99">
        <v>0</v>
      </c>
      <c r="H65" s="99">
        <v>0</v>
      </c>
      <c r="I65" s="99">
        <v>0</v>
      </c>
      <c r="J65" s="99">
        <v>0</v>
      </c>
      <c r="K65" s="99">
        <v>0</v>
      </c>
    </row>
    <row r="66" spans="1:11" x14ac:dyDescent="0.25">
      <c r="A66" s="98">
        <v>4</v>
      </c>
      <c r="B66" s="98" t="s">
        <v>1201</v>
      </c>
      <c r="C66" s="97" t="s">
        <v>1202</v>
      </c>
      <c r="D66" s="99">
        <v>1655.29</v>
      </c>
      <c r="E66" s="99">
        <v>0</v>
      </c>
      <c r="F66" s="99">
        <v>1655.29</v>
      </c>
      <c r="G66" s="99">
        <v>1647.25</v>
      </c>
      <c r="H66" s="99">
        <v>1655</v>
      </c>
      <c r="I66" s="99">
        <v>0</v>
      </c>
      <c r="J66" s="99">
        <v>1655</v>
      </c>
      <c r="K66" s="99">
        <v>1647</v>
      </c>
    </row>
    <row r="67" spans="1:11" x14ac:dyDescent="0.25">
      <c r="A67" s="98"/>
      <c r="B67" s="98" t="s">
        <v>1203</v>
      </c>
      <c r="C67" s="97" t="s">
        <v>1204</v>
      </c>
      <c r="D67" s="99">
        <v>762038.68</v>
      </c>
      <c r="E67" s="99">
        <v>73255.039999999994</v>
      </c>
      <c r="F67" s="99">
        <v>688783.64</v>
      </c>
      <c r="G67" s="99">
        <v>717159.99</v>
      </c>
      <c r="H67" s="99">
        <v>762038</v>
      </c>
      <c r="I67" s="99">
        <v>73256</v>
      </c>
      <c r="J67" s="99">
        <v>688782</v>
      </c>
      <c r="K67" s="99">
        <v>717157</v>
      </c>
    </row>
    <row r="68" spans="1:11" x14ac:dyDescent="0.25">
      <c r="A68" s="98"/>
      <c r="B68" s="98"/>
      <c r="C68" s="97"/>
      <c r="D68" s="99"/>
      <c r="E68" s="99"/>
      <c r="F68" s="99"/>
      <c r="G68" s="99"/>
      <c r="H68" s="99"/>
      <c r="I68" s="99"/>
      <c r="J68" s="99"/>
      <c r="K68" s="99"/>
    </row>
  </sheetData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1"/>
  <sheetViews>
    <sheetView workbookViewId="0">
      <selection activeCell="B2" sqref="B2"/>
    </sheetView>
  </sheetViews>
  <sheetFormatPr defaultRowHeight="15" x14ac:dyDescent="0.25"/>
  <cols>
    <col min="1" max="1" width="9.140625" style="101"/>
    <col min="2" max="2" width="79.42578125" style="101" bestFit="1" customWidth="1"/>
    <col min="3" max="3" width="4.42578125" style="100" bestFit="1" customWidth="1"/>
    <col min="4" max="7" width="15.28515625" style="102" bestFit="1" customWidth="1"/>
    <col min="8" max="16384" width="9.140625" style="96"/>
  </cols>
  <sheetData>
    <row r="1" spans="1:7" ht="22.5" x14ac:dyDescent="0.25">
      <c r="A1" s="107" t="s">
        <v>230</v>
      </c>
      <c r="B1" s="107" t="s">
        <v>236</v>
      </c>
      <c r="C1" s="106" t="s">
        <v>252</v>
      </c>
      <c r="D1" s="108" t="s">
        <v>259</v>
      </c>
      <c r="E1" s="108" t="s">
        <v>260</v>
      </c>
      <c r="F1" s="108" t="s">
        <v>237</v>
      </c>
      <c r="G1" s="108" t="s">
        <v>235</v>
      </c>
    </row>
    <row r="2" spans="1:7" x14ac:dyDescent="0.25">
      <c r="B2" s="101" t="s">
        <v>1205</v>
      </c>
      <c r="C2" s="100" t="s">
        <v>903</v>
      </c>
      <c r="D2" s="102">
        <v>172640.59</v>
      </c>
      <c r="E2" s="102">
        <v>179732.87</v>
      </c>
      <c r="F2" s="102">
        <v>172640</v>
      </c>
      <c r="G2" s="102">
        <v>179732</v>
      </c>
    </row>
    <row r="3" spans="1:7" x14ac:dyDescent="0.25">
      <c r="A3" s="101" t="s">
        <v>910</v>
      </c>
      <c r="B3" s="101" t="s">
        <v>1206</v>
      </c>
      <c r="C3" s="100" t="s">
        <v>1207</v>
      </c>
      <c r="D3" s="99">
        <v>-297098.84999999998</v>
      </c>
      <c r="E3" s="99">
        <v>-227248.15</v>
      </c>
      <c r="F3" s="99">
        <v>-297099</v>
      </c>
      <c r="G3" s="99">
        <v>-227248</v>
      </c>
    </row>
    <row r="4" spans="1:7" x14ac:dyDescent="0.25">
      <c r="A4" s="101" t="s">
        <v>1076</v>
      </c>
      <c r="B4" s="101" t="s">
        <v>1208</v>
      </c>
      <c r="C4" s="100" t="s">
        <v>1209</v>
      </c>
      <c r="D4" s="102">
        <v>5000</v>
      </c>
      <c r="E4" s="102">
        <v>5000</v>
      </c>
      <c r="F4" s="102">
        <v>5000</v>
      </c>
      <c r="G4" s="102">
        <v>5000</v>
      </c>
    </row>
    <row r="5" spans="1:7" x14ac:dyDescent="0.25">
      <c r="A5" s="101" t="s">
        <v>1210</v>
      </c>
      <c r="B5" s="101" t="s">
        <v>1211</v>
      </c>
      <c r="C5" s="100" t="s">
        <v>1212</v>
      </c>
      <c r="D5" s="102">
        <v>5000</v>
      </c>
      <c r="E5" s="102">
        <v>5000</v>
      </c>
      <c r="F5" s="102">
        <v>5000</v>
      </c>
      <c r="G5" s="102">
        <v>5000</v>
      </c>
    </row>
    <row r="6" spans="1:7" x14ac:dyDescent="0.25">
      <c r="A6" s="101">
        <v>2</v>
      </c>
      <c r="B6" s="101" t="s">
        <v>1213</v>
      </c>
      <c r="C6" s="100" t="s">
        <v>1214</v>
      </c>
      <c r="D6" s="102">
        <v>0</v>
      </c>
      <c r="E6" s="102">
        <v>0</v>
      </c>
      <c r="F6" s="102">
        <v>0</v>
      </c>
      <c r="G6" s="102">
        <v>0</v>
      </c>
    </row>
    <row r="7" spans="1:7" x14ac:dyDescent="0.25">
      <c r="A7" s="101">
        <v>3</v>
      </c>
      <c r="B7" s="101" t="s">
        <v>1215</v>
      </c>
      <c r="C7" s="100" t="s">
        <v>1216</v>
      </c>
      <c r="D7" s="102">
        <v>0</v>
      </c>
      <c r="E7" s="102">
        <v>0</v>
      </c>
      <c r="F7" s="102">
        <v>0</v>
      </c>
      <c r="G7" s="102">
        <v>0</v>
      </c>
    </row>
    <row r="8" spans="1:7" x14ac:dyDescent="0.25">
      <c r="A8" s="101">
        <v>4</v>
      </c>
      <c r="B8" s="101" t="s">
        <v>1217</v>
      </c>
      <c r="C8" s="100" t="s">
        <v>1218</v>
      </c>
      <c r="D8" s="102">
        <v>0</v>
      </c>
      <c r="E8" s="102">
        <v>0</v>
      </c>
      <c r="F8" s="102">
        <v>0</v>
      </c>
      <c r="G8" s="102">
        <v>0</v>
      </c>
    </row>
    <row r="9" spans="1:7" x14ac:dyDescent="0.25">
      <c r="A9" s="101" t="s">
        <v>1094</v>
      </c>
      <c r="B9" s="101" t="s">
        <v>1219</v>
      </c>
      <c r="C9" s="100" t="s">
        <v>797</v>
      </c>
      <c r="D9" s="102">
        <v>0</v>
      </c>
      <c r="E9" s="102">
        <v>0</v>
      </c>
      <c r="F9" s="102">
        <v>0</v>
      </c>
      <c r="G9" s="102">
        <v>0</v>
      </c>
    </row>
    <row r="10" spans="1:7" x14ac:dyDescent="0.25">
      <c r="A10" s="101" t="s">
        <v>1097</v>
      </c>
      <c r="B10" s="101" t="s">
        <v>1220</v>
      </c>
      <c r="C10" s="100" t="s">
        <v>1221</v>
      </c>
      <c r="D10" s="102">
        <v>0</v>
      </c>
      <c r="E10" s="102">
        <v>0</v>
      </c>
      <c r="F10" s="102">
        <v>0</v>
      </c>
      <c r="G10" s="102">
        <v>0</v>
      </c>
    </row>
    <row r="11" spans="1:7" x14ac:dyDescent="0.25">
      <c r="A11" s="101">
        <v>2</v>
      </c>
      <c r="B11" s="101" t="s">
        <v>1222</v>
      </c>
      <c r="C11" s="100" t="s">
        <v>1223</v>
      </c>
      <c r="D11" s="102">
        <v>0</v>
      </c>
      <c r="E11" s="102">
        <v>0</v>
      </c>
      <c r="F11" s="102">
        <v>0</v>
      </c>
      <c r="G11" s="102">
        <v>0</v>
      </c>
    </row>
    <row r="12" spans="1:7" x14ac:dyDescent="0.25">
      <c r="A12" s="101">
        <v>3</v>
      </c>
      <c r="B12" s="101" t="s">
        <v>1224</v>
      </c>
      <c r="C12" s="100" t="s">
        <v>1225</v>
      </c>
      <c r="D12" s="102">
        <v>0</v>
      </c>
      <c r="E12" s="102">
        <v>0</v>
      </c>
      <c r="F12" s="102">
        <v>0</v>
      </c>
      <c r="G12" s="102">
        <v>0</v>
      </c>
    </row>
    <row r="13" spans="1:7" x14ac:dyDescent="0.25">
      <c r="A13" s="101">
        <v>4</v>
      </c>
      <c r="B13" s="101" t="s">
        <v>1226</v>
      </c>
      <c r="C13" s="100" t="s">
        <v>1227</v>
      </c>
      <c r="D13" s="102">
        <v>0</v>
      </c>
      <c r="E13" s="102">
        <v>0</v>
      </c>
      <c r="F13" s="102">
        <v>0</v>
      </c>
      <c r="G13" s="102">
        <v>0</v>
      </c>
    </row>
    <row r="14" spans="1:7" x14ac:dyDescent="0.25">
      <c r="A14" s="101">
        <v>5</v>
      </c>
      <c r="B14" s="101" t="s">
        <v>1228</v>
      </c>
      <c r="C14" s="100" t="s">
        <v>1229</v>
      </c>
      <c r="D14" s="102">
        <v>0</v>
      </c>
      <c r="E14" s="102">
        <v>0</v>
      </c>
      <c r="F14" s="102">
        <v>0</v>
      </c>
      <c r="G14" s="102">
        <v>0</v>
      </c>
    </row>
    <row r="15" spans="1:7" x14ac:dyDescent="0.25">
      <c r="A15" s="101">
        <v>6</v>
      </c>
      <c r="B15" s="101" t="s">
        <v>1230</v>
      </c>
      <c r="C15" s="100" t="s">
        <v>1231</v>
      </c>
      <c r="D15" s="102">
        <v>0</v>
      </c>
      <c r="E15" s="102">
        <v>0</v>
      </c>
      <c r="F15" s="102">
        <v>0</v>
      </c>
      <c r="G15" s="102">
        <v>0</v>
      </c>
    </row>
    <row r="16" spans="1:7" x14ac:dyDescent="0.25">
      <c r="A16" s="101" t="s">
        <v>1115</v>
      </c>
      <c r="B16" s="101" t="s">
        <v>1232</v>
      </c>
      <c r="C16" s="100" t="s">
        <v>1233</v>
      </c>
      <c r="D16" s="102">
        <v>0</v>
      </c>
      <c r="E16" s="102">
        <v>0</v>
      </c>
      <c r="F16" s="102">
        <v>0</v>
      </c>
      <c r="G16" s="102">
        <v>0</v>
      </c>
    </row>
    <row r="17" spans="1:7" x14ac:dyDescent="0.25">
      <c r="A17" s="101" t="s">
        <v>1117</v>
      </c>
      <c r="B17" s="101" t="s">
        <v>1234</v>
      </c>
      <c r="C17" s="100" t="s">
        <v>798</v>
      </c>
      <c r="D17" s="102">
        <v>0</v>
      </c>
      <c r="E17" s="102">
        <v>0</v>
      </c>
      <c r="F17" s="102">
        <v>0</v>
      </c>
      <c r="G17" s="102">
        <v>0</v>
      </c>
    </row>
    <row r="18" spans="1:7" x14ac:dyDescent="0.25">
      <c r="A18" s="101">
        <v>2</v>
      </c>
      <c r="B18" s="101" t="s">
        <v>1235</v>
      </c>
      <c r="C18" s="100" t="s">
        <v>799</v>
      </c>
      <c r="D18" s="102">
        <v>0</v>
      </c>
      <c r="E18" s="102">
        <v>0</v>
      </c>
      <c r="F18" s="102">
        <v>0</v>
      </c>
      <c r="G18" s="102">
        <v>0</v>
      </c>
    </row>
    <row r="19" spans="1:7" x14ac:dyDescent="0.25">
      <c r="A19" s="101">
        <v>3</v>
      </c>
      <c r="B19" s="101" t="s">
        <v>1236</v>
      </c>
      <c r="C19" s="100" t="s">
        <v>1237</v>
      </c>
      <c r="D19" s="102">
        <v>0</v>
      </c>
      <c r="E19" s="102">
        <v>0</v>
      </c>
      <c r="F19" s="102">
        <v>0</v>
      </c>
      <c r="G19" s="102">
        <v>0</v>
      </c>
    </row>
    <row r="20" spans="1:7" x14ac:dyDescent="0.25">
      <c r="A20" s="101" t="s">
        <v>1238</v>
      </c>
      <c r="B20" s="101" t="s">
        <v>1239</v>
      </c>
      <c r="C20" s="100" t="s">
        <v>1240</v>
      </c>
      <c r="D20" s="102">
        <v>-232248.15</v>
      </c>
      <c r="E20" s="102">
        <v>-141272.34</v>
      </c>
      <c r="F20" s="102">
        <v>-232248</v>
      </c>
      <c r="G20" s="102">
        <v>-141272</v>
      </c>
    </row>
    <row r="21" spans="1:7" x14ac:dyDescent="0.25">
      <c r="A21" s="101" t="s">
        <v>1241</v>
      </c>
      <c r="B21" s="101" t="s">
        <v>1242</v>
      </c>
      <c r="C21" s="100" t="s">
        <v>1243</v>
      </c>
      <c r="D21" s="102">
        <v>0</v>
      </c>
      <c r="E21" s="102">
        <v>0</v>
      </c>
      <c r="F21" s="102">
        <v>0</v>
      </c>
      <c r="G21" s="102">
        <v>0</v>
      </c>
    </row>
    <row r="22" spans="1:7" x14ac:dyDescent="0.25">
      <c r="A22" s="101">
        <v>2</v>
      </c>
      <c r="B22" s="101" t="s">
        <v>1244</v>
      </c>
      <c r="C22" s="100" t="s">
        <v>1245</v>
      </c>
      <c r="D22" s="102">
        <v>-232248.15</v>
      </c>
      <c r="E22" s="102">
        <v>-141272.34</v>
      </c>
      <c r="F22" s="102">
        <v>-232248</v>
      </c>
      <c r="G22" s="102">
        <v>-141272</v>
      </c>
    </row>
    <row r="23" spans="1:7" x14ac:dyDescent="0.25">
      <c r="A23" s="101" t="s">
        <v>1246</v>
      </c>
      <c r="B23" s="101" t="s">
        <v>1247</v>
      </c>
      <c r="C23" s="100" t="s">
        <v>1248</v>
      </c>
      <c r="D23" s="102">
        <v>-69850.7</v>
      </c>
      <c r="E23" s="102">
        <v>-90975.81</v>
      </c>
      <c r="F23" s="102">
        <v>-69851</v>
      </c>
      <c r="G23" s="102">
        <v>-90976</v>
      </c>
    </row>
    <row r="24" spans="1:7" x14ac:dyDescent="0.25">
      <c r="A24" s="101" t="s">
        <v>926</v>
      </c>
      <c r="B24" s="101" t="s">
        <v>1249</v>
      </c>
      <c r="C24" s="100" t="s">
        <v>1250</v>
      </c>
      <c r="D24" s="102">
        <v>469739.44</v>
      </c>
      <c r="E24" s="102">
        <v>406981.02</v>
      </c>
      <c r="F24" s="102">
        <v>469739</v>
      </c>
      <c r="G24" s="102">
        <v>406980</v>
      </c>
    </row>
    <row r="25" spans="1:7" x14ac:dyDescent="0.25">
      <c r="A25" s="101" t="s">
        <v>1134</v>
      </c>
      <c r="B25" s="101" t="s">
        <v>1251</v>
      </c>
      <c r="C25" s="100" t="s">
        <v>801</v>
      </c>
      <c r="D25" s="102">
        <v>2627.95</v>
      </c>
      <c r="E25" s="102">
        <v>2241.0500000000002</v>
      </c>
      <c r="F25" s="102">
        <v>2628</v>
      </c>
      <c r="G25" s="102">
        <v>2241</v>
      </c>
    </row>
    <row r="26" spans="1:7" x14ac:dyDescent="0.25">
      <c r="A26" s="101" t="s">
        <v>1137</v>
      </c>
      <c r="B26" s="101" t="s">
        <v>1252</v>
      </c>
      <c r="C26" s="100" t="s">
        <v>1253</v>
      </c>
      <c r="D26" s="102">
        <v>0</v>
      </c>
      <c r="E26" s="102">
        <v>0</v>
      </c>
      <c r="F26" s="102">
        <v>0</v>
      </c>
      <c r="G26" s="102">
        <v>0</v>
      </c>
    </row>
    <row r="27" spans="1:7" x14ac:dyDescent="0.25">
      <c r="A27" s="101">
        <v>2</v>
      </c>
      <c r="B27" s="101" t="s">
        <v>1254</v>
      </c>
      <c r="C27" s="100" t="s">
        <v>1255</v>
      </c>
      <c r="D27" s="102">
        <v>0</v>
      </c>
      <c r="E27" s="102">
        <v>0</v>
      </c>
      <c r="F27" s="102">
        <v>0</v>
      </c>
      <c r="G27" s="102">
        <v>0</v>
      </c>
    </row>
    <row r="28" spans="1:7" x14ac:dyDescent="0.25">
      <c r="A28" s="101">
        <v>3</v>
      </c>
      <c r="B28" s="101" t="s">
        <v>1256</v>
      </c>
      <c r="C28" s="100" t="s">
        <v>802</v>
      </c>
      <c r="D28" s="102">
        <v>0</v>
      </c>
      <c r="E28" s="102">
        <v>0</v>
      </c>
      <c r="F28" s="102">
        <v>0</v>
      </c>
      <c r="G28" s="102">
        <v>0</v>
      </c>
    </row>
    <row r="29" spans="1:7" x14ac:dyDescent="0.25">
      <c r="A29" s="101">
        <v>4</v>
      </c>
      <c r="B29" s="101" t="s">
        <v>1257</v>
      </c>
      <c r="C29" s="100" t="s">
        <v>1258</v>
      </c>
      <c r="D29" s="102">
        <v>2627.95</v>
      </c>
      <c r="E29" s="102">
        <v>2241.0500000000002</v>
      </c>
      <c r="F29" s="102">
        <v>2628</v>
      </c>
      <c r="G29" s="102">
        <v>2241</v>
      </c>
    </row>
    <row r="30" spans="1:7" x14ac:dyDescent="0.25">
      <c r="A30" s="101" t="s">
        <v>1150</v>
      </c>
      <c r="B30" s="101" t="s">
        <v>1259</v>
      </c>
      <c r="C30" s="100" t="s">
        <v>1260</v>
      </c>
      <c r="D30" s="102">
        <v>190.82</v>
      </c>
      <c r="E30" s="102">
        <v>122.27</v>
      </c>
      <c r="F30" s="102">
        <v>191</v>
      </c>
      <c r="G30" s="102">
        <v>122</v>
      </c>
    </row>
    <row r="31" spans="1:7" x14ac:dyDescent="0.25">
      <c r="A31" s="101" t="s">
        <v>1153</v>
      </c>
      <c r="B31" s="101" t="s">
        <v>1261</v>
      </c>
      <c r="C31" s="100" t="s">
        <v>1262</v>
      </c>
      <c r="D31" s="102">
        <v>0</v>
      </c>
      <c r="E31" s="102">
        <v>0</v>
      </c>
      <c r="F31" s="102">
        <v>0</v>
      </c>
      <c r="G31" s="102">
        <v>0</v>
      </c>
    </row>
    <row r="32" spans="1:7" x14ac:dyDescent="0.25">
      <c r="A32" s="101">
        <v>2</v>
      </c>
      <c r="B32" s="101" t="s">
        <v>1156</v>
      </c>
      <c r="C32" s="100" t="s">
        <v>1263</v>
      </c>
      <c r="D32" s="102">
        <v>0</v>
      </c>
      <c r="E32" s="102">
        <v>0</v>
      </c>
      <c r="F32" s="102">
        <v>0</v>
      </c>
      <c r="G32" s="102">
        <v>0</v>
      </c>
    </row>
    <row r="33" spans="1:7" x14ac:dyDescent="0.25">
      <c r="A33" s="101">
        <v>3</v>
      </c>
      <c r="B33" s="101" t="s">
        <v>1264</v>
      </c>
      <c r="C33" s="100" t="s">
        <v>1265</v>
      </c>
      <c r="D33" s="102">
        <v>0</v>
      </c>
      <c r="E33" s="102">
        <v>0</v>
      </c>
      <c r="F33" s="102">
        <v>0</v>
      </c>
      <c r="G33" s="102">
        <v>0</v>
      </c>
    </row>
    <row r="34" spans="1:7" x14ac:dyDescent="0.25">
      <c r="A34" s="101">
        <v>4</v>
      </c>
      <c r="B34" s="101" t="s">
        <v>1266</v>
      </c>
      <c r="C34" s="100" t="s">
        <v>1267</v>
      </c>
      <c r="D34" s="102">
        <v>0</v>
      </c>
      <c r="E34" s="102">
        <v>0</v>
      </c>
      <c r="F34" s="102">
        <v>0</v>
      </c>
      <c r="G34" s="102">
        <v>0</v>
      </c>
    </row>
    <row r="35" spans="1:7" x14ac:dyDescent="0.25">
      <c r="A35" s="101">
        <v>5</v>
      </c>
      <c r="B35" s="101" t="s">
        <v>1268</v>
      </c>
      <c r="C35" s="100" t="s">
        <v>1269</v>
      </c>
      <c r="D35" s="102">
        <v>0</v>
      </c>
      <c r="E35" s="102">
        <v>0</v>
      </c>
      <c r="F35" s="102">
        <v>0</v>
      </c>
      <c r="G35" s="102">
        <v>0</v>
      </c>
    </row>
    <row r="36" spans="1:7" x14ac:dyDescent="0.25">
      <c r="A36" s="101">
        <v>6</v>
      </c>
      <c r="B36" s="101" t="s">
        <v>1270</v>
      </c>
      <c r="C36" s="100" t="s">
        <v>1271</v>
      </c>
      <c r="D36" s="102">
        <v>0</v>
      </c>
      <c r="E36" s="102">
        <v>0</v>
      </c>
      <c r="F36" s="102">
        <v>0</v>
      </c>
      <c r="G36" s="102">
        <v>0</v>
      </c>
    </row>
    <row r="37" spans="1:7" x14ac:dyDescent="0.25">
      <c r="A37" s="101">
        <v>7</v>
      </c>
      <c r="B37" s="101" t="s">
        <v>1272</v>
      </c>
      <c r="C37" s="100" t="s">
        <v>1273</v>
      </c>
      <c r="D37" s="102">
        <v>0</v>
      </c>
      <c r="E37" s="102">
        <v>0</v>
      </c>
      <c r="F37" s="102">
        <v>0</v>
      </c>
      <c r="G37" s="102">
        <v>0</v>
      </c>
    </row>
    <row r="38" spans="1:7" x14ac:dyDescent="0.25">
      <c r="A38" s="101">
        <v>8</v>
      </c>
      <c r="B38" s="101" t="s">
        <v>1274</v>
      </c>
      <c r="C38" s="100" t="s">
        <v>1275</v>
      </c>
      <c r="D38" s="102">
        <v>0</v>
      </c>
      <c r="E38" s="102">
        <v>0</v>
      </c>
      <c r="F38" s="102">
        <v>0</v>
      </c>
      <c r="G38" s="102">
        <v>0</v>
      </c>
    </row>
    <row r="39" spans="1:7" x14ac:dyDescent="0.25">
      <c r="A39" s="101">
        <v>9</v>
      </c>
      <c r="B39" s="101" t="s">
        <v>1276</v>
      </c>
      <c r="C39" s="100" t="s">
        <v>1277</v>
      </c>
      <c r="D39" s="102">
        <v>190.82</v>
      </c>
      <c r="E39" s="102">
        <v>122.27</v>
      </c>
      <c r="F39" s="102">
        <v>191</v>
      </c>
      <c r="G39" s="102">
        <v>122</v>
      </c>
    </row>
    <row r="40" spans="1:7" x14ac:dyDescent="0.25">
      <c r="A40" s="101">
        <v>10</v>
      </c>
      <c r="B40" s="101" t="s">
        <v>1278</v>
      </c>
      <c r="C40" s="100" t="s">
        <v>1279</v>
      </c>
      <c r="D40" s="102">
        <v>0</v>
      </c>
      <c r="E40" s="102">
        <v>0</v>
      </c>
      <c r="F40" s="102">
        <v>0</v>
      </c>
      <c r="G40" s="102">
        <v>0</v>
      </c>
    </row>
    <row r="41" spans="1:7" x14ac:dyDescent="0.25">
      <c r="A41" s="101">
        <v>11</v>
      </c>
      <c r="B41" s="101" t="s">
        <v>1280</v>
      </c>
      <c r="C41" s="100" t="s">
        <v>1281</v>
      </c>
      <c r="D41" s="102">
        <v>0</v>
      </c>
      <c r="E41" s="102">
        <v>0</v>
      </c>
      <c r="F41" s="102">
        <v>0</v>
      </c>
      <c r="G41" s="102">
        <v>0</v>
      </c>
    </row>
    <row r="42" spans="1:7" x14ac:dyDescent="0.25">
      <c r="A42" s="101" t="s">
        <v>1165</v>
      </c>
      <c r="B42" s="101" t="s">
        <v>1282</v>
      </c>
      <c r="C42" s="100" t="s">
        <v>1283</v>
      </c>
      <c r="D42" s="102">
        <v>466920.67</v>
      </c>
      <c r="E42" s="102">
        <v>404617.7</v>
      </c>
      <c r="F42" s="102">
        <v>466920</v>
      </c>
      <c r="G42" s="102">
        <v>404617</v>
      </c>
    </row>
    <row r="43" spans="1:7" x14ac:dyDescent="0.25">
      <c r="A43" s="101" t="s">
        <v>1284</v>
      </c>
      <c r="B43" s="101" t="s">
        <v>1285</v>
      </c>
      <c r="C43" s="100" t="s">
        <v>1286</v>
      </c>
      <c r="D43" s="102">
        <v>142926.51</v>
      </c>
      <c r="E43" s="102">
        <v>104078.76</v>
      </c>
      <c r="F43" s="102">
        <v>142926</v>
      </c>
      <c r="G43" s="102">
        <v>104078</v>
      </c>
    </row>
    <row r="44" spans="1:7" x14ac:dyDescent="0.25">
      <c r="A44" s="101">
        <v>2</v>
      </c>
      <c r="B44" s="101" t="s">
        <v>1156</v>
      </c>
      <c r="C44" s="100" t="s">
        <v>1287</v>
      </c>
      <c r="D44" s="102">
        <v>0</v>
      </c>
      <c r="E44" s="102">
        <v>0</v>
      </c>
      <c r="F44" s="102">
        <v>0</v>
      </c>
      <c r="G44" s="102">
        <v>0</v>
      </c>
    </row>
    <row r="45" spans="1:7" x14ac:dyDescent="0.25">
      <c r="A45" s="101">
        <v>3</v>
      </c>
      <c r="B45" s="101" t="s">
        <v>1288</v>
      </c>
      <c r="C45" s="100" t="s">
        <v>1289</v>
      </c>
      <c r="D45" s="102">
        <v>7848.54</v>
      </c>
      <c r="E45" s="102">
        <v>42.3</v>
      </c>
      <c r="F45" s="102">
        <v>7849</v>
      </c>
      <c r="G45" s="102">
        <v>42</v>
      </c>
    </row>
    <row r="46" spans="1:7" x14ac:dyDescent="0.25">
      <c r="A46" s="101">
        <v>4</v>
      </c>
      <c r="B46" s="101" t="s">
        <v>1290</v>
      </c>
      <c r="C46" s="100" t="s">
        <v>1291</v>
      </c>
      <c r="D46" s="102">
        <v>266002.94</v>
      </c>
      <c r="E46" s="102">
        <v>252318.27</v>
      </c>
      <c r="F46" s="102">
        <v>266003</v>
      </c>
      <c r="G46" s="102">
        <v>252318</v>
      </c>
    </row>
    <row r="47" spans="1:7" x14ac:dyDescent="0.25">
      <c r="A47" s="101">
        <v>5</v>
      </c>
      <c r="B47" s="101" t="s">
        <v>1292</v>
      </c>
      <c r="C47" s="100" t="s">
        <v>804</v>
      </c>
      <c r="D47" s="102">
        <v>0</v>
      </c>
      <c r="E47" s="102">
        <v>0</v>
      </c>
      <c r="F47" s="102">
        <v>0</v>
      </c>
      <c r="G47" s="102">
        <v>0</v>
      </c>
    </row>
    <row r="48" spans="1:7" x14ac:dyDescent="0.25">
      <c r="A48" s="101">
        <v>6</v>
      </c>
      <c r="B48" s="101" t="s">
        <v>1293</v>
      </c>
      <c r="C48" s="100" t="s">
        <v>805</v>
      </c>
      <c r="D48" s="102">
        <v>0</v>
      </c>
      <c r="E48" s="102">
        <v>0</v>
      </c>
      <c r="F48" s="102">
        <v>0</v>
      </c>
      <c r="G48" s="102">
        <v>0</v>
      </c>
    </row>
    <row r="49" spans="1:7" x14ac:dyDescent="0.25">
      <c r="A49" s="101">
        <v>7</v>
      </c>
      <c r="B49" s="101" t="s">
        <v>1294</v>
      </c>
      <c r="C49" s="100" t="s">
        <v>1295</v>
      </c>
      <c r="D49" s="102">
        <v>4167.25</v>
      </c>
      <c r="E49" s="102">
        <v>3970.69</v>
      </c>
      <c r="F49" s="102">
        <v>4167</v>
      </c>
      <c r="G49" s="102">
        <v>3971</v>
      </c>
    </row>
    <row r="50" spans="1:7" x14ac:dyDescent="0.25">
      <c r="A50" s="101">
        <v>8</v>
      </c>
      <c r="B50" s="101" t="s">
        <v>1296</v>
      </c>
      <c r="C50" s="100" t="s">
        <v>1297</v>
      </c>
      <c r="D50" s="102">
        <v>2556.25</v>
      </c>
      <c r="E50" s="102">
        <v>2401.11</v>
      </c>
      <c r="F50" s="102">
        <v>2556</v>
      </c>
      <c r="G50" s="102">
        <v>2401</v>
      </c>
    </row>
    <row r="51" spans="1:7" x14ac:dyDescent="0.25">
      <c r="A51" s="101">
        <v>9</v>
      </c>
      <c r="B51" s="101" t="s">
        <v>1298</v>
      </c>
      <c r="C51" s="100" t="s">
        <v>1299</v>
      </c>
      <c r="D51" s="102">
        <v>2572.89</v>
      </c>
      <c r="E51" s="102">
        <v>863.74</v>
      </c>
      <c r="F51" s="102">
        <v>2573</v>
      </c>
      <c r="G51" s="102">
        <v>864</v>
      </c>
    </row>
    <row r="52" spans="1:7" x14ac:dyDescent="0.25">
      <c r="A52" s="101">
        <v>10</v>
      </c>
      <c r="B52" s="101" t="s">
        <v>1300</v>
      </c>
      <c r="C52" s="100" t="s">
        <v>1301</v>
      </c>
      <c r="D52" s="102">
        <v>40846.29</v>
      </c>
      <c r="E52" s="102">
        <v>40942.83</v>
      </c>
      <c r="F52" s="102">
        <v>40846</v>
      </c>
      <c r="G52" s="102">
        <v>40943</v>
      </c>
    </row>
    <row r="53" spans="1:7" x14ac:dyDescent="0.25">
      <c r="A53" s="101" t="s">
        <v>1180</v>
      </c>
      <c r="B53" s="101" t="s">
        <v>1302</v>
      </c>
      <c r="C53" s="100" t="s">
        <v>1303</v>
      </c>
      <c r="D53" s="102">
        <v>0</v>
      </c>
      <c r="E53" s="102">
        <v>0</v>
      </c>
      <c r="F53" s="102">
        <v>0</v>
      </c>
      <c r="G53" s="102">
        <v>0</v>
      </c>
    </row>
    <row r="54" spans="1:7" x14ac:dyDescent="0.25">
      <c r="A54" s="101" t="s">
        <v>1304</v>
      </c>
      <c r="B54" s="101" t="s">
        <v>1305</v>
      </c>
      <c r="C54" s="100" t="s">
        <v>1306</v>
      </c>
      <c r="D54" s="102">
        <v>0</v>
      </c>
      <c r="E54" s="102">
        <v>0</v>
      </c>
      <c r="F54" s="102">
        <v>0</v>
      </c>
      <c r="G54" s="102">
        <v>0</v>
      </c>
    </row>
    <row r="55" spans="1:7" x14ac:dyDescent="0.25">
      <c r="A55" s="101" t="s">
        <v>1183</v>
      </c>
      <c r="B55" s="101" t="s">
        <v>1307</v>
      </c>
      <c r="C55" s="100" t="s">
        <v>1308</v>
      </c>
      <c r="D55" s="102">
        <v>0</v>
      </c>
      <c r="E55" s="102">
        <v>0</v>
      </c>
      <c r="F55" s="102">
        <v>0</v>
      </c>
      <c r="G55" s="102">
        <v>0</v>
      </c>
    </row>
    <row r="56" spans="1:7" x14ac:dyDescent="0.25">
      <c r="A56" s="101">
        <v>2</v>
      </c>
      <c r="B56" s="101" t="s">
        <v>1309</v>
      </c>
      <c r="C56" s="100" t="s">
        <v>1310</v>
      </c>
      <c r="D56" s="102">
        <v>0</v>
      </c>
      <c r="E56" s="102">
        <v>0</v>
      </c>
      <c r="F56" s="102">
        <v>0</v>
      </c>
      <c r="G56" s="102">
        <v>0</v>
      </c>
    </row>
    <row r="57" spans="1:7" x14ac:dyDescent="0.25">
      <c r="A57" s="101" t="s">
        <v>936</v>
      </c>
      <c r="B57" s="101" t="s">
        <v>1311</v>
      </c>
      <c r="C57" s="100" t="s">
        <v>1312</v>
      </c>
      <c r="D57" s="102">
        <v>0</v>
      </c>
      <c r="E57" s="102">
        <v>0</v>
      </c>
      <c r="F57" s="102">
        <v>0</v>
      </c>
      <c r="G57" s="102">
        <v>0</v>
      </c>
    </row>
    <row r="58" spans="1:7" x14ac:dyDescent="0.25">
      <c r="A58" s="101" t="s">
        <v>939</v>
      </c>
      <c r="B58" s="101" t="s">
        <v>1313</v>
      </c>
      <c r="C58" s="100" t="s">
        <v>1314</v>
      </c>
      <c r="D58" s="102">
        <v>0</v>
      </c>
      <c r="E58" s="102">
        <v>0</v>
      </c>
      <c r="F58" s="102">
        <v>0</v>
      </c>
      <c r="G58" s="102">
        <v>0</v>
      </c>
    </row>
    <row r="59" spans="1:7" x14ac:dyDescent="0.25">
      <c r="A59" s="101">
        <v>2</v>
      </c>
      <c r="B59" s="101" t="s">
        <v>1315</v>
      </c>
      <c r="C59" s="100" t="s">
        <v>1316</v>
      </c>
      <c r="D59" s="102">
        <v>0</v>
      </c>
      <c r="E59" s="102">
        <v>0</v>
      </c>
      <c r="F59" s="102">
        <v>0</v>
      </c>
      <c r="G59" s="102">
        <v>0</v>
      </c>
    </row>
    <row r="60" spans="1:7" x14ac:dyDescent="0.25">
      <c r="A60" s="101">
        <v>3</v>
      </c>
      <c r="B60" s="101" t="s">
        <v>1317</v>
      </c>
      <c r="C60" s="100" t="s">
        <v>1318</v>
      </c>
      <c r="D60" s="102">
        <v>0</v>
      </c>
      <c r="E60" s="102">
        <v>0</v>
      </c>
      <c r="F60" s="102">
        <v>0</v>
      </c>
      <c r="G60" s="102">
        <v>0</v>
      </c>
    </row>
    <row r="61" spans="1:7" x14ac:dyDescent="0.25">
      <c r="A61" s="101">
        <v>4</v>
      </c>
      <c r="B61" s="101" t="s">
        <v>1319</v>
      </c>
      <c r="C61" s="100" t="s">
        <v>1320</v>
      </c>
      <c r="D61" s="102">
        <v>0</v>
      </c>
      <c r="E61" s="102">
        <v>0</v>
      </c>
      <c r="F61" s="102">
        <v>0</v>
      </c>
      <c r="G61" s="102">
        <v>0</v>
      </c>
    </row>
  </sheetData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67"/>
  <sheetViews>
    <sheetView workbookViewId="0">
      <selection activeCell="B2" sqref="B2"/>
    </sheetView>
  </sheetViews>
  <sheetFormatPr defaultRowHeight="15" x14ac:dyDescent="0.25"/>
  <cols>
    <col min="1" max="1" width="8.28515625" style="101" bestFit="1" customWidth="1"/>
    <col min="2" max="2" width="63.5703125" style="101" bestFit="1" customWidth="1"/>
    <col min="3" max="3" width="4.42578125" style="100" bestFit="1" customWidth="1"/>
    <col min="4" max="11" width="15.28515625" style="102" bestFit="1" customWidth="1"/>
    <col min="12" max="16384" width="9.140625" style="96"/>
  </cols>
  <sheetData>
    <row r="1" spans="1:11" ht="22.5" x14ac:dyDescent="0.25">
      <c r="A1" s="107" t="s">
        <v>230</v>
      </c>
      <c r="B1" s="107" t="s">
        <v>231</v>
      </c>
      <c r="C1" s="106" t="s">
        <v>252</v>
      </c>
      <c r="D1" s="108" t="s">
        <v>255</v>
      </c>
      <c r="E1" s="108" t="s">
        <v>256</v>
      </c>
      <c r="F1" s="108" t="s">
        <v>257</v>
      </c>
      <c r="G1" s="108" t="s">
        <v>258</v>
      </c>
      <c r="H1" s="108" t="s">
        <v>232</v>
      </c>
      <c r="I1" s="108" t="s">
        <v>233</v>
      </c>
      <c r="J1" s="108" t="s">
        <v>234</v>
      </c>
      <c r="K1" s="108" t="s">
        <v>235</v>
      </c>
    </row>
    <row r="2" spans="1:11" x14ac:dyDescent="0.25">
      <c r="B2" s="101" t="s">
        <v>1072</v>
      </c>
      <c r="C2" s="100" t="s">
        <v>1073</v>
      </c>
      <c r="D2" s="102">
        <v>185977.55</v>
      </c>
      <c r="E2" s="102">
        <v>6244.68</v>
      </c>
      <c r="F2" s="102">
        <v>179732.87</v>
      </c>
      <c r="G2" s="102">
        <v>98913.48</v>
      </c>
      <c r="H2" s="102">
        <v>185977</v>
      </c>
      <c r="I2" s="102">
        <v>6245</v>
      </c>
      <c r="J2" s="102">
        <v>179732</v>
      </c>
      <c r="K2" s="102">
        <v>98913</v>
      </c>
    </row>
    <row r="3" spans="1:11" x14ac:dyDescent="0.25">
      <c r="A3" s="101" t="s">
        <v>910</v>
      </c>
      <c r="B3" s="101" t="s">
        <v>1074</v>
      </c>
      <c r="C3" s="100" t="s">
        <v>1075</v>
      </c>
      <c r="D3" s="99">
        <v>83409.259999999995</v>
      </c>
      <c r="E3" s="99">
        <v>5828.7</v>
      </c>
      <c r="F3" s="99">
        <v>77580.56</v>
      </c>
      <c r="G3" s="99">
        <v>74296.009999999995</v>
      </c>
      <c r="H3" s="99">
        <v>83410</v>
      </c>
      <c r="I3" s="99">
        <v>5829</v>
      </c>
      <c r="J3" s="99">
        <v>77581</v>
      </c>
      <c r="K3" s="99">
        <v>74296</v>
      </c>
    </row>
    <row r="4" spans="1:11" x14ac:dyDescent="0.25">
      <c r="A4" s="101" t="s">
        <v>1076</v>
      </c>
      <c r="B4" s="101" t="s">
        <v>1077</v>
      </c>
      <c r="C4" s="100" t="s">
        <v>1078</v>
      </c>
      <c r="D4" s="102">
        <v>2419.9899999999998</v>
      </c>
      <c r="E4" s="102">
        <v>408</v>
      </c>
      <c r="F4" s="102">
        <v>2011.99</v>
      </c>
      <c r="G4" s="102">
        <v>2419.9899999999998</v>
      </c>
      <c r="H4" s="102">
        <v>2420</v>
      </c>
      <c r="I4" s="102">
        <v>408</v>
      </c>
      <c r="J4" s="102">
        <v>2012</v>
      </c>
      <c r="K4" s="102">
        <v>2420</v>
      </c>
    </row>
    <row r="5" spans="1:11" x14ac:dyDescent="0.25">
      <c r="A5" s="101" t="s">
        <v>1079</v>
      </c>
      <c r="B5" s="101" t="s">
        <v>1080</v>
      </c>
      <c r="C5" s="100" t="s">
        <v>1081</v>
      </c>
      <c r="D5" s="102">
        <v>0</v>
      </c>
      <c r="E5" s="102">
        <v>0</v>
      </c>
      <c r="F5" s="102">
        <v>0</v>
      </c>
      <c r="G5" s="102">
        <v>0</v>
      </c>
      <c r="H5" s="102">
        <v>0</v>
      </c>
      <c r="I5" s="102">
        <v>0</v>
      </c>
      <c r="J5" s="102">
        <v>0</v>
      </c>
      <c r="K5" s="102">
        <v>0</v>
      </c>
    </row>
    <row r="6" spans="1:11" x14ac:dyDescent="0.25">
      <c r="A6" s="101">
        <v>2</v>
      </c>
      <c r="B6" s="101" t="s">
        <v>1082</v>
      </c>
      <c r="C6" s="100" t="s">
        <v>1083</v>
      </c>
      <c r="D6" s="102">
        <v>2419.9899999999998</v>
      </c>
      <c r="E6" s="102">
        <v>408</v>
      </c>
      <c r="F6" s="102">
        <v>2011.99</v>
      </c>
      <c r="G6" s="102">
        <v>0</v>
      </c>
      <c r="H6" s="102">
        <v>2420</v>
      </c>
      <c r="I6" s="102">
        <v>408</v>
      </c>
      <c r="J6" s="102">
        <v>2012</v>
      </c>
      <c r="K6" s="102">
        <v>0</v>
      </c>
    </row>
    <row r="7" spans="1:11" x14ac:dyDescent="0.25">
      <c r="A7" s="101">
        <v>3</v>
      </c>
      <c r="B7" s="101" t="s">
        <v>1084</v>
      </c>
      <c r="C7" s="100" t="s">
        <v>1085</v>
      </c>
      <c r="D7" s="102">
        <v>0</v>
      </c>
      <c r="E7" s="102">
        <v>0</v>
      </c>
      <c r="F7" s="102">
        <v>0</v>
      </c>
      <c r="G7" s="102">
        <v>0</v>
      </c>
      <c r="H7" s="102">
        <v>0</v>
      </c>
      <c r="I7" s="102">
        <v>0</v>
      </c>
      <c r="J7" s="102">
        <v>0</v>
      </c>
      <c r="K7" s="102">
        <v>0</v>
      </c>
    </row>
    <row r="8" spans="1:11" x14ac:dyDescent="0.25">
      <c r="A8" s="101">
        <v>4</v>
      </c>
      <c r="B8" s="101" t="s">
        <v>1086</v>
      </c>
      <c r="C8" s="100" t="s">
        <v>1087</v>
      </c>
      <c r="D8" s="102">
        <v>0</v>
      </c>
      <c r="E8" s="102">
        <v>0</v>
      </c>
      <c r="F8" s="102">
        <v>0</v>
      </c>
      <c r="G8" s="102">
        <v>0</v>
      </c>
      <c r="H8" s="102">
        <v>0</v>
      </c>
      <c r="I8" s="102">
        <v>0</v>
      </c>
      <c r="J8" s="102">
        <v>0</v>
      </c>
      <c r="K8" s="102">
        <v>0</v>
      </c>
    </row>
    <row r="9" spans="1:11" x14ac:dyDescent="0.25">
      <c r="A9" s="101">
        <v>5</v>
      </c>
      <c r="B9" s="101" t="s">
        <v>1088</v>
      </c>
      <c r="C9" s="100" t="s">
        <v>1089</v>
      </c>
      <c r="D9" s="102">
        <v>0</v>
      </c>
      <c r="E9" s="102">
        <v>0</v>
      </c>
      <c r="F9" s="102">
        <v>0</v>
      </c>
      <c r="G9" s="102">
        <v>0</v>
      </c>
      <c r="H9" s="102">
        <v>0</v>
      </c>
      <c r="I9" s="102">
        <v>0</v>
      </c>
      <c r="J9" s="102">
        <v>0</v>
      </c>
      <c r="K9" s="102">
        <v>0</v>
      </c>
    </row>
    <row r="10" spans="1:11" x14ac:dyDescent="0.25">
      <c r="A10" s="101">
        <v>6</v>
      </c>
      <c r="B10" s="101" t="s">
        <v>1090</v>
      </c>
      <c r="C10" s="100" t="s">
        <v>1091</v>
      </c>
      <c r="D10" s="102">
        <v>0</v>
      </c>
      <c r="E10" s="102">
        <v>0</v>
      </c>
      <c r="F10" s="102">
        <v>0</v>
      </c>
      <c r="G10" s="102">
        <v>2419.9899999999998</v>
      </c>
      <c r="H10" s="102">
        <v>0</v>
      </c>
      <c r="I10" s="102">
        <v>0</v>
      </c>
      <c r="J10" s="102">
        <v>0</v>
      </c>
      <c r="K10" s="102">
        <v>2420</v>
      </c>
    </row>
    <row r="11" spans="1:11" x14ac:dyDescent="0.25">
      <c r="A11" s="101">
        <v>7</v>
      </c>
      <c r="B11" s="101" t="s">
        <v>1092</v>
      </c>
      <c r="C11" s="100" t="s">
        <v>1093</v>
      </c>
      <c r="D11" s="102">
        <v>0</v>
      </c>
      <c r="E11" s="102">
        <v>0</v>
      </c>
      <c r="F11" s="102">
        <v>0</v>
      </c>
      <c r="G11" s="102">
        <v>0</v>
      </c>
      <c r="H11" s="102">
        <v>0</v>
      </c>
      <c r="I11" s="102">
        <v>0</v>
      </c>
      <c r="J11" s="102">
        <v>0</v>
      </c>
      <c r="K11" s="102">
        <v>0</v>
      </c>
    </row>
    <row r="12" spans="1:11" x14ac:dyDescent="0.25">
      <c r="A12" s="101" t="s">
        <v>1094</v>
      </c>
      <c r="B12" s="101" t="s">
        <v>1095</v>
      </c>
      <c r="C12" s="100" t="s">
        <v>1096</v>
      </c>
      <c r="D12" s="102">
        <v>80989.27</v>
      </c>
      <c r="E12" s="102">
        <v>5420.7</v>
      </c>
      <c r="F12" s="102">
        <v>75568.570000000007</v>
      </c>
      <c r="G12" s="102">
        <v>71876.02</v>
      </c>
      <c r="H12" s="102">
        <v>80990</v>
      </c>
      <c r="I12" s="102">
        <v>5421</v>
      </c>
      <c r="J12" s="102">
        <v>75569</v>
      </c>
      <c r="K12" s="102">
        <v>71876</v>
      </c>
    </row>
    <row r="13" spans="1:11" x14ac:dyDescent="0.25">
      <c r="A13" s="101" t="s">
        <v>1097</v>
      </c>
      <c r="B13" s="101" t="s">
        <v>1098</v>
      </c>
      <c r="C13" s="100" t="s">
        <v>1099</v>
      </c>
      <c r="D13" s="102">
        <v>0</v>
      </c>
      <c r="E13" s="102">
        <v>0</v>
      </c>
      <c r="F13" s="102">
        <v>0</v>
      </c>
      <c r="G13" s="102">
        <v>0</v>
      </c>
      <c r="H13" s="102">
        <v>0</v>
      </c>
      <c r="I13" s="102">
        <v>0</v>
      </c>
      <c r="J13" s="102">
        <v>0</v>
      </c>
      <c r="K13" s="102">
        <v>0</v>
      </c>
    </row>
    <row r="14" spans="1:11" x14ac:dyDescent="0.25">
      <c r="A14" s="101">
        <v>2</v>
      </c>
      <c r="B14" s="101" t="s">
        <v>1100</v>
      </c>
      <c r="C14" s="100" t="s">
        <v>792</v>
      </c>
      <c r="D14" s="102">
        <v>57355.95</v>
      </c>
      <c r="E14" s="102">
        <v>1911.92</v>
      </c>
      <c r="F14" s="102">
        <v>55444.03</v>
      </c>
      <c r="G14" s="102">
        <v>0</v>
      </c>
      <c r="H14" s="102">
        <v>57356</v>
      </c>
      <c r="I14" s="102">
        <v>1912</v>
      </c>
      <c r="J14" s="102">
        <v>55444</v>
      </c>
      <c r="K14" s="102">
        <v>0</v>
      </c>
    </row>
    <row r="15" spans="1:11" x14ac:dyDescent="0.25">
      <c r="A15" s="101">
        <v>3</v>
      </c>
      <c r="B15" s="101" t="s">
        <v>1101</v>
      </c>
      <c r="C15" s="100" t="s">
        <v>1102</v>
      </c>
      <c r="D15" s="102">
        <v>20894.5</v>
      </c>
      <c r="E15" s="102">
        <v>2638.96</v>
      </c>
      <c r="F15" s="102">
        <v>18255.54</v>
      </c>
      <c r="G15" s="102">
        <v>0</v>
      </c>
      <c r="H15" s="102">
        <v>20895</v>
      </c>
      <c r="I15" s="102">
        <v>2639</v>
      </c>
      <c r="J15" s="102">
        <v>18256</v>
      </c>
      <c r="K15" s="102">
        <v>0</v>
      </c>
    </row>
    <row r="16" spans="1:11" x14ac:dyDescent="0.25">
      <c r="A16" s="101">
        <v>4</v>
      </c>
      <c r="B16" s="101" t="s">
        <v>1103</v>
      </c>
      <c r="C16" s="100" t="s">
        <v>1104</v>
      </c>
      <c r="D16" s="102">
        <v>0</v>
      </c>
      <c r="E16" s="102">
        <v>0</v>
      </c>
      <c r="F16" s="102">
        <v>0</v>
      </c>
      <c r="G16" s="102">
        <v>0</v>
      </c>
      <c r="H16" s="102">
        <v>0</v>
      </c>
      <c r="I16" s="102">
        <v>0</v>
      </c>
      <c r="J16" s="102">
        <v>0</v>
      </c>
      <c r="K16" s="102">
        <v>0</v>
      </c>
    </row>
    <row r="17" spans="1:11" x14ac:dyDescent="0.25">
      <c r="A17" s="101">
        <v>5</v>
      </c>
      <c r="B17" s="101" t="s">
        <v>1105</v>
      </c>
      <c r="C17" s="100" t="s">
        <v>1106</v>
      </c>
      <c r="D17" s="102">
        <v>0</v>
      </c>
      <c r="E17" s="102">
        <v>0</v>
      </c>
      <c r="F17" s="102">
        <v>0</v>
      </c>
      <c r="G17" s="102">
        <v>0</v>
      </c>
      <c r="H17" s="102">
        <v>0</v>
      </c>
      <c r="I17" s="102">
        <v>0</v>
      </c>
      <c r="J17" s="102">
        <v>0</v>
      </c>
      <c r="K17" s="102">
        <v>0</v>
      </c>
    </row>
    <row r="18" spans="1:11" x14ac:dyDescent="0.25">
      <c r="A18" s="101">
        <v>6</v>
      </c>
      <c r="B18" s="101" t="s">
        <v>1107</v>
      </c>
      <c r="C18" s="100" t="s">
        <v>1108</v>
      </c>
      <c r="D18" s="102">
        <v>2738.82</v>
      </c>
      <c r="E18" s="102">
        <v>869.82</v>
      </c>
      <c r="F18" s="102">
        <v>1869</v>
      </c>
      <c r="G18" s="102">
        <v>0</v>
      </c>
      <c r="H18" s="102">
        <v>2739</v>
      </c>
      <c r="I18" s="102">
        <v>870</v>
      </c>
      <c r="J18" s="102">
        <v>1869</v>
      </c>
      <c r="K18" s="102">
        <v>0</v>
      </c>
    </row>
    <row r="19" spans="1:11" x14ac:dyDescent="0.25">
      <c r="A19" s="101">
        <v>7</v>
      </c>
      <c r="B19" s="101" t="s">
        <v>1109</v>
      </c>
      <c r="C19" s="100" t="s">
        <v>1110</v>
      </c>
      <c r="D19" s="102">
        <v>0</v>
      </c>
      <c r="E19" s="102">
        <v>0</v>
      </c>
      <c r="F19" s="102">
        <v>0</v>
      </c>
      <c r="G19" s="102">
        <v>71876.02</v>
      </c>
      <c r="H19" s="102">
        <v>0</v>
      </c>
      <c r="I19" s="102">
        <v>0</v>
      </c>
      <c r="J19" s="102">
        <v>0</v>
      </c>
      <c r="K19" s="102">
        <v>71876</v>
      </c>
    </row>
    <row r="20" spans="1:11" x14ac:dyDescent="0.25">
      <c r="A20" s="101">
        <v>8</v>
      </c>
      <c r="B20" s="101" t="s">
        <v>1111</v>
      </c>
      <c r="C20" s="100" t="s">
        <v>1112</v>
      </c>
      <c r="D20" s="102">
        <v>0</v>
      </c>
      <c r="E20" s="102">
        <v>0</v>
      </c>
      <c r="F20" s="102">
        <v>0</v>
      </c>
      <c r="G20" s="102">
        <v>0</v>
      </c>
      <c r="H20" s="102">
        <v>0</v>
      </c>
      <c r="I20" s="102">
        <v>0</v>
      </c>
      <c r="J20" s="102">
        <v>0</v>
      </c>
      <c r="K20" s="102">
        <v>0</v>
      </c>
    </row>
    <row r="21" spans="1:11" x14ac:dyDescent="0.25">
      <c r="A21" s="101">
        <v>9</v>
      </c>
      <c r="B21" s="101" t="s">
        <v>1113</v>
      </c>
      <c r="C21" s="100" t="s">
        <v>1114</v>
      </c>
      <c r="D21" s="102">
        <v>0</v>
      </c>
      <c r="E21" s="102">
        <v>0</v>
      </c>
      <c r="F21" s="102">
        <v>0</v>
      </c>
      <c r="G21" s="102">
        <v>0</v>
      </c>
      <c r="H21" s="102">
        <v>0</v>
      </c>
      <c r="I21" s="102">
        <v>0</v>
      </c>
      <c r="J21" s="102">
        <v>0</v>
      </c>
      <c r="K21" s="102">
        <v>0</v>
      </c>
    </row>
    <row r="22" spans="1:11" x14ac:dyDescent="0.25">
      <c r="A22" s="101" t="s">
        <v>1115</v>
      </c>
      <c r="B22" s="101" t="s">
        <v>1116</v>
      </c>
      <c r="C22" s="100" t="s">
        <v>793</v>
      </c>
      <c r="D22" s="102">
        <v>0</v>
      </c>
      <c r="E22" s="102">
        <v>0</v>
      </c>
      <c r="F22" s="102">
        <v>0</v>
      </c>
      <c r="G22" s="102">
        <v>0</v>
      </c>
      <c r="H22" s="102">
        <v>0</v>
      </c>
      <c r="I22" s="102">
        <v>0</v>
      </c>
      <c r="J22" s="102">
        <v>0</v>
      </c>
      <c r="K22" s="102">
        <v>0</v>
      </c>
    </row>
    <row r="23" spans="1:11" x14ac:dyDescent="0.25">
      <c r="A23" s="101" t="s">
        <v>1117</v>
      </c>
      <c r="B23" s="101" t="s">
        <v>1118</v>
      </c>
      <c r="C23" s="100" t="s">
        <v>794</v>
      </c>
      <c r="D23" s="102">
        <v>0</v>
      </c>
      <c r="E23" s="102">
        <v>0</v>
      </c>
      <c r="F23" s="102">
        <v>0</v>
      </c>
      <c r="G23" s="102">
        <v>0</v>
      </c>
      <c r="H23" s="102">
        <v>0</v>
      </c>
      <c r="I23" s="102">
        <v>0</v>
      </c>
      <c r="J23" s="102">
        <v>0</v>
      </c>
      <c r="K23" s="102">
        <v>0</v>
      </c>
    </row>
    <row r="24" spans="1:11" x14ac:dyDescent="0.25">
      <c r="A24" s="101">
        <v>2</v>
      </c>
      <c r="B24" s="101" t="s">
        <v>1119</v>
      </c>
      <c r="C24" s="100" t="s">
        <v>1120</v>
      </c>
      <c r="D24" s="102">
        <v>0</v>
      </c>
      <c r="E24" s="102">
        <v>0</v>
      </c>
      <c r="F24" s="102">
        <v>0</v>
      </c>
      <c r="G24" s="102">
        <v>0</v>
      </c>
      <c r="H24" s="102">
        <v>0</v>
      </c>
      <c r="I24" s="102">
        <v>0</v>
      </c>
      <c r="J24" s="102">
        <v>0</v>
      </c>
      <c r="K24" s="102">
        <v>0</v>
      </c>
    </row>
    <row r="25" spans="1:11" x14ac:dyDescent="0.25">
      <c r="A25" s="101">
        <v>3</v>
      </c>
      <c r="B25" s="101" t="s">
        <v>1121</v>
      </c>
      <c r="C25" s="100" t="s">
        <v>1122</v>
      </c>
      <c r="D25" s="102">
        <v>0</v>
      </c>
      <c r="E25" s="102">
        <v>0</v>
      </c>
      <c r="F25" s="102">
        <v>0</v>
      </c>
      <c r="G25" s="102">
        <v>0</v>
      </c>
      <c r="H25" s="102">
        <v>0</v>
      </c>
      <c r="I25" s="102">
        <v>0</v>
      </c>
      <c r="J25" s="102">
        <v>0</v>
      </c>
      <c r="K25" s="102">
        <v>0</v>
      </c>
    </row>
    <row r="26" spans="1:11" x14ac:dyDescent="0.25">
      <c r="A26" s="101">
        <v>4</v>
      </c>
      <c r="B26" s="101" t="s">
        <v>1123</v>
      </c>
      <c r="C26" s="100" t="s">
        <v>1124</v>
      </c>
      <c r="D26" s="102">
        <v>0</v>
      </c>
      <c r="E26" s="102">
        <v>0</v>
      </c>
      <c r="F26" s="102">
        <v>0</v>
      </c>
      <c r="G26" s="102">
        <v>0</v>
      </c>
      <c r="H26" s="102">
        <v>0</v>
      </c>
      <c r="I26" s="102">
        <v>0</v>
      </c>
      <c r="J26" s="102">
        <v>0</v>
      </c>
      <c r="K26" s="102">
        <v>0</v>
      </c>
    </row>
    <row r="27" spans="1:11" x14ac:dyDescent="0.25">
      <c r="A27" s="101">
        <v>5</v>
      </c>
      <c r="B27" s="101" t="s">
        <v>1125</v>
      </c>
      <c r="C27" s="100" t="s">
        <v>1126</v>
      </c>
      <c r="D27" s="102">
        <v>0</v>
      </c>
      <c r="E27" s="102">
        <v>0</v>
      </c>
      <c r="F27" s="102">
        <v>0</v>
      </c>
      <c r="G27" s="102">
        <v>0</v>
      </c>
      <c r="H27" s="102">
        <v>0</v>
      </c>
      <c r="I27" s="102">
        <v>0</v>
      </c>
      <c r="J27" s="102">
        <v>0</v>
      </c>
      <c r="K27" s="102">
        <v>0</v>
      </c>
    </row>
    <row r="28" spans="1:11" x14ac:dyDescent="0.25">
      <c r="A28" s="101">
        <v>6</v>
      </c>
      <c r="B28" s="101" t="s">
        <v>1127</v>
      </c>
      <c r="C28" s="100" t="s">
        <v>1128</v>
      </c>
      <c r="D28" s="102">
        <v>0</v>
      </c>
      <c r="E28" s="102">
        <v>0</v>
      </c>
      <c r="F28" s="102">
        <v>0</v>
      </c>
      <c r="G28" s="102">
        <v>0</v>
      </c>
      <c r="H28" s="102">
        <v>0</v>
      </c>
      <c r="I28" s="102">
        <v>0</v>
      </c>
      <c r="J28" s="102">
        <v>0</v>
      </c>
      <c r="K28" s="102">
        <v>0</v>
      </c>
    </row>
    <row r="29" spans="1:11" x14ac:dyDescent="0.25">
      <c r="A29" s="101">
        <v>7</v>
      </c>
      <c r="B29" s="101" t="s">
        <v>1129</v>
      </c>
      <c r="C29" s="100" t="s">
        <v>1130</v>
      </c>
      <c r="D29" s="102">
        <v>0</v>
      </c>
      <c r="E29" s="102">
        <v>0</v>
      </c>
      <c r="F29" s="102">
        <v>0</v>
      </c>
      <c r="G29" s="102">
        <v>0</v>
      </c>
      <c r="H29" s="102">
        <v>0</v>
      </c>
      <c r="I29" s="102">
        <v>0</v>
      </c>
      <c r="J29" s="102">
        <v>0</v>
      </c>
      <c r="K29" s="102">
        <v>0</v>
      </c>
    </row>
    <row r="30" spans="1:11" x14ac:dyDescent="0.25">
      <c r="A30" s="101">
        <v>8</v>
      </c>
      <c r="B30" s="101" t="s">
        <v>1131</v>
      </c>
      <c r="C30" s="100" t="s">
        <v>796</v>
      </c>
      <c r="D30" s="102">
        <v>0</v>
      </c>
      <c r="E30" s="102">
        <v>0</v>
      </c>
      <c r="F30" s="102">
        <v>0</v>
      </c>
      <c r="G30" s="102">
        <v>0</v>
      </c>
      <c r="H30" s="102">
        <v>0</v>
      </c>
      <c r="I30" s="102">
        <v>0</v>
      </c>
      <c r="J30" s="102">
        <v>0</v>
      </c>
      <c r="K30" s="102">
        <v>0</v>
      </c>
    </row>
    <row r="31" spans="1:11" x14ac:dyDescent="0.25">
      <c r="A31" s="101" t="s">
        <v>926</v>
      </c>
      <c r="B31" s="101" t="s">
        <v>1132</v>
      </c>
      <c r="C31" s="100" t="s">
        <v>1133</v>
      </c>
      <c r="D31" s="102">
        <v>100796.8</v>
      </c>
      <c r="E31" s="102">
        <v>415.98</v>
      </c>
      <c r="F31" s="102">
        <v>100380.82</v>
      </c>
      <c r="G31" s="102">
        <v>24617.47</v>
      </c>
      <c r="H31" s="102">
        <v>100796</v>
      </c>
      <c r="I31" s="102">
        <v>416</v>
      </c>
      <c r="J31" s="102">
        <v>100380</v>
      </c>
      <c r="K31" s="102">
        <v>24617</v>
      </c>
    </row>
    <row r="32" spans="1:11" x14ac:dyDescent="0.25">
      <c r="A32" s="101" t="s">
        <v>1134</v>
      </c>
      <c r="B32" s="101" t="s">
        <v>1135</v>
      </c>
      <c r="C32" s="100" t="s">
        <v>1136</v>
      </c>
      <c r="D32" s="102">
        <v>39495.74</v>
      </c>
      <c r="E32" s="102">
        <v>415.98</v>
      </c>
      <c r="F32" s="102">
        <v>39079.760000000002</v>
      </c>
      <c r="G32" s="102">
        <v>0</v>
      </c>
      <c r="H32" s="102">
        <v>39496</v>
      </c>
      <c r="I32" s="102">
        <v>416</v>
      </c>
      <c r="J32" s="102">
        <v>39080</v>
      </c>
      <c r="K32" s="102">
        <v>0</v>
      </c>
    </row>
    <row r="33" spans="1:11" x14ac:dyDescent="0.25">
      <c r="A33" s="101" t="s">
        <v>1137</v>
      </c>
      <c r="B33" s="101" t="s">
        <v>1138</v>
      </c>
      <c r="C33" s="100" t="s">
        <v>1139</v>
      </c>
      <c r="D33" s="102">
        <v>0</v>
      </c>
      <c r="E33" s="102">
        <v>0</v>
      </c>
      <c r="F33" s="102">
        <v>0</v>
      </c>
      <c r="G33" s="102">
        <v>0</v>
      </c>
      <c r="H33" s="102">
        <v>0</v>
      </c>
      <c r="I33" s="102">
        <v>0</v>
      </c>
      <c r="J33" s="102">
        <v>0</v>
      </c>
      <c r="K33" s="102">
        <v>0</v>
      </c>
    </row>
    <row r="34" spans="1:11" x14ac:dyDescent="0.25">
      <c r="A34" s="101">
        <v>2</v>
      </c>
      <c r="B34" s="101" t="s">
        <v>1140</v>
      </c>
      <c r="C34" s="100" t="s">
        <v>1141</v>
      </c>
      <c r="D34" s="102">
        <v>0</v>
      </c>
      <c r="E34" s="102">
        <v>0</v>
      </c>
      <c r="F34" s="102">
        <v>0</v>
      </c>
      <c r="G34" s="102">
        <v>0</v>
      </c>
      <c r="H34" s="102">
        <v>0</v>
      </c>
      <c r="I34" s="102">
        <v>0</v>
      </c>
      <c r="J34" s="102">
        <v>0</v>
      </c>
      <c r="K34" s="102">
        <v>0</v>
      </c>
    </row>
    <row r="35" spans="1:11" x14ac:dyDescent="0.25">
      <c r="A35" s="101">
        <v>3</v>
      </c>
      <c r="B35" s="101" t="s">
        <v>1142</v>
      </c>
      <c r="C35" s="100" t="s">
        <v>1143</v>
      </c>
      <c r="D35" s="102">
        <v>0</v>
      </c>
      <c r="E35" s="102">
        <v>0</v>
      </c>
      <c r="F35" s="102">
        <v>0</v>
      </c>
      <c r="G35" s="102">
        <v>0</v>
      </c>
      <c r="H35" s="102">
        <v>0</v>
      </c>
      <c r="I35" s="102">
        <v>0</v>
      </c>
      <c r="J35" s="102">
        <v>0</v>
      </c>
      <c r="K35" s="102">
        <v>0</v>
      </c>
    </row>
    <row r="36" spans="1:11" x14ac:dyDescent="0.25">
      <c r="A36" s="101">
        <v>4</v>
      </c>
      <c r="B36" s="101" t="s">
        <v>1144</v>
      </c>
      <c r="C36" s="100" t="s">
        <v>1145</v>
      </c>
      <c r="D36" s="102">
        <v>0</v>
      </c>
      <c r="E36" s="102">
        <v>0</v>
      </c>
      <c r="F36" s="102">
        <v>0</v>
      </c>
      <c r="G36" s="102">
        <v>0</v>
      </c>
      <c r="H36" s="102">
        <v>0</v>
      </c>
      <c r="I36" s="102">
        <v>0</v>
      </c>
      <c r="J36" s="102">
        <v>0</v>
      </c>
      <c r="K36" s="102">
        <v>0</v>
      </c>
    </row>
    <row r="37" spans="1:11" x14ac:dyDescent="0.25">
      <c r="A37" s="101">
        <v>5</v>
      </c>
      <c r="B37" s="101" t="s">
        <v>1146</v>
      </c>
      <c r="C37" s="100" t="s">
        <v>1147</v>
      </c>
      <c r="D37" s="102">
        <v>39495.74</v>
      </c>
      <c r="E37" s="102">
        <v>415.98</v>
      </c>
      <c r="F37" s="102">
        <v>39079.760000000002</v>
      </c>
      <c r="G37" s="102">
        <v>0</v>
      </c>
      <c r="H37" s="102">
        <v>39496</v>
      </c>
      <c r="I37" s="102">
        <v>416</v>
      </c>
      <c r="J37" s="102">
        <v>39080</v>
      </c>
      <c r="K37" s="102">
        <v>0</v>
      </c>
    </row>
    <row r="38" spans="1:11" x14ac:dyDescent="0.25">
      <c r="A38" s="101">
        <v>6</v>
      </c>
      <c r="B38" s="101" t="s">
        <v>1148</v>
      </c>
      <c r="C38" s="100" t="s">
        <v>1149</v>
      </c>
      <c r="D38" s="102">
        <v>0</v>
      </c>
      <c r="E38" s="102">
        <v>0</v>
      </c>
      <c r="F38" s="102">
        <v>0</v>
      </c>
      <c r="G38" s="102">
        <v>0</v>
      </c>
      <c r="H38" s="102">
        <v>0</v>
      </c>
      <c r="I38" s="102">
        <v>0</v>
      </c>
      <c r="J38" s="102">
        <v>0</v>
      </c>
      <c r="K38" s="102">
        <v>0</v>
      </c>
    </row>
    <row r="39" spans="1:11" x14ac:dyDescent="0.25">
      <c r="A39" s="101" t="s">
        <v>1150</v>
      </c>
      <c r="B39" s="101" t="s">
        <v>1151</v>
      </c>
      <c r="C39" s="100" t="s">
        <v>1152</v>
      </c>
      <c r="D39" s="102">
        <v>8475.65</v>
      </c>
      <c r="E39" s="102">
        <v>0</v>
      </c>
      <c r="F39" s="102">
        <v>8475.65</v>
      </c>
      <c r="G39" s="102">
        <v>8311.2000000000007</v>
      </c>
      <c r="H39" s="102">
        <v>8475</v>
      </c>
      <c r="I39" s="102">
        <v>0</v>
      </c>
      <c r="J39" s="102">
        <v>8475</v>
      </c>
      <c r="K39" s="102">
        <v>8311</v>
      </c>
    </row>
    <row r="40" spans="1:11" x14ac:dyDescent="0.25">
      <c r="A40" s="101" t="s">
        <v>1153</v>
      </c>
      <c r="B40" s="101" t="s">
        <v>1154</v>
      </c>
      <c r="C40" s="100" t="s">
        <v>1155</v>
      </c>
      <c r="D40" s="102">
        <v>8311.2000000000007</v>
      </c>
      <c r="E40" s="102">
        <v>0</v>
      </c>
      <c r="F40" s="102">
        <v>8311.2000000000007</v>
      </c>
      <c r="G40" s="102">
        <v>8311.2000000000007</v>
      </c>
      <c r="H40" s="102">
        <v>8311</v>
      </c>
      <c r="I40" s="102">
        <v>0</v>
      </c>
      <c r="J40" s="102">
        <v>8311</v>
      </c>
      <c r="K40" s="102">
        <v>8311</v>
      </c>
    </row>
    <row r="41" spans="1:11" x14ac:dyDescent="0.25">
      <c r="A41" s="101">
        <v>2</v>
      </c>
      <c r="B41" s="101" t="s">
        <v>1156</v>
      </c>
      <c r="C41" s="100" t="s">
        <v>1157</v>
      </c>
      <c r="D41" s="102">
        <v>0</v>
      </c>
      <c r="E41" s="102">
        <v>0</v>
      </c>
      <c r="F41" s="102">
        <v>0</v>
      </c>
      <c r="G41" s="102">
        <v>0</v>
      </c>
      <c r="H41" s="102">
        <v>0</v>
      </c>
      <c r="I41" s="102">
        <v>0</v>
      </c>
      <c r="J41" s="102">
        <v>0</v>
      </c>
      <c r="K41" s="102">
        <v>0</v>
      </c>
    </row>
    <row r="42" spans="1:11" x14ac:dyDescent="0.25">
      <c r="A42" s="101">
        <v>3</v>
      </c>
      <c r="B42" s="101" t="s">
        <v>1158</v>
      </c>
      <c r="C42" s="100" t="s">
        <v>898</v>
      </c>
      <c r="D42" s="102">
        <v>0</v>
      </c>
      <c r="E42" s="102">
        <v>0</v>
      </c>
      <c r="F42" s="102">
        <v>0</v>
      </c>
      <c r="G42" s="102">
        <v>0</v>
      </c>
      <c r="H42" s="102">
        <v>0</v>
      </c>
      <c r="I42" s="102">
        <v>0</v>
      </c>
      <c r="J42" s="102">
        <v>0</v>
      </c>
      <c r="K42" s="102">
        <v>0</v>
      </c>
    </row>
    <row r="43" spans="1:11" x14ac:dyDescent="0.25">
      <c r="A43" s="101">
        <v>4</v>
      </c>
      <c r="B43" s="101" t="s">
        <v>1159</v>
      </c>
      <c r="C43" s="100" t="s">
        <v>899</v>
      </c>
      <c r="D43" s="102">
        <v>0</v>
      </c>
      <c r="E43" s="102">
        <v>0</v>
      </c>
      <c r="F43" s="102">
        <v>0</v>
      </c>
      <c r="G43" s="102">
        <v>0</v>
      </c>
      <c r="H43" s="102">
        <v>0</v>
      </c>
      <c r="I43" s="102">
        <v>0</v>
      </c>
      <c r="J43" s="102">
        <v>0</v>
      </c>
      <c r="K43" s="102">
        <v>0</v>
      </c>
    </row>
    <row r="44" spans="1:11" x14ac:dyDescent="0.25">
      <c r="A44" s="101">
        <v>5</v>
      </c>
      <c r="B44" s="101" t="s">
        <v>1160</v>
      </c>
      <c r="C44" s="100" t="s">
        <v>900</v>
      </c>
      <c r="D44" s="102">
        <v>0</v>
      </c>
      <c r="E44" s="102">
        <v>0</v>
      </c>
      <c r="F44" s="102">
        <v>0</v>
      </c>
      <c r="G44" s="102">
        <v>0</v>
      </c>
      <c r="H44" s="102">
        <v>0</v>
      </c>
      <c r="I44" s="102">
        <v>0</v>
      </c>
      <c r="J44" s="102">
        <v>0</v>
      </c>
      <c r="K44" s="102">
        <v>0</v>
      </c>
    </row>
    <row r="45" spans="1:11" x14ac:dyDescent="0.25">
      <c r="A45" s="101">
        <v>6</v>
      </c>
      <c r="B45" s="101" t="s">
        <v>1161</v>
      </c>
      <c r="C45" s="100" t="s">
        <v>1162</v>
      </c>
      <c r="D45" s="102">
        <v>0</v>
      </c>
      <c r="E45" s="102">
        <v>0</v>
      </c>
      <c r="F45" s="102">
        <v>0</v>
      </c>
      <c r="G45" s="102">
        <v>0</v>
      </c>
      <c r="H45" s="102">
        <v>0</v>
      </c>
      <c r="I45" s="102">
        <v>0</v>
      </c>
      <c r="J45" s="102">
        <v>0</v>
      </c>
      <c r="K45" s="102">
        <v>0</v>
      </c>
    </row>
    <row r="46" spans="1:11" x14ac:dyDescent="0.25">
      <c r="A46" s="101">
        <v>7</v>
      </c>
      <c r="B46" s="101" t="s">
        <v>1163</v>
      </c>
      <c r="C46" s="100" t="s">
        <v>1164</v>
      </c>
      <c r="D46" s="102">
        <v>164.45</v>
      </c>
      <c r="E46" s="102">
        <v>0</v>
      </c>
      <c r="F46" s="102">
        <v>164.45</v>
      </c>
      <c r="G46" s="102">
        <v>0</v>
      </c>
      <c r="H46" s="102">
        <v>164</v>
      </c>
      <c r="I46" s="102">
        <v>0</v>
      </c>
      <c r="J46" s="102">
        <v>164</v>
      </c>
      <c r="K46" s="102">
        <v>0</v>
      </c>
    </row>
    <row r="47" spans="1:11" x14ac:dyDescent="0.25">
      <c r="A47" s="101" t="s">
        <v>1165</v>
      </c>
      <c r="B47" s="101" t="s">
        <v>1166</v>
      </c>
      <c r="C47" s="100" t="s">
        <v>1167</v>
      </c>
      <c r="D47" s="102">
        <v>44708.13</v>
      </c>
      <c r="E47" s="102">
        <v>0</v>
      </c>
      <c r="F47" s="102">
        <v>44708.13</v>
      </c>
      <c r="G47" s="102">
        <v>16288.82</v>
      </c>
      <c r="H47" s="102">
        <v>44708</v>
      </c>
      <c r="I47" s="102">
        <v>0</v>
      </c>
      <c r="J47" s="102">
        <v>44708</v>
      </c>
      <c r="K47" s="102">
        <v>16289</v>
      </c>
    </row>
    <row r="48" spans="1:11" x14ac:dyDescent="0.25">
      <c r="A48" s="101" t="s">
        <v>1168</v>
      </c>
      <c r="B48" s="101" t="s">
        <v>1154</v>
      </c>
      <c r="C48" s="100" t="s">
        <v>1169</v>
      </c>
      <c r="D48" s="102">
        <v>44708.13</v>
      </c>
      <c r="E48" s="102">
        <v>0</v>
      </c>
      <c r="F48" s="102">
        <v>44708.13</v>
      </c>
      <c r="G48" s="102">
        <v>0</v>
      </c>
      <c r="H48" s="102">
        <v>44708</v>
      </c>
      <c r="I48" s="102">
        <v>0</v>
      </c>
      <c r="J48" s="102">
        <v>44708</v>
      </c>
      <c r="K48" s="102">
        <v>0</v>
      </c>
    </row>
    <row r="49" spans="1:11" x14ac:dyDescent="0.25">
      <c r="A49" s="101">
        <v>2</v>
      </c>
      <c r="B49" s="101" t="s">
        <v>1156</v>
      </c>
      <c r="C49" s="100" t="s">
        <v>1170</v>
      </c>
      <c r="D49" s="102">
        <v>0</v>
      </c>
      <c r="E49" s="102">
        <v>0</v>
      </c>
      <c r="F49" s="102">
        <v>0</v>
      </c>
      <c r="G49" s="102">
        <v>0</v>
      </c>
      <c r="H49" s="102">
        <v>0</v>
      </c>
      <c r="I49" s="102">
        <v>0</v>
      </c>
      <c r="J49" s="102">
        <v>0</v>
      </c>
      <c r="K49" s="102">
        <v>0</v>
      </c>
    </row>
    <row r="50" spans="1:11" x14ac:dyDescent="0.25">
      <c r="A50" s="101">
        <v>3</v>
      </c>
      <c r="B50" s="101" t="s">
        <v>1158</v>
      </c>
      <c r="C50" s="100" t="s">
        <v>1171</v>
      </c>
      <c r="D50" s="102">
        <v>0</v>
      </c>
      <c r="E50" s="102">
        <v>0</v>
      </c>
      <c r="F50" s="102">
        <v>0</v>
      </c>
      <c r="G50" s="102">
        <v>0</v>
      </c>
      <c r="H50" s="102">
        <v>0</v>
      </c>
      <c r="I50" s="102">
        <v>0</v>
      </c>
      <c r="J50" s="102">
        <v>0</v>
      </c>
      <c r="K50" s="102">
        <v>0</v>
      </c>
    </row>
    <row r="51" spans="1:11" x14ac:dyDescent="0.25">
      <c r="A51" s="101">
        <v>4</v>
      </c>
      <c r="B51" s="101" t="s">
        <v>1159</v>
      </c>
      <c r="C51" s="100" t="s">
        <v>1172</v>
      </c>
      <c r="D51" s="102">
        <v>0</v>
      </c>
      <c r="E51" s="102">
        <v>0</v>
      </c>
      <c r="F51" s="102">
        <v>0</v>
      </c>
      <c r="G51" s="102">
        <v>0</v>
      </c>
      <c r="H51" s="102">
        <v>0</v>
      </c>
      <c r="I51" s="102">
        <v>0</v>
      </c>
      <c r="J51" s="102">
        <v>0</v>
      </c>
      <c r="K51" s="102">
        <v>0</v>
      </c>
    </row>
    <row r="52" spans="1:11" x14ac:dyDescent="0.25">
      <c r="A52" s="101">
        <v>5</v>
      </c>
      <c r="B52" s="101" t="s">
        <v>1173</v>
      </c>
      <c r="C52" s="100" t="s">
        <v>1174</v>
      </c>
      <c r="D52" s="102">
        <v>0</v>
      </c>
      <c r="E52" s="102">
        <v>0</v>
      </c>
      <c r="F52" s="102">
        <v>0</v>
      </c>
      <c r="G52" s="102">
        <v>0</v>
      </c>
      <c r="H52" s="102">
        <v>0</v>
      </c>
      <c r="I52" s="102">
        <v>0</v>
      </c>
      <c r="J52" s="102">
        <v>0</v>
      </c>
      <c r="K52" s="102">
        <v>0</v>
      </c>
    </row>
    <row r="53" spans="1:11" x14ac:dyDescent="0.25">
      <c r="A53" s="101">
        <v>6</v>
      </c>
      <c r="B53" s="101" t="s">
        <v>1175</v>
      </c>
      <c r="C53" s="100" t="s">
        <v>1176</v>
      </c>
      <c r="D53" s="102">
        <v>0</v>
      </c>
      <c r="E53" s="102">
        <v>0</v>
      </c>
      <c r="F53" s="102">
        <v>0</v>
      </c>
      <c r="G53" s="102">
        <v>0</v>
      </c>
      <c r="H53" s="102">
        <v>0</v>
      </c>
      <c r="I53" s="102">
        <v>0</v>
      </c>
      <c r="J53" s="102">
        <v>0</v>
      </c>
      <c r="K53" s="102">
        <v>0</v>
      </c>
    </row>
    <row r="54" spans="1:11" x14ac:dyDescent="0.25">
      <c r="A54" s="101">
        <v>7</v>
      </c>
      <c r="B54" s="101" t="s">
        <v>1177</v>
      </c>
      <c r="C54" s="100" t="s">
        <v>1178</v>
      </c>
      <c r="D54" s="102">
        <v>0</v>
      </c>
      <c r="E54" s="102">
        <v>0</v>
      </c>
      <c r="F54" s="102">
        <v>0</v>
      </c>
      <c r="G54" s="102">
        <v>16288.82</v>
      </c>
      <c r="H54" s="102">
        <v>0</v>
      </c>
      <c r="I54" s="102">
        <v>0</v>
      </c>
      <c r="J54" s="102">
        <v>0</v>
      </c>
      <c r="K54" s="102">
        <v>16289</v>
      </c>
    </row>
    <row r="55" spans="1:11" x14ac:dyDescent="0.25">
      <c r="A55" s="101">
        <v>8</v>
      </c>
      <c r="B55" s="101" t="s">
        <v>1161</v>
      </c>
      <c r="C55" s="100" t="s">
        <v>1179</v>
      </c>
      <c r="D55" s="102">
        <v>0</v>
      </c>
      <c r="E55" s="102">
        <v>0</v>
      </c>
      <c r="F55" s="102">
        <v>0</v>
      </c>
      <c r="G55" s="102">
        <v>0</v>
      </c>
      <c r="H55" s="102">
        <v>0</v>
      </c>
      <c r="I55" s="102">
        <v>0</v>
      </c>
      <c r="J55" s="102">
        <v>0</v>
      </c>
      <c r="K55" s="102">
        <v>0</v>
      </c>
    </row>
    <row r="56" spans="1:11" x14ac:dyDescent="0.25">
      <c r="A56" s="101" t="s">
        <v>1180</v>
      </c>
      <c r="B56" s="101" t="s">
        <v>1181</v>
      </c>
      <c r="C56" s="100" t="s">
        <v>1182</v>
      </c>
      <c r="D56" s="102">
        <v>8117.28</v>
      </c>
      <c r="E56" s="102">
        <v>0</v>
      </c>
      <c r="F56" s="102">
        <v>8117.28</v>
      </c>
      <c r="G56" s="102">
        <v>17.45</v>
      </c>
      <c r="H56" s="102">
        <v>8117</v>
      </c>
      <c r="I56" s="102">
        <v>0</v>
      </c>
      <c r="J56" s="102">
        <v>8117</v>
      </c>
      <c r="K56" s="102">
        <v>17</v>
      </c>
    </row>
    <row r="57" spans="1:11" x14ac:dyDescent="0.25">
      <c r="A57" s="101" t="s">
        <v>1183</v>
      </c>
      <c r="B57" s="101" t="s">
        <v>1184</v>
      </c>
      <c r="C57" s="100" t="s">
        <v>1185</v>
      </c>
      <c r="D57" s="102">
        <v>8117.28</v>
      </c>
      <c r="E57" s="102">
        <v>0</v>
      </c>
      <c r="F57" s="102">
        <v>8117.28</v>
      </c>
      <c r="G57" s="102">
        <v>17.45</v>
      </c>
      <c r="H57" s="102">
        <v>8117</v>
      </c>
      <c r="I57" s="102">
        <v>0</v>
      </c>
      <c r="J57" s="102">
        <v>8117</v>
      </c>
      <c r="K57" s="102">
        <v>17</v>
      </c>
    </row>
    <row r="58" spans="1:11" x14ac:dyDescent="0.25">
      <c r="A58" s="101">
        <v>2</v>
      </c>
      <c r="B58" s="101" t="s">
        <v>1186</v>
      </c>
      <c r="C58" s="100" t="s">
        <v>1187</v>
      </c>
      <c r="D58" s="102">
        <v>0</v>
      </c>
      <c r="E58" s="102">
        <v>0</v>
      </c>
      <c r="F58" s="102">
        <v>0</v>
      </c>
      <c r="G58" s="102">
        <v>0</v>
      </c>
      <c r="H58" s="102">
        <v>0</v>
      </c>
      <c r="I58" s="102">
        <v>0</v>
      </c>
      <c r="J58" s="102">
        <v>0</v>
      </c>
      <c r="K58" s="102">
        <v>0</v>
      </c>
    </row>
    <row r="59" spans="1:11" x14ac:dyDescent="0.25">
      <c r="A59" s="101">
        <v>3</v>
      </c>
      <c r="B59" s="101" t="s">
        <v>1188</v>
      </c>
      <c r="C59" s="100" t="s">
        <v>1189</v>
      </c>
      <c r="D59" s="102">
        <v>0</v>
      </c>
      <c r="E59" s="102">
        <v>0</v>
      </c>
      <c r="F59" s="102">
        <v>0</v>
      </c>
      <c r="G59" s="102">
        <v>0</v>
      </c>
      <c r="H59" s="102">
        <v>0</v>
      </c>
      <c r="I59" s="102">
        <v>0</v>
      </c>
      <c r="J59" s="102">
        <v>0</v>
      </c>
      <c r="K59" s="102">
        <v>0</v>
      </c>
    </row>
    <row r="60" spans="1:11" x14ac:dyDescent="0.25">
      <c r="A60" s="101">
        <v>4</v>
      </c>
      <c r="B60" s="101" t="s">
        <v>1190</v>
      </c>
      <c r="C60" s="100" t="s">
        <v>1191</v>
      </c>
      <c r="D60" s="102">
        <v>0</v>
      </c>
      <c r="E60" s="102">
        <v>0</v>
      </c>
      <c r="F60" s="102">
        <v>0</v>
      </c>
      <c r="G60" s="102">
        <v>0</v>
      </c>
      <c r="H60" s="102">
        <v>0</v>
      </c>
      <c r="I60" s="102">
        <v>0</v>
      </c>
      <c r="J60" s="102">
        <v>0</v>
      </c>
      <c r="K60" s="102">
        <v>0</v>
      </c>
    </row>
    <row r="61" spans="1:11" x14ac:dyDescent="0.25">
      <c r="A61" s="101">
        <v>5</v>
      </c>
      <c r="B61" s="101" t="s">
        <v>1192</v>
      </c>
      <c r="C61" s="100" t="s">
        <v>1193</v>
      </c>
      <c r="D61" s="102">
        <v>0</v>
      </c>
      <c r="E61" s="102">
        <v>0</v>
      </c>
      <c r="F61" s="102">
        <v>0</v>
      </c>
      <c r="G61" s="102">
        <v>0</v>
      </c>
      <c r="H61" s="102">
        <v>0</v>
      </c>
      <c r="I61" s="102">
        <v>0</v>
      </c>
      <c r="J61" s="102">
        <v>0</v>
      </c>
      <c r="K61" s="102">
        <v>0</v>
      </c>
    </row>
    <row r="62" spans="1:11" x14ac:dyDescent="0.25">
      <c r="A62" s="101" t="s">
        <v>936</v>
      </c>
      <c r="B62" s="101" t="s">
        <v>1194</v>
      </c>
      <c r="C62" s="100" t="s">
        <v>1195</v>
      </c>
      <c r="D62" s="102">
        <v>1771.49</v>
      </c>
      <c r="E62" s="102">
        <v>0</v>
      </c>
      <c r="F62" s="102">
        <v>1771.49</v>
      </c>
      <c r="G62" s="102">
        <v>0</v>
      </c>
      <c r="H62" s="102">
        <v>1771</v>
      </c>
      <c r="I62" s="102">
        <v>0</v>
      </c>
      <c r="J62" s="102">
        <v>1771</v>
      </c>
      <c r="K62" s="102">
        <v>0</v>
      </c>
    </row>
    <row r="63" spans="1:11" x14ac:dyDescent="0.25">
      <c r="A63" s="101" t="s">
        <v>939</v>
      </c>
      <c r="B63" s="101" t="s">
        <v>1196</v>
      </c>
      <c r="C63" s="100" t="s">
        <v>902</v>
      </c>
      <c r="D63" s="102">
        <v>0</v>
      </c>
      <c r="E63" s="102">
        <v>0</v>
      </c>
      <c r="F63" s="102">
        <v>0</v>
      </c>
      <c r="G63" s="102">
        <v>0</v>
      </c>
      <c r="H63" s="102">
        <v>0</v>
      </c>
      <c r="I63" s="102">
        <v>0</v>
      </c>
      <c r="J63" s="102">
        <v>0</v>
      </c>
      <c r="K63" s="102">
        <v>0</v>
      </c>
    </row>
    <row r="64" spans="1:11" x14ac:dyDescent="0.25">
      <c r="A64" s="101">
        <v>2</v>
      </c>
      <c r="B64" s="101" t="s">
        <v>1197</v>
      </c>
      <c r="C64" s="100" t="s">
        <v>1198</v>
      </c>
      <c r="D64" s="102">
        <v>124.24</v>
      </c>
      <c r="E64" s="102">
        <v>0</v>
      </c>
      <c r="F64" s="102">
        <v>124.24</v>
      </c>
      <c r="G64" s="102">
        <v>0</v>
      </c>
      <c r="H64" s="102">
        <v>124</v>
      </c>
      <c r="I64" s="102">
        <v>0</v>
      </c>
      <c r="J64" s="102">
        <v>124</v>
      </c>
      <c r="K64" s="102">
        <v>0</v>
      </c>
    </row>
    <row r="65" spans="1:11" x14ac:dyDescent="0.25">
      <c r="A65" s="101">
        <v>3</v>
      </c>
      <c r="B65" s="101" t="s">
        <v>1199</v>
      </c>
      <c r="C65" s="100" t="s">
        <v>1200</v>
      </c>
      <c r="D65" s="102">
        <v>0</v>
      </c>
      <c r="E65" s="102">
        <v>0</v>
      </c>
      <c r="F65" s="102">
        <v>0</v>
      </c>
      <c r="G65" s="102">
        <v>0</v>
      </c>
      <c r="H65" s="102">
        <v>0</v>
      </c>
      <c r="I65" s="102">
        <v>0</v>
      </c>
      <c r="J65" s="102">
        <v>0</v>
      </c>
      <c r="K65" s="102">
        <v>0</v>
      </c>
    </row>
    <row r="66" spans="1:11" x14ac:dyDescent="0.25">
      <c r="A66" s="101">
        <v>4</v>
      </c>
      <c r="B66" s="101" t="s">
        <v>1201</v>
      </c>
      <c r="C66" s="100" t="s">
        <v>1202</v>
      </c>
      <c r="D66" s="102">
        <v>1647.25</v>
      </c>
      <c r="E66" s="102">
        <v>0</v>
      </c>
      <c r="F66" s="102">
        <v>1647.25</v>
      </c>
      <c r="G66" s="102">
        <v>0</v>
      </c>
      <c r="H66" s="102">
        <v>1647</v>
      </c>
      <c r="I66" s="102">
        <v>0</v>
      </c>
      <c r="J66" s="102">
        <v>1647</v>
      </c>
      <c r="K66" s="102">
        <v>0</v>
      </c>
    </row>
    <row r="67" spans="1:11" x14ac:dyDescent="0.25">
      <c r="B67" s="101" t="s">
        <v>1203</v>
      </c>
      <c r="C67" s="100" t="s">
        <v>1204</v>
      </c>
      <c r="D67" s="102">
        <v>742138.71</v>
      </c>
      <c r="E67" s="102">
        <v>24978.720000000001</v>
      </c>
      <c r="F67" s="102">
        <v>717159.99</v>
      </c>
      <c r="G67" s="102">
        <v>395653.92</v>
      </c>
      <c r="H67" s="102">
        <v>742137</v>
      </c>
      <c r="I67" s="102">
        <v>24980</v>
      </c>
      <c r="J67" s="102">
        <v>717157</v>
      </c>
      <c r="K67" s="102">
        <v>395652</v>
      </c>
    </row>
  </sheetData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1"/>
  <sheetViews>
    <sheetView workbookViewId="0">
      <selection activeCell="B2" sqref="B2"/>
    </sheetView>
  </sheetViews>
  <sheetFormatPr defaultRowHeight="15" x14ac:dyDescent="0.25"/>
  <cols>
    <col min="1" max="1" width="8.28515625" style="101" bestFit="1" customWidth="1"/>
    <col min="2" max="2" width="79.42578125" style="101" bestFit="1" customWidth="1"/>
    <col min="3" max="3" width="4.42578125" style="100" bestFit="1" customWidth="1"/>
    <col min="4" max="7" width="15.28515625" style="102" bestFit="1" customWidth="1"/>
    <col min="8" max="16384" width="9.140625" style="96"/>
  </cols>
  <sheetData>
    <row r="1" spans="1:7" ht="22.5" x14ac:dyDescent="0.25">
      <c r="A1" s="107" t="s">
        <v>230</v>
      </c>
      <c r="B1" s="107" t="s">
        <v>236</v>
      </c>
      <c r="C1" s="106" t="s">
        <v>252</v>
      </c>
      <c r="D1" s="108" t="s">
        <v>259</v>
      </c>
      <c r="E1" s="108" t="s">
        <v>260</v>
      </c>
      <c r="F1" s="108" t="s">
        <v>237</v>
      </c>
      <c r="G1" s="108" t="s">
        <v>235</v>
      </c>
    </row>
    <row r="2" spans="1:7" x14ac:dyDescent="0.25">
      <c r="B2" s="101" t="s">
        <v>1205</v>
      </c>
      <c r="C2" s="100" t="s">
        <v>903</v>
      </c>
      <c r="D2" s="102">
        <v>179732.87</v>
      </c>
      <c r="E2" s="102">
        <v>98913.48</v>
      </c>
      <c r="F2" s="102">
        <v>179732</v>
      </c>
      <c r="G2" s="102">
        <v>98913</v>
      </c>
    </row>
    <row r="3" spans="1:7" x14ac:dyDescent="0.25">
      <c r="A3" s="101" t="s">
        <v>910</v>
      </c>
      <c r="B3" s="101" t="s">
        <v>1206</v>
      </c>
      <c r="C3" s="100" t="s">
        <v>1207</v>
      </c>
      <c r="D3" s="99">
        <v>-227248.15</v>
      </c>
      <c r="E3" s="99">
        <v>-136272.34</v>
      </c>
      <c r="F3" s="99">
        <v>-227248</v>
      </c>
      <c r="G3" s="99">
        <v>-136272</v>
      </c>
    </row>
    <row r="4" spans="1:7" x14ac:dyDescent="0.25">
      <c r="A4" s="101" t="s">
        <v>1076</v>
      </c>
      <c r="B4" s="101" t="s">
        <v>1208</v>
      </c>
      <c r="C4" s="100" t="s">
        <v>1209</v>
      </c>
      <c r="D4" s="102">
        <v>5000</v>
      </c>
      <c r="E4" s="102">
        <v>5000</v>
      </c>
      <c r="F4" s="102">
        <v>5000</v>
      </c>
      <c r="G4" s="102">
        <v>5000</v>
      </c>
    </row>
    <row r="5" spans="1:7" x14ac:dyDescent="0.25">
      <c r="A5" s="101" t="s">
        <v>1210</v>
      </c>
      <c r="B5" s="101" t="s">
        <v>1211</v>
      </c>
      <c r="C5" s="100" t="s">
        <v>1212</v>
      </c>
      <c r="D5" s="102">
        <v>5000</v>
      </c>
      <c r="E5" s="102">
        <v>5000</v>
      </c>
      <c r="F5" s="102">
        <v>5000</v>
      </c>
      <c r="G5" s="102">
        <v>5000</v>
      </c>
    </row>
    <row r="6" spans="1:7" x14ac:dyDescent="0.25">
      <c r="A6" s="101">
        <v>2</v>
      </c>
      <c r="B6" s="101" t="s">
        <v>1213</v>
      </c>
      <c r="C6" s="100" t="s">
        <v>1214</v>
      </c>
      <c r="D6" s="102">
        <v>0</v>
      </c>
      <c r="E6" s="102">
        <v>0</v>
      </c>
      <c r="F6" s="102">
        <v>0</v>
      </c>
      <c r="G6" s="102">
        <v>0</v>
      </c>
    </row>
    <row r="7" spans="1:7" x14ac:dyDescent="0.25">
      <c r="A7" s="101">
        <v>3</v>
      </c>
      <c r="B7" s="101" t="s">
        <v>1215</v>
      </c>
      <c r="C7" s="100" t="s">
        <v>1216</v>
      </c>
      <c r="D7" s="102">
        <v>0</v>
      </c>
      <c r="E7" s="102">
        <v>0</v>
      </c>
      <c r="F7" s="102">
        <v>0</v>
      </c>
      <c r="G7" s="102">
        <v>0</v>
      </c>
    </row>
    <row r="8" spans="1:7" x14ac:dyDescent="0.25">
      <c r="A8" s="101">
        <v>4</v>
      </c>
      <c r="B8" s="101" t="s">
        <v>1217</v>
      </c>
      <c r="C8" s="100" t="s">
        <v>1218</v>
      </c>
      <c r="D8" s="102">
        <v>0</v>
      </c>
      <c r="E8" s="102">
        <v>0</v>
      </c>
      <c r="F8" s="102">
        <v>0</v>
      </c>
      <c r="G8" s="102">
        <v>0</v>
      </c>
    </row>
    <row r="9" spans="1:7" x14ac:dyDescent="0.25">
      <c r="A9" s="101" t="s">
        <v>1094</v>
      </c>
      <c r="B9" s="101" t="s">
        <v>1219</v>
      </c>
      <c r="C9" s="100" t="s">
        <v>797</v>
      </c>
      <c r="D9" s="102">
        <v>0</v>
      </c>
      <c r="E9" s="102">
        <v>0</v>
      </c>
      <c r="F9" s="102">
        <v>0</v>
      </c>
      <c r="G9" s="102">
        <v>0</v>
      </c>
    </row>
    <row r="10" spans="1:7" x14ac:dyDescent="0.25">
      <c r="A10" s="101" t="s">
        <v>1097</v>
      </c>
      <c r="B10" s="101" t="s">
        <v>1220</v>
      </c>
      <c r="C10" s="100" t="s">
        <v>1221</v>
      </c>
      <c r="D10" s="102">
        <v>0</v>
      </c>
      <c r="E10" s="102">
        <v>0</v>
      </c>
      <c r="F10" s="102">
        <v>0</v>
      </c>
      <c r="G10" s="102">
        <v>0</v>
      </c>
    </row>
    <row r="11" spans="1:7" x14ac:dyDescent="0.25">
      <c r="A11" s="101">
        <v>2</v>
      </c>
      <c r="B11" s="101" t="s">
        <v>1222</v>
      </c>
      <c r="C11" s="100" t="s">
        <v>1223</v>
      </c>
      <c r="D11" s="102">
        <v>0</v>
      </c>
      <c r="E11" s="102">
        <v>0</v>
      </c>
      <c r="F11" s="102">
        <v>0</v>
      </c>
      <c r="G11" s="102">
        <v>0</v>
      </c>
    </row>
    <row r="12" spans="1:7" x14ac:dyDescent="0.25">
      <c r="A12" s="101">
        <v>3</v>
      </c>
      <c r="B12" s="101" t="s">
        <v>1224</v>
      </c>
      <c r="C12" s="100" t="s">
        <v>1225</v>
      </c>
      <c r="D12" s="102">
        <v>0</v>
      </c>
      <c r="E12" s="102">
        <v>0</v>
      </c>
      <c r="F12" s="102">
        <v>0</v>
      </c>
      <c r="G12" s="102">
        <v>0</v>
      </c>
    </row>
    <row r="13" spans="1:7" x14ac:dyDescent="0.25">
      <c r="A13" s="101">
        <v>4</v>
      </c>
      <c r="B13" s="101" t="s">
        <v>1226</v>
      </c>
      <c r="C13" s="100" t="s">
        <v>1227</v>
      </c>
      <c r="D13" s="102">
        <v>0</v>
      </c>
      <c r="E13" s="102">
        <v>0</v>
      </c>
      <c r="F13" s="102">
        <v>0</v>
      </c>
      <c r="G13" s="102">
        <v>0</v>
      </c>
    </row>
    <row r="14" spans="1:7" x14ac:dyDescent="0.25">
      <c r="A14" s="101">
        <v>5</v>
      </c>
      <c r="B14" s="101" t="s">
        <v>1228</v>
      </c>
      <c r="C14" s="100" t="s">
        <v>1229</v>
      </c>
      <c r="D14" s="102">
        <v>0</v>
      </c>
      <c r="E14" s="102">
        <v>0</v>
      </c>
      <c r="F14" s="102">
        <v>0</v>
      </c>
      <c r="G14" s="102">
        <v>0</v>
      </c>
    </row>
    <row r="15" spans="1:7" x14ac:dyDescent="0.25">
      <c r="A15" s="101">
        <v>6</v>
      </c>
      <c r="B15" s="101" t="s">
        <v>1230</v>
      </c>
      <c r="C15" s="100" t="s">
        <v>1231</v>
      </c>
      <c r="D15" s="102">
        <v>0</v>
      </c>
      <c r="E15" s="102">
        <v>0</v>
      </c>
      <c r="F15" s="102">
        <v>0</v>
      </c>
      <c r="G15" s="102">
        <v>0</v>
      </c>
    </row>
    <row r="16" spans="1:7" x14ac:dyDescent="0.25">
      <c r="A16" s="101" t="s">
        <v>1115</v>
      </c>
      <c r="B16" s="101" t="s">
        <v>1232</v>
      </c>
      <c r="C16" s="100" t="s">
        <v>1233</v>
      </c>
      <c r="D16" s="102">
        <v>0</v>
      </c>
      <c r="E16" s="102">
        <v>0</v>
      </c>
      <c r="F16" s="102">
        <v>0</v>
      </c>
      <c r="G16" s="102">
        <v>0</v>
      </c>
    </row>
    <row r="17" spans="1:7" x14ac:dyDescent="0.25">
      <c r="A17" s="101" t="s">
        <v>1117</v>
      </c>
      <c r="B17" s="101" t="s">
        <v>1234</v>
      </c>
      <c r="C17" s="100" t="s">
        <v>798</v>
      </c>
      <c r="D17" s="102">
        <v>0</v>
      </c>
      <c r="E17" s="102">
        <v>0</v>
      </c>
      <c r="F17" s="102">
        <v>0</v>
      </c>
      <c r="G17" s="102">
        <v>0</v>
      </c>
    </row>
    <row r="18" spans="1:7" x14ac:dyDescent="0.25">
      <c r="A18" s="101">
        <v>2</v>
      </c>
      <c r="B18" s="101" t="s">
        <v>1235</v>
      </c>
      <c r="C18" s="100" t="s">
        <v>799</v>
      </c>
      <c r="D18" s="102">
        <v>0</v>
      </c>
      <c r="E18" s="102">
        <v>0</v>
      </c>
      <c r="F18" s="102">
        <v>0</v>
      </c>
      <c r="G18" s="102">
        <v>0</v>
      </c>
    </row>
    <row r="19" spans="1:7" x14ac:dyDescent="0.25">
      <c r="A19" s="101">
        <v>3</v>
      </c>
      <c r="B19" s="101" t="s">
        <v>1236</v>
      </c>
      <c r="C19" s="100" t="s">
        <v>1237</v>
      </c>
      <c r="D19" s="102">
        <v>0</v>
      </c>
      <c r="E19" s="102">
        <v>0</v>
      </c>
      <c r="F19" s="102">
        <v>0</v>
      </c>
      <c r="G19" s="102">
        <v>0</v>
      </c>
    </row>
    <row r="20" spans="1:7" x14ac:dyDescent="0.25">
      <c r="A20" s="101" t="s">
        <v>1238</v>
      </c>
      <c r="B20" s="101" t="s">
        <v>1239</v>
      </c>
      <c r="C20" s="100" t="s">
        <v>1240</v>
      </c>
      <c r="D20" s="102">
        <v>-141272.34</v>
      </c>
      <c r="E20" s="102">
        <v>-70905.460000000006</v>
      </c>
      <c r="F20" s="102">
        <v>-141272</v>
      </c>
      <c r="G20" s="102">
        <v>-70905</v>
      </c>
    </row>
    <row r="21" spans="1:7" x14ac:dyDescent="0.25">
      <c r="A21" s="101" t="s">
        <v>1241</v>
      </c>
      <c r="B21" s="101" t="s">
        <v>1242</v>
      </c>
      <c r="C21" s="100" t="s">
        <v>1243</v>
      </c>
      <c r="D21" s="102">
        <v>0</v>
      </c>
      <c r="E21" s="102">
        <v>0</v>
      </c>
      <c r="F21" s="102">
        <v>0</v>
      </c>
      <c r="G21" s="102">
        <v>0</v>
      </c>
    </row>
    <row r="22" spans="1:7" x14ac:dyDescent="0.25">
      <c r="A22" s="101">
        <v>2</v>
      </c>
      <c r="B22" s="101" t="s">
        <v>1244</v>
      </c>
      <c r="C22" s="100" t="s">
        <v>1245</v>
      </c>
      <c r="D22" s="102">
        <v>-141272.34</v>
      </c>
      <c r="E22" s="102">
        <v>-70905.460000000006</v>
      </c>
      <c r="F22" s="102">
        <v>-141272</v>
      </c>
      <c r="G22" s="102">
        <v>-70905</v>
      </c>
    </row>
    <row r="23" spans="1:7" x14ac:dyDescent="0.25">
      <c r="A23" s="101" t="s">
        <v>1246</v>
      </c>
      <c r="B23" s="101" t="s">
        <v>1247</v>
      </c>
      <c r="C23" s="100" t="s">
        <v>1248</v>
      </c>
      <c r="D23" s="102">
        <v>-90975.81</v>
      </c>
      <c r="E23" s="102">
        <v>-70366.880000000005</v>
      </c>
      <c r="F23" s="102">
        <v>-90976</v>
      </c>
      <c r="G23" s="102">
        <v>-70367</v>
      </c>
    </row>
    <row r="24" spans="1:7" x14ac:dyDescent="0.25">
      <c r="A24" s="101" t="s">
        <v>926</v>
      </c>
      <c r="B24" s="101" t="s">
        <v>1249</v>
      </c>
      <c r="C24" s="100" t="s">
        <v>1250</v>
      </c>
      <c r="D24" s="102">
        <v>406981.02</v>
      </c>
      <c r="E24" s="102">
        <v>235185.82</v>
      </c>
      <c r="F24" s="102">
        <v>406980</v>
      </c>
      <c r="G24" s="102">
        <v>235185</v>
      </c>
    </row>
    <row r="25" spans="1:7" x14ac:dyDescent="0.25">
      <c r="A25" s="101" t="s">
        <v>1134</v>
      </c>
      <c r="B25" s="101" t="s">
        <v>1251</v>
      </c>
      <c r="C25" s="100" t="s">
        <v>801</v>
      </c>
      <c r="D25" s="102">
        <v>2241.0500000000002</v>
      </c>
      <c r="E25" s="102">
        <v>100</v>
      </c>
      <c r="F25" s="102">
        <v>2241</v>
      </c>
      <c r="G25" s="102">
        <v>100</v>
      </c>
    </row>
    <row r="26" spans="1:7" x14ac:dyDescent="0.25">
      <c r="A26" s="101" t="s">
        <v>1137</v>
      </c>
      <c r="B26" s="101" t="s">
        <v>1252</v>
      </c>
      <c r="C26" s="100" t="s">
        <v>1253</v>
      </c>
      <c r="D26" s="102">
        <v>0</v>
      </c>
      <c r="E26" s="102">
        <v>0</v>
      </c>
      <c r="F26" s="102">
        <v>0</v>
      </c>
      <c r="G26" s="102">
        <v>0</v>
      </c>
    </row>
    <row r="27" spans="1:7" x14ac:dyDescent="0.25">
      <c r="A27" s="101">
        <v>2</v>
      </c>
      <c r="B27" s="101" t="s">
        <v>1254</v>
      </c>
      <c r="C27" s="100" t="s">
        <v>1255</v>
      </c>
      <c r="D27" s="102">
        <v>0</v>
      </c>
      <c r="E27" s="102">
        <v>0</v>
      </c>
      <c r="F27" s="102">
        <v>0</v>
      </c>
      <c r="G27" s="102">
        <v>0</v>
      </c>
    </row>
    <row r="28" spans="1:7" x14ac:dyDescent="0.25">
      <c r="A28" s="101">
        <v>3</v>
      </c>
      <c r="B28" s="101" t="s">
        <v>1256</v>
      </c>
      <c r="C28" s="100" t="s">
        <v>802</v>
      </c>
      <c r="D28" s="102">
        <v>0</v>
      </c>
      <c r="E28" s="102">
        <v>0</v>
      </c>
      <c r="F28" s="102">
        <v>0</v>
      </c>
      <c r="G28" s="102">
        <v>0</v>
      </c>
    </row>
    <row r="29" spans="1:7" x14ac:dyDescent="0.25">
      <c r="A29" s="101">
        <v>4</v>
      </c>
      <c r="B29" s="101" t="s">
        <v>1257</v>
      </c>
      <c r="C29" s="100" t="s">
        <v>1258</v>
      </c>
      <c r="D29" s="102">
        <v>2241.0500000000002</v>
      </c>
      <c r="E29" s="102">
        <v>100</v>
      </c>
      <c r="F29" s="102">
        <v>2241</v>
      </c>
      <c r="G29" s="102">
        <v>100</v>
      </c>
    </row>
    <row r="30" spans="1:7" x14ac:dyDescent="0.25">
      <c r="A30" s="101" t="s">
        <v>1150</v>
      </c>
      <c r="B30" s="101" t="s">
        <v>1259</v>
      </c>
      <c r="C30" s="100" t="s">
        <v>1260</v>
      </c>
      <c r="D30" s="102">
        <v>122.27</v>
      </c>
      <c r="E30" s="102">
        <v>1117.55</v>
      </c>
      <c r="F30" s="102">
        <v>122</v>
      </c>
      <c r="G30" s="102">
        <v>1118</v>
      </c>
    </row>
    <row r="31" spans="1:7" x14ac:dyDescent="0.25">
      <c r="A31" s="101" t="s">
        <v>1153</v>
      </c>
      <c r="B31" s="101" t="s">
        <v>1261</v>
      </c>
      <c r="C31" s="100" t="s">
        <v>1262</v>
      </c>
      <c r="D31" s="102">
        <v>0</v>
      </c>
      <c r="E31" s="102">
        <v>0</v>
      </c>
      <c r="F31" s="102">
        <v>0</v>
      </c>
      <c r="G31" s="102">
        <v>0</v>
      </c>
    </row>
    <row r="32" spans="1:7" x14ac:dyDescent="0.25">
      <c r="A32" s="101">
        <v>2</v>
      </c>
      <c r="B32" s="101" t="s">
        <v>1156</v>
      </c>
      <c r="C32" s="100" t="s">
        <v>1263</v>
      </c>
      <c r="D32" s="102">
        <v>0</v>
      </c>
      <c r="E32" s="102">
        <v>0</v>
      </c>
      <c r="F32" s="102">
        <v>0</v>
      </c>
      <c r="G32" s="102">
        <v>0</v>
      </c>
    </row>
    <row r="33" spans="1:7" x14ac:dyDescent="0.25">
      <c r="A33" s="101">
        <v>3</v>
      </c>
      <c r="B33" s="101" t="s">
        <v>1264</v>
      </c>
      <c r="C33" s="100" t="s">
        <v>1265</v>
      </c>
      <c r="D33" s="102">
        <v>0</v>
      </c>
      <c r="E33" s="102">
        <v>0</v>
      </c>
      <c r="F33" s="102">
        <v>0</v>
      </c>
      <c r="G33" s="102">
        <v>0</v>
      </c>
    </row>
    <row r="34" spans="1:7" x14ac:dyDescent="0.25">
      <c r="A34" s="101">
        <v>4</v>
      </c>
      <c r="B34" s="101" t="s">
        <v>1266</v>
      </c>
      <c r="C34" s="100" t="s">
        <v>1267</v>
      </c>
      <c r="D34" s="102">
        <v>0</v>
      </c>
      <c r="E34" s="102">
        <v>0</v>
      </c>
      <c r="F34" s="102">
        <v>0</v>
      </c>
      <c r="G34" s="102">
        <v>0</v>
      </c>
    </row>
    <row r="35" spans="1:7" x14ac:dyDescent="0.25">
      <c r="A35" s="101">
        <v>5</v>
      </c>
      <c r="B35" s="101" t="s">
        <v>1268</v>
      </c>
      <c r="C35" s="100" t="s">
        <v>1269</v>
      </c>
      <c r="D35" s="102">
        <v>0</v>
      </c>
      <c r="E35" s="102">
        <v>0</v>
      </c>
      <c r="F35" s="102">
        <v>0</v>
      </c>
      <c r="G35" s="102">
        <v>0</v>
      </c>
    </row>
    <row r="36" spans="1:7" x14ac:dyDescent="0.25">
      <c r="A36" s="101">
        <v>6</v>
      </c>
      <c r="B36" s="101" t="s">
        <v>1270</v>
      </c>
      <c r="C36" s="100" t="s">
        <v>1271</v>
      </c>
      <c r="D36" s="102">
        <v>0</v>
      </c>
      <c r="E36" s="102">
        <v>0</v>
      </c>
      <c r="F36" s="102">
        <v>0</v>
      </c>
      <c r="G36" s="102">
        <v>0</v>
      </c>
    </row>
    <row r="37" spans="1:7" x14ac:dyDescent="0.25">
      <c r="A37" s="101">
        <v>7</v>
      </c>
      <c r="B37" s="101" t="s">
        <v>1272</v>
      </c>
      <c r="C37" s="100" t="s">
        <v>1273</v>
      </c>
      <c r="D37" s="102">
        <v>0</v>
      </c>
      <c r="E37" s="102">
        <v>0</v>
      </c>
      <c r="F37" s="102">
        <v>0</v>
      </c>
      <c r="G37" s="102">
        <v>0</v>
      </c>
    </row>
    <row r="38" spans="1:7" x14ac:dyDescent="0.25">
      <c r="A38" s="101">
        <v>8</v>
      </c>
      <c r="B38" s="101" t="s">
        <v>1274</v>
      </c>
      <c r="C38" s="100" t="s">
        <v>1275</v>
      </c>
      <c r="D38" s="102">
        <v>0</v>
      </c>
      <c r="E38" s="102">
        <v>0</v>
      </c>
      <c r="F38" s="102">
        <v>0</v>
      </c>
      <c r="G38" s="102">
        <v>0</v>
      </c>
    </row>
    <row r="39" spans="1:7" x14ac:dyDescent="0.25">
      <c r="A39" s="101">
        <v>9</v>
      </c>
      <c r="B39" s="101" t="s">
        <v>1276</v>
      </c>
      <c r="C39" s="100" t="s">
        <v>1277</v>
      </c>
      <c r="D39" s="102">
        <v>122.27</v>
      </c>
      <c r="E39" s="102">
        <v>0</v>
      </c>
      <c r="F39" s="102">
        <v>122</v>
      </c>
      <c r="G39" s="102">
        <v>0</v>
      </c>
    </row>
    <row r="40" spans="1:7" x14ac:dyDescent="0.25">
      <c r="A40" s="101">
        <v>10</v>
      </c>
      <c r="B40" s="101" t="s">
        <v>1278</v>
      </c>
      <c r="C40" s="100" t="s">
        <v>1279</v>
      </c>
      <c r="D40" s="102">
        <v>0</v>
      </c>
      <c r="E40" s="102">
        <v>0</v>
      </c>
      <c r="F40" s="102">
        <v>0</v>
      </c>
      <c r="G40" s="102">
        <v>0</v>
      </c>
    </row>
    <row r="41" spans="1:7" x14ac:dyDescent="0.25">
      <c r="A41" s="101">
        <v>11</v>
      </c>
      <c r="B41" s="101" t="s">
        <v>1280</v>
      </c>
      <c r="C41" s="100" t="s">
        <v>1281</v>
      </c>
      <c r="D41" s="102">
        <v>0</v>
      </c>
      <c r="E41" s="102">
        <v>1117.55</v>
      </c>
      <c r="F41" s="102">
        <v>0</v>
      </c>
      <c r="G41" s="102">
        <v>1118</v>
      </c>
    </row>
    <row r="42" spans="1:7" x14ac:dyDescent="0.25">
      <c r="A42" s="101" t="s">
        <v>1165</v>
      </c>
      <c r="B42" s="101" t="s">
        <v>1282</v>
      </c>
      <c r="C42" s="100" t="s">
        <v>1283</v>
      </c>
      <c r="D42" s="102">
        <v>404617.7</v>
      </c>
      <c r="E42" s="102">
        <v>233968.27</v>
      </c>
      <c r="F42" s="102">
        <v>404617</v>
      </c>
      <c r="G42" s="102">
        <v>233967</v>
      </c>
    </row>
    <row r="43" spans="1:7" x14ac:dyDescent="0.25">
      <c r="A43" s="101" t="s">
        <v>1284</v>
      </c>
      <c r="B43" s="101" t="s">
        <v>1285</v>
      </c>
      <c r="C43" s="100" t="s">
        <v>1286</v>
      </c>
      <c r="D43" s="102">
        <v>104078.76</v>
      </c>
      <c r="E43" s="102">
        <v>1695.6</v>
      </c>
      <c r="F43" s="102">
        <v>104078</v>
      </c>
      <c r="G43" s="102">
        <v>1694</v>
      </c>
    </row>
    <row r="44" spans="1:7" x14ac:dyDescent="0.25">
      <c r="A44" s="101">
        <v>2</v>
      </c>
      <c r="B44" s="101" t="s">
        <v>1156</v>
      </c>
      <c r="C44" s="100" t="s">
        <v>1287</v>
      </c>
      <c r="D44" s="102">
        <v>0</v>
      </c>
      <c r="E44" s="102">
        <v>0</v>
      </c>
      <c r="F44" s="102">
        <v>0</v>
      </c>
      <c r="G44" s="102">
        <v>0</v>
      </c>
    </row>
    <row r="45" spans="1:7" x14ac:dyDescent="0.25">
      <c r="A45" s="101">
        <v>3</v>
      </c>
      <c r="B45" s="101" t="s">
        <v>1288</v>
      </c>
      <c r="C45" s="100" t="s">
        <v>1289</v>
      </c>
      <c r="D45" s="102">
        <v>42.3</v>
      </c>
      <c r="E45" s="102">
        <v>0</v>
      </c>
      <c r="F45" s="102">
        <v>42</v>
      </c>
      <c r="G45" s="102">
        <v>0</v>
      </c>
    </row>
    <row r="46" spans="1:7" x14ac:dyDescent="0.25">
      <c r="A46" s="101">
        <v>4</v>
      </c>
      <c r="B46" s="101" t="s">
        <v>1290</v>
      </c>
      <c r="C46" s="100" t="s">
        <v>1291</v>
      </c>
      <c r="D46" s="102">
        <v>252318.27</v>
      </c>
      <c r="E46" s="102">
        <v>196002</v>
      </c>
      <c r="F46" s="102">
        <v>252318</v>
      </c>
      <c r="G46" s="102">
        <v>196002</v>
      </c>
    </row>
    <row r="47" spans="1:7" x14ac:dyDescent="0.25">
      <c r="A47" s="101">
        <v>5</v>
      </c>
      <c r="B47" s="101" t="s">
        <v>1292</v>
      </c>
      <c r="C47" s="100" t="s">
        <v>804</v>
      </c>
      <c r="D47" s="102">
        <v>0</v>
      </c>
      <c r="E47" s="102">
        <v>0</v>
      </c>
      <c r="F47" s="102">
        <v>0</v>
      </c>
      <c r="G47" s="102">
        <v>0</v>
      </c>
    </row>
    <row r="48" spans="1:7" x14ac:dyDescent="0.25">
      <c r="A48" s="101">
        <v>6</v>
      </c>
      <c r="B48" s="101" t="s">
        <v>1293</v>
      </c>
      <c r="C48" s="100" t="s">
        <v>805</v>
      </c>
      <c r="D48" s="102">
        <v>0</v>
      </c>
      <c r="E48" s="102">
        <v>0</v>
      </c>
      <c r="F48" s="102">
        <v>0</v>
      </c>
      <c r="G48" s="102">
        <v>0</v>
      </c>
    </row>
    <row r="49" spans="1:7" x14ac:dyDescent="0.25">
      <c r="A49" s="101">
        <v>7</v>
      </c>
      <c r="B49" s="101" t="s">
        <v>1294</v>
      </c>
      <c r="C49" s="100" t="s">
        <v>1295</v>
      </c>
      <c r="D49" s="102">
        <v>3970.69</v>
      </c>
      <c r="E49" s="102">
        <v>0</v>
      </c>
      <c r="F49" s="102">
        <v>3971</v>
      </c>
      <c r="G49" s="102">
        <v>0</v>
      </c>
    </row>
    <row r="50" spans="1:7" x14ac:dyDescent="0.25">
      <c r="A50" s="101">
        <v>8</v>
      </c>
      <c r="B50" s="101" t="s">
        <v>1296</v>
      </c>
      <c r="C50" s="100" t="s">
        <v>1297</v>
      </c>
      <c r="D50" s="102">
        <v>2401.11</v>
      </c>
      <c r="E50" s="102">
        <v>0</v>
      </c>
      <c r="F50" s="102">
        <v>2401</v>
      </c>
      <c r="G50" s="102">
        <v>0</v>
      </c>
    </row>
    <row r="51" spans="1:7" x14ac:dyDescent="0.25">
      <c r="A51" s="101">
        <v>9</v>
      </c>
      <c r="B51" s="101" t="s">
        <v>1298</v>
      </c>
      <c r="C51" s="100" t="s">
        <v>1299</v>
      </c>
      <c r="D51" s="102">
        <v>863.74</v>
      </c>
      <c r="E51" s="102">
        <v>0</v>
      </c>
      <c r="F51" s="102">
        <v>864</v>
      </c>
      <c r="G51" s="102">
        <v>0</v>
      </c>
    </row>
    <row r="52" spans="1:7" x14ac:dyDescent="0.25">
      <c r="A52" s="101">
        <v>10</v>
      </c>
      <c r="B52" s="101" t="s">
        <v>1300</v>
      </c>
      <c r="C52" s="100" t="s">
        <v>1301</v>
      </c>
      <c r="D52" s="102">
        <v>40942.83</v>
      </c>
      <c r="E52" s="102">
        <v>36270.67</v>
      </c>
      <c r="F52" s="102">
        <v>40943</v>
      </c>
      <c r="G52" s="102">
        <v>36271</v>
      </c>
    </row>
    <row r="53" spans="1:7" x14ac:dyDescent="0.25">
      <c r="A53" s="101" t="s">
        <v>1180</v>
      </c>
      <c r="B53" s="101" t="s">
        <v>1302</v>
      </c>
      <c r="C53" s="100" t="s">
        <v>1303</v>
      </c>
      <c r="D53" s="102">
        <v>0</v>
      </c>
      <c r="E53" s="102">
        <v>0</v>
      </c>
      <c r="F53" s="102">
        <v>0</v>
      </c>
      <c r="G53" s="102">
        <v>0</v>
      </c>
    </row>
    <row r="54" spans="1:7" x14ac:dyDescent="0.25">
      <c r="A54" s="101" t="s">
        <v>1304</v>
      </c>
      <c r="B54" s="101" t="s">
        <v>1305</v>
      </c>
      <c r="C54" s="100" t="s">
        <v>1306</v>
      </c>
      <c r="D54" s="102">
        <v>0</v>
      </c>
      <c r="E54" s="102">
        <v>0</v>
      </c>
      <c r="F54" s="102">
        <v>0</v>
      </c>
      <c r="G54" s="102">
        <v>0</v>
      </c>
    </row>
    <row r="55" spans="1:7" x14ac:dyDescent="0.25">
      <c r="A55" s="101" t="s">
        <v>1183</v>
      </c>
      <c r="B55" s="101" t="s">
        <v>1307</v>
      </c>
      <c r="C55" s="100" t="s">
        <v>1308</v>
      </c>
      <c r="D55" s="102">
        <v>0</v>
      </c>
      <c r="E55" s="102">
        <v>0</v>
      </c>
      <c r="F55" s="102">
        <v>0</v>
      </c>
      <c r="G55" s="102">
        <v>0</v>
      </c>
    </row>
    <row r="56" spans="1:7" x14ac:dyDescent="0.25">
      <c r="A56" s="101">
        <v>2</v>
      </c>
      <c r="B56" s="101" t="s">
        <v>1309</v>
      </c>
      <c r="C56" s="100" t="s">
        <v>1310</v>
      </c>
      <c r="D56" s="102">
        <v>0</v>
      </c>
      <c r="E56" s="102">
        <v>0</v>
      </c>
      <c r="F56" s="102">
        <v>0</v>
      </c>
      <c r="G56" s="102">
        <v>0</v>
      </c>
    </row>
    <row r="57" spans="1:7" x14ac:dyDescent="0.25">
      <c r="A57" s="101" t="s">
        <v>936</v>
      </c>
      <c r="B57" s="101" t="s">
        <v>1311</v>
      </c>
      <c r="C57" s="100" t="s">
        <v>1312</v>
      </c>
      <c r="D57" s="102">
        <v>0</v>
      </c>
      <c r="E57" s="102">
        <v>0</v>
      </c>
      <c r="F57" s="102">
        <v>0</v>
      </c>
      <c r="G57" s="102">
        <v>0</v>
      </c>
    </row>
    <row r="58" spans="1:7" x14ac:dyDescent="0.25">
      <c r="A58" s="101" t="s">
        <v>939</v>
      </c>
      <c r="B58" s="101" t="s">
        <v>1313</v>
      </c>
      <c r="C58" s="100" t="s">
        <v>1314</v>
      </c>
      <c r="D58" s="102">
        <v>0</v>
      </c>
      <c r="E58" s="102">
        <v>0</v>
      </c>
      <c r="F58" s="102">
        <v>0</v>
      </c>
      <c r="G58" s="102">
        <v>0</v>
      </c>
    </row>
    <row r="59" spans="1:7" x14ac:dyDescent="0.25">
      <c r="A59" s="101">
        <v>2</v>
      </c>
      <c r="B59" s="101" t="s">
        <v>1315</v>
      </c>
      <c r="C59" s="100" t="s">
        <v>1316</v>
      </c>
      <c r="D59" s="102">
        <v>0</v>
      </c>
      <c r="E59" s="102">
        <v>0</v>
      </c>
      <c r="F59" s="102">
        <v>0</v>
      </c>
      <c r="G59" s="102">
        <v>0</v>
      </c>
    </row>
    <row r="60" spans="1:7" x14ac:dyDescent="0.25">
      <c r="A60" s="101">
        <v>3</v>
      </c>
      <c r="B60" s="101" t="s">
        <v>1317</v>
      </c>
      <c r="C60" s="100" t="s">
        <v>1318</v>
      </c>
      <c r="D60" s="102">
        <v>0</v>
      </c>
      <c r="E60" s="102">
        <v>0</v>
      </c>
      <c r="F60" s="102">
        <v>0</v>
      </c>
      <c r="G60" s="102">
        <v>0</v>
      </c>
    </row>
    <row r="61" spans="1:7" x14ac:dyDescent="0.25">
      <c r="A61" s="101">
        <v>4</v>
      </c>
      <c r="B61" s="101" t="s">
        <v>1319</v>
      </c>
      <c r="C61" s="100" t="s">
        <v>1320</v>
      </c>
      <c r="D61" s="102">
        <v>0</v>
      </c>
      <c r="E61" s="102">
        <v>0</v>
      </c>
      <c r="F61" s="102">
        <v>0</v>
      </c>
      <c r="G61" s="102">
        <v>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M51"/>
  <sheetViews>
    <sheetView showGridLines="0" tabSelected="1" topLeftCell="A16" zoomScaleNormal="100" workbookViewId="0">
      <selection activeCell="C8" sqref="C8"/>
    </sheetView>
  </sheetViews>
  <sheetFormatPr defaultRowHeight="15" x14ac:dyDescent="0.25"/>
  <cols>
    <col min="1" max="1" width="29.42578125" customWidth="1"/>
    <col min="2" max="9" width="12.5703125" customWidth="1"/>
  </cols>
  <sheetData>
    <row r="1" spans="1:12" ht="16.5" x14ac:dyDescent="0.3">
      <c r="A1" s="1" t="s">
        <v>264</v>
      </c>
    </row>
    <row r="2" spans="1:12" ht="17.25" thickBot="1" x14ac:dyDescent="0.35">
      <c r="A2" s="2" t="s">
        <v>7</v>
      </c>
    </row>
    <row r="3" spans="1:12" ht="15" customHeight="1" thickTop="1" thickBot="1" x14ac:dyDescent="0.3">
      <c r="A3" s="205" t="s">
        <v>11</v>
      </c>
      <c r="B3" s="210" t="s">
        <v>2</v>
      </c>
      <c r="C3" s="211"/>
      <c r="D3" s="211"/>
      <c r="E3" s="211"/>
      <c r="F3" s="211"/>
      <c r="G3" s="211"/>
      <c r="H3" s="211"/>
      <c r="I3" s="212"/>
    </row>
    <row r="4" spans="1:12" ht="35.25" customHeight="1" thickTop="1" thickBot="1" x14ac:dyDescent="0.3">
      <c r="A4" s="206"/>
      <c r="B4" s="24" t="s">
        <v>198</v>
      </c>
      <c r="C4" s="70" t="s">
        <v>12</v>
      </c>
      <c r="D4" s="70" t="s">
        <v>199</v>
      </c>
      <c r="E4" s="69" t="s">
        <v>13</v>
      </c>
      <c r="F4" s="24" t="s">
        <v>14</v>
      </c>
      <c r="G4" s="70" t="s">
        <v>200</v>
      </c>
      <c r="H4" s="70" t="s">
        <v>15</v>
      </c>
      <c r="I4" s="70" t="s">
        <v>8</v>
      </c>
    </row>
    <row r="5" spans="1:12" ht="15" customHeight="1" thickTop="1" thickBot="1" x14ac:dyDescent="0.3">
      <c r="A5" s="25" t="s">
        <v>16</v>
      </c>
      <c r="B5" s="26"/>
      <c r="C5" s="26"/>
      <c r="D5" s="26"/>
      <c r="E5" s="26"/>
      <c r="F5" s="26"/>
      <c r="G5" s="26"/>
      <c r="H5" s="26"/>
      <c r="I5" s="27"/>
    </row>
    <row r="6" spans="1:12" ht="16.5" thickTop="1" thickBot="1" x14ac:dyDescent="0.3">
      <c r="A6" s="28" t="s">
        <v>17</v>
      </c>
      <c r="B6" s="126">
        <f>SUMIF(HK!A:A,"012*",HK!C:C)-SUMIF(HK!A:A,"012*",HK!D:D)</f>
        <v>0</v>
      </c>
      <c r="C6" s="126">
        <f>SUMIF(HK!A:A,"013*",HK!C:C)-SUMIF(HK!A:A,"013*",HK!D:D)</f>
        <v>2419.9899999999998</v>
      </c>
      <c r="D6" s="126">
        <f>SUMIF(HK!A:A,"014*",HK!C:C)-SUMIF(HK!A:A,"014*",HK!D:D)</f>
        <v>0</v>
      </c>
      <c r="E6" s="126">
        <f>SUMIF(HK!A:A,"015*",HK!C:C)-SUMIF(HK!A:A,"015*",HK!D:D)</f>
        <v>0</v>
      </c>
      <c r="F6" s="126">
        <f>SUMIF(HK!A:A,"019*",HK!C:C)-SUMIF(HK!A:A,"019*",HK!D:D)</f>
        <v>0</v>
      </c>
      <c r="G6" s="126">
        <f>SUMIF(HK!A:A,"041*",HK!C:C)-SUMIF(HK!A:A,"041*",HK!D:D)</f>
        <v>0</v>
      </c>
      <c r="H6" s="126">
        <f>SUMIF(HK!A:A,"051*",HK!C:C)-SUMIF(HK!A:A,"051*",HK!D:D)</f>
        <v>0</v>
      </c>
      <c r="I6" s="111">
        <f>SUM(B6:H6)</f>
        <v>2419.9899999999998</v>
      </c>
      <c r="J6" s="95"/>
      <c r="K6" s="112"/>
      <c r="L6" s="95"/>
    </row>
    <row r="7" spans="1:12" ht="25.5" customHeight="1" thickBot="1" x14ac:dyDescent="0.3">
      <c r="A7" s="13" t="s">
        <v>18</v>
      </c>
      <c r="B7" s="89">
        <f>SUMIF(HK!A:A,"012*",HK!I:I)</f>
        <v>0</v>
      </c>
      <c r="C7" s="126">
        <f>SUMIF(HK!A:A,"013*",HK!I:I)</f>
        <v>0</v>
      </c>
      <c r="D7" s="126">
        <f>SUMIF(HK!A:A,"014*",HK!I:I)</f>
        <v>0</v>
      </c>
      <c r="E7" s="126">
        <f>SUMIF(HK!A:A,"015*",HK!I:I)</f>
        <v>0</v>
      </c>
      <c r="F7" s="126">
        <f>SUMIF(HK!A:A,"019*",HK!I:I)</f>
        <v>0</v>
      </c>
      <c r="G7" s="126">
        <f>SUMIF(HK!A:A,"041*",HK!I:I)</f>
        <v>0</v>
      </c>
      <c r="H7" s="126">
        <f>SUMIF(HK!A:A,"051*",HK!I:I)</f>
        <v>0</v>
      </c>
      <c r="I7" s="111">
        <f>SUM(B7:H7)</f>
        <v>0</v>
      </c>
      <c r="J7" s="95"/>
      <c r="K7" s="95"/>
      <c r="L7" s="95"/>
    </row>
    <row r="8" spans="1:12" ht="15" customHeight="1" thickBot="1" x14ac:dyDescent="0.3">
      <c r="A8" s="13" t="s">
        <v>19</v>
      </c>
      <c r="B8" s="89">
        <f>SUMIF(HK!A:A,"012*",HK!J:J)</f>
        <v>0</v>
      </c>
      <c r="C8" s="89">
        <f>SUMIF(HK!A:A,"013*",HK!J:J)</f>
        <v>0</v>
      </c>
      <c r="D8" s="89">
        <f>SUMIF(HK!A:A,"014*",HK!J:J)</f>
        <v>0</v>
      </c>
      <c r="E8" s="89">
        <f>SUMIF(HK!A:A,"015*",HK!J:J)</f>
        <v>0</v>
      </c>
      <c r="F8" s="90">
        <f>SUMIF(HK!A:A,"019*",HK!J:J)</f>
        <v>0</v>
      </c>
      <c r="G8" s="89">
        <f>SUMIF(HK!A:A,"041*",HK!J:J)</f>
        <v>0</v>
      </c>
      <c r="H8" s="89">
        <f>SUMIF(HK!A:A,"051*",HK!J:J)</f>
        <v>0</v>
      </c>
      <c r="I8" s="111">
        <f t="shared" ref="I8:I9" si="0">SUM(B8:H8)</f>
        <v>0</v>
      </c>
      <c r="J8" s="95"/>
      <c r="K8" s="95"/>
      <c r="L8" s="95"/>
    </row>
    <row r="9" spans="1:12" ht="23.25" customHeight="1" thickBot="1" x14ac:dyDescent="0.3">
      <c r="A9" s="13" t="s">
        <v>20</v>
      </c>
      <c r="B9" s="89"/>
      <c r="C9" s="126"/>
      <c r="D9" s="126"/>
      <c r="E9" s="126"/>
      <c r="F9" s="126"/>
      <c r="G9" s="126"/>
      <c r="H9" s="126"/>
      <c r="I9" s="111">
        <f t="shared" si="0"/>
        <v>0</v>
      </c>
      <c r="J9" s="95"/>
      <c r="K9" s="95"/>
      <c r="L9" s="95"/>
    </row>
    <row r="10" spans="1:12" ht="15.75" thickBot="1" x14ac:dyDescent="0.3">
      <c r="A10" s="21" t="s">
        <v>21</v>
      </c>
      <c r="B10" s="126">
        <f>SUMIF(HK!A:A,"012*",HK!K:K)-SUMIF(HK!A:A,"012*",HK!L:L)</f>
        <v>0</v>
      </c>
      <c r="C10" s="126">
        <f>SUMIF(HK!A:A,"013*",HK!K:K)-SUMIF(HK!A:A,"013*",HK!L:L)</f>
        <v>2419.9899999999998</v>
      </c>
      <c r="D10" s="126">
        <f>SUMIF(HK!A:A,"014*",HK!K:K)-SUMIF(HK!A:A,"014*",HK!L:L)</f>
        <v>0</v>
      </c>
      <c r="E10" s="126">
        <f>SUMIF(HK!A:A,"015*",HK!K:K)-SUMIF(HK!A:A,"015*",HK!L:L)</f>
        <v>0</v>
      </c>
      <c r="F10" s="126">
        <f>SUMIF(HK!A:A,"019*",HK!K:K)-SUMIF(HK!A:A,"019*",HK!L:L)</f>
        <v>0</v>
      </c>
      <c r="G10" s="126">
        <f>SUMIF(HK!A:A,"041*",HK!K:K)-SUMIF(HK!A:A,"041*",HK!L:L)</f>
        <v>0</v>
      </c>
      <c r="H10" s="126">
        <f>SUMIF(HK!A:A,"051*",HK!K:K)-SUMIF(HK!A:A,"051*",HK!L:L)</f>
        <v>0</v>
      </c>
      <c r="I10" s="113">
        <f>I6+I7-I8+I9</f>
        <v>2419.9899999999998</v>
      </c>
      <c r="J10" s="95"/>
      <c r="K10" s="112"/>
      <c r="L10" s="95"/>
    </row>
    <row r="11" spans="1:12" ht="15" customHeight="1" thickTop="1" thickBot="1" x14ac:dyDescent="0.3">
      <c r="A11" s="25" t="s">
        <v>22</v>
      </c>
      <c r="B11" s="127"/>
      <c r="C11" s="127"/>
      <c r="D11" s="128"/>
      <c r="E11" s="127"/>
      <c r="F11" s="127"/>
      <c r="G11" s="127"/>
      <c r="H11" s="127"/>
      <c r="I11" s="115"/>
      <c r="J11" s="95"/>
      <c r="K11" s="95"/>
      <c r="L11" s="95"/>
    </row>
    <row r="12" spans="1:12" ht="16.5" thickTop="1" thickBot="1" x14ac:dyDescent="0.3">
      <c r="A12" s="28" t="s">
        <v>23</v>
      </c>
      <c r="B12" s="126">
        <f>SUMIF(HK!A:A,"071*",HK!D:D)-SUMIF(HK!A:A,"071*",HK!C:C)</f>
        <v>0</v>
      </c>
      <c r="C12" s="126">
        <f>SUMIF(HK!A:A,"073*",HK!D:D)-SUMIF(HK!A:A,"073*",HK!C:C)</f>
        <v>408</v>
      </c>
      <c r="D12" s="129">
        <f>SUMIF(HK!A:A,"074*",HK!D:D)-SUMIF(HK!A:A,"074*",HK!C:C)</f>
        <v>0</v>
      </c>
      <c r="E12" s="126">
        <f>SUMIF(HK!A:A,"075*",HK!D:D)-SUMIF(HK!A:A,"075*",HK!C:C)</f>
        <v>0</v>
      </c>
      <c r="F12" s="126">
        <f>SUMIF(HK!A:A,"079*",HK!D:D)-SUMIF(HK!A:A,"079*",HK!C:C)</f>
        <v>0</v>
      </c>
      <c r="G12" s="130"/>
      <c r="H12" s="130"/>
      <c r="I12" s="111">
        <f>SUM(B12:H12)</f>
        <v>408</v>
      </c>
      <c r="J12" s="95"/>
      <c r="K12" s="112"/>
      <c r="L12" s="95"/>
    </row>
    <row r="13" spans="1:12" ht="22.5" customHeight="1" thickBot="1" x14ac:dyDescent="0.3">
      <c r="A13" s="13" t="s">
        <v>18</v>
      </c>
      <c r="B13" s="89">
        <f>SUMIF(HK!A:A,"071*",HK!J:J)</f>
        <v>0</v>
      </c>
      <c r="C13" s="126">
        <f>SUMIF(HK!A:A,"073*",HK!J:J)</f>
        <v>612</v>
      </c>
      <c r="D13" s="126">
        <f>SUMIF(HK!A:A,"074*",HK!J:J)</f>
        <v>0</v>
      </c>
      <c r="E13" s="126">
        <f>SUMIF(HK!A:A,"075*",HK!J:J)</f>
        <v>0</v>
      </c>
      <c r="F13" s="126">
        <f>SUMIF(HK!A:A,"079*",HK!J:J)</f>
        <v>0</v>
      </c>
      <c r="G13" s="116"/>
      <c r="H13" s="116"/>
      <c r="I13" s="111">
        <f t="shared" ref="I13:I14" si="1">SUM(B13:H13)</f>
        <v>612</v>
      </c>
      <c r="J13" s="95"/>
      <c r="K13" s="95"/>
      <c r="L13" s="95"/>
    </row>
    <row r="14" spans="1:12" ht="21.75" customHeight="1" thickBot="1" x14ac:dyDescent="0.3">
      <c r="A14" s="13" t="s">
        <v>19</v>
      </c>
      <c r="B14" s="126">
        <f>SUMIF(HK!A:A,"071*",HK!I:I)</f>
        <v>0</v>
      </c>
      <c r="C14" s="126">
        <f>SUMIF(HK!A:A,"073*",HK!I:I)</f>
        <v>0</v>
      </c>
      <c r="D14" s="126">
        <f>SUMIF(HK!A:A,"074*",HK!I:I)</f>
        <v>0</v>
      </c>
      <c r="E14" s="126">
        <f>SUMIF(HK!A:A,"075*",HK!I:I)</f>
        <v>0</v>
      </c>
      <c r="F14" s="126">
        <f>SUMIF(HK!A:A,"079*",HK!I:I)</f>
        <v>0</v>
      </c>
      <c r="G14" s="116"/>
      <c r="H14" s="116"/>
      <c r="I14" s="111">
        <f t="shared" si="1"/>
        <v>0</v>
      </c>
      <c r="J14" s="95"/>
      <c r="K14" s="95"/>
      <c r="L14" s="95"/>
    </row>
    <row r="15" spans="1:12" ht="23.25" customHeight="1" thickBot="1" x14ac:dyDescent="0.3">
      <c r="A15" s="13" t="s">
        <v>20</v>
      </c>
      <c r="B15" s="89"/>
      <c r="C15" s="126"/>
      <c r="D15" s="126"/>
      <c r="E15" s="126"/>
      <c r="F15" s="126"/>
      <c r="G15" s="126"/>
      <c r="H15" s="126"/>
      <c r="I15" s="111">
        <f t="shared" ref="I15" si="2">SUM(B15:H15)</f>
        <v>0</v>
      </c>
      <c r="J15" s="95"/>
      <c r="K15" s="95"/>
      <c r="L15" s="95"/>
    </row>
    <row r="16" spans="1:12" ht="15.75" thickBot="1" x14ac:dyDescent="0.3">
      <c r="A16" s="21" t="s">
        <v>21</v>
      </c>
      <c r="B16" s="126">
        <f>SUMIF(HK!A:A,"071*",HK!L:L)-SUMIF(HK!A:A,"071*",HK!K:K)</f>
        <v>0</v>
      </c>
      <c r="C16" s="126">
        <f>SUMIF(HK!A:A,"073*",HK!L:L)-SUMIF(HK!A:A,"073*",HK!K:K)</f>
        <v>1020</v>
      </c>
      <c r="D16" s="126">
        <f>SUMIF(HK!A:A,"074*",HK!L:L)-SUMIF(HK!A:A,"074*",HK!K:K)</f>
        <v>0</v>
      </c>
      <c r="E16" s="126">
        <f>SUMIF(HK!A:A,"075*",HK!L:L)-SUMIF(HK!A:A,"075*",HK!K:K)</f>
        <v>0</v>
      </c>
      <c r="F16" s="126">
        <f>SUMIF(HK!A:A,"079*",HK!L:L)-SUMIF(HK!A:A,"079*",HK!K:K)</f>
        <v>0</v>
      </c>
      <c r="G16" s="117"/>
      <c r="H16" s="117"/>
      <c r="I16" s="113">
        <f>I12+I13-I14</f>
        <v>1020</v>
      </c>
      <c r="J16" s="95"/>
      <c r="K16" s="112"/>
      <c r="L16" s="95"/>
    </row>
    <row r="17" spans="1:13" ht="15" customHeight="1" thickTop="1" thickBot="1" x14ac:dyDescent="0.3">
      <c r="A17" s="25" t="s">
        <v>24</v>
      </c>
      <c r="B17" s="127"/>
      <c r="C17" s="127"/>
      <c r="D17" s="127"/>
      <c r="E17" s="127"/>
      <c r="F17" s="127"/>
      <c r="G17" s="127"/>
      <c r="H17" s="127"/>
      <c r="I17" s="115"/>
      <c r="J17" s="95"/>
      <c r="K17" s="95"/>
      <c r="L17" s="95"/>
    </row>
    <row r="18" spans="1:13" ht="16.5" thickTop="1" thickBot="1" x14ac:dyDescent="0.3">
      <c r="A18" s="28" t="s">
        <v>23</v>
      </c>
      <c r="B18" s="126"/>
      <c r="C18" s="126"/>
      <c r="D18" s="126"/>
      <c r="E18" s="126"/>
      <c r="F18" s="126"/>
      <c r="G18" s="126">
        <f>SUMIF(HK!A:A,"093*",HK!D:D)-SUMIF(HK!A:A,"093*",HK!C:C)</f>
        <v>0</v>
      </c>
      <c r="H18" s="126">
        <f>SUMIF(SUAM!C:C,"010",SUAM!E:E)</f>
        <v>0</v>
      </c>
      <c r="I18" s="111">
        <f>SUM(B18:H18)</f>
        <v>0</v>
      </c>
      <c r="J18" s="95"/>
      <c r="K18" s="112"/>
      <c r="L18" s="118"/>
      <c r="M18" s="73"/>
    </row>
    <row r="19" spans="1:13" ht="15" customHeight="1" thickBot="1" x14ac:dyDescent="0.3">
      <c r="A19" s="13" t="s">
        <v>18</v>
      </c>
      <c r="B19" s="89"/>
      <c r="C19" s="89"/>
      <c r="D19" s="89"/>
      <c r="E19" s="89"/>
      <c r="F19" s="89"/>
      <c r="G19" s="89">
        <f>SUMIF(HK!A:A,"093*",HK!J:J)</f>
        <v>0</v>
      </c>
      <c r="H19" s="89"/>
      <c r="I19" s="111">
        <f t="shared" ref="I19:I21" si="3">SUM(B19:H19)</f>
        <v>0</v>
      </c>
      <c r="J19" s="95"/>
      <c r="K19" s="119"/>
      <c r="L19" s="95"/>
    </row>
    <row r="20" spans="1:13" ht="15" customHeight="1" thickBot="1" x14ac:dyDescent="0.3">
      <c r="A20" s="13" t="s">
        <v>19</v>
      </c>
      <c r="B20" s="89"/>
      <c r="C20" s="89"/>
      <c r="D20" s="89"/>
      <c r="E20" s="89"/>
      <c r="F20" s="89"/>
      <c r="G20" s="89">
        <f>SUMIF(HK!A:A,"093*",HK!I:I)</f>
        <v>0</v>
      </c>
      <c r="H20" s="89"/>
      <c r="I20" s="111">
        <f t="shared" si="3"/>
        <v>0</v>
      </c>
      <c r="J20" s="95"/>
      <c r="K20" s="119"/>
      <c r="L20" s="95"/>
    </row>
    <row r="21" spans="1:13" ht="23.25" customHeight="1" thickBot="1" x14ac:dyDescent="0.3">
      <c r="A21" s="13" t="s">
        <v>20</v>
      </c>
      <c r="B21" s="89"/>
      <c r="C21" s="126"/>
      <c r="D21" s="126"/>
      <c r="E21" s="126"/>
      <c r="F21" s="126"/>
      <c r="G21" s="126"/>
      <c r="H21" s="126"/>
      <c r="I21" s="111">
        <f t="shared" si="3"/>
        <v>0</v>
      </c>
      <c r="J21" s="95"/>
      <c r="K21" s="95"/>
      <c r="L21" s="95"/>
    </row>
    <row r="22" spans="1:13" ht="15.75" thickBot="1" x14ac:dyDescent="0.3">
      <c r="A22" s="21" t="s">
        <v>21</v>
      </c>
      <c r="B22" s="126"/>
      <c r="C22" s="126"/>
      <c r="D22" s="126"/>
      <c r="E22" s="126"/>
      <c r="F22" s="126"/>
      <c r="G22" s="126">
        <f>SUMIF(HK!A:A,"093*",HK!L:L)-SUMIF(HK!A:A,"093*",HK!K:K)</f>
        <v>0</v>
      </c>
      <c r="H22" s="126">
        <f>SUMIF(SUA!C:C,"010",SUA!E:E)</f>
        <v>0</v>
      </c>
      <c r="I22" s="113">
        <f>I18+I19-I20</f>
        <v>0</v>
      </c>
      <c r="J22" s="95"/>
      <c r="K22" s="112"/>
      <c r="L22" s="118"/>
      <c r="M22" s="73"/>
    </row>
    <row r="23" spans="1:13" ht="15" customHeight="1" thickTop="1" thickBot="1" x14ac:dyDescent="0.3">
      <c r="A23" s="25" t="s">
        <v>25</v>
      </c>
      <c r="B23" s="127"/>
      <c r="C23" s="127"/>
      <c r="D23" s="127"/>
      <c r="E23" s="127"/>
      <c r="F23" s="127"/>
      <c r="G23" s="127"/>
      <c r="H23" s="127"/>
      <c r="I23" s="115"/>
      <c r="J23" s="95"/>
      <c r="K23" s="95"/>
      <c r="L23" s="95"/>
    </row>
    <row r="24" spans="1:13" ht="15" customHeight="1" thickTop="1" thickBot="1" x14ac:dyDescent="0.3">
      <c r="A24" s="28" t="s">
        <v>23</v>
      </c>
      <c r="B24" s="116"/>
      <c r="C24" s="116"/>
      <c r="D24" s="116"/>
      <c r="E24" s="116"/>
      <c r="F24" s="116"/>
      <c r="G24" s="116"/>
      <c r="H24" s="116"/>
      <c r="I24" s="111">
        <f>I6-I12-I18</f>
        <v>2011.9899999999998</v>
      </c>
      <c r="J24" s="95"/>
      <c r="K24" s="95"/>
      <c r="L24" s="95"/>
    </row>
    <row r="25" spans="1:13" ht="15" customHeight="1" thickBot="1" x14ac:dyDescent="0.3">
      <c r="A25" s="21" t="s">
        <v>21</v>
      </c>
      <c r="B25" s="117"/>
      <c r="C25" s="117"/>
      <c r="D25" s="117"/>
      <c r="E25" s="117"/>
      <c r="F25" s="117"/>
      <c r="G25" s="117"/>
      <c r="H25" s="117"/>
      <c r="I25" s="113">
        <f>I10-I16-I22</f>
        <v>1399.9899999999998</v>
      </c>
      <c r="J25" s="95"/>
      <c r="K25" s="95"/>
      <c r="L25" s="95"/>
    </row>
    <row r="26" spans="1:13" ht="15.75" thickTop="1" x14ac:dyDescent="0.25">
      <c r="A26" s="29"/>
      <c r="B26" s="120"/>
      <c r="C26" s="120"/>
      <c r="D26" s="120"/>
      <c r="E26" s="120"/>
      <c r="F26" s="120"/>
      <c r="G26" s="120"/>
      <c r="H26" s="120"/>
      <c r="I26" s="120"/>
      <c r="J26" s="95"/>
      <c r="K26" s="95"/>
      <c r="L26" s="95"/>
    </row>
    <row r="27" spans="1:13" x14ac:dyDescent="0.25">
      <c r="A27" s="30"/>
      <c r="B27" s="121"/>
      <c r="C27" s="121"/>
      <c r="D27" s="121"/>
      <c r="E27" s="121"/>
      <c r="F27" s="121"/>
      <c r="G27" s="121"/>
      <c r="H27" s="121"/>
      <c r="I27" s="121"/>
      <c r="J27" s="95"/>
      <c r="K27" s="95"/>
      <c r="L27" s="95"/>
    </row>
    <row r="28" spans="1:13" x14ac:dyDescent="0.25">
      <c r="A28" s="30" t="s">
        <v>9</v>
      </c>
      <c r="B28" s="121"/>
      <c r="C28" s="121"/>
      <c r="D28" s="121"/>
      <c r="E28" s="121"/>
      <c r="F28" s="121"/>
      <c r="G28" s="121"/>
      <c r="H28" s="121"/>
      <c r="I28" s="121"/>
      <c r="J28" s="95"/>
      <c r="K28" s="95"/>
      <c r="L28" s="95"/>
    </row>
    <row r="29" spans="1:13" ht="15.75" thickBot="1" x14ac:dyDescent="0.3">
      <c r="A29" s="29"/>
      <c r="B29" s="120"/>
      <c r="C29" s="120"/>
      <c r="D29" s="120"/>
      <c r="E29" s="120"/>
      <c r="F29" s="120"/>
      <c r="G29" s="120"/>
      <c r="H29" s="120"/>
      <c r="I29" s="121"/>
      <c r="J29" s="95"/>
      <c r="K29" s="95"/>
      <c r="L29" s="95"/>
    </row>
    <row r="30" spans="1:13" ht="15" customHeight="1" thickTop="1" thickBot="1" x14ac:dyDescent="0.3">
      <c r="A30" s="205" t="s">
        <v>11</v>
      </c>
      <c r="B30" s="207" t="s">
        <v>3</v>
      </c>
      <c r="C30" s="208"/>
      <c r="D30" s="208"/>
      <c r="E30" s="208"/>
      <c r="F30" s="208"/>
      <c r="G30" s="208"/>
      <c r="H30" s="208"/>
      <c r="I30" s="209"/>
      <c r="J30" s="95"/>
      <c r="K30" s="95"/>
      <c r="L30" s="95"/>
    </row>
    <row r="31" spans="1:13" ht="35.25" thickTop="1" thickBot="1" x14ac:dyDescent="0.3">
      <c r="A31" s="206"/>
      <c r="B31" s="122" t="s">
        <v>198</v>
      </c>
      <c r="C31" s="123" t="s">
        <v>12</v>
      </c>
      <c r="D31" s="123" t="s">
        <v>199</v>
      </c>
      <c r="E31" s="124" t="s">
        <v>13</v>
      </c>
      <c r="F31" s="122" t="s">
        <v>14</v>
      </c>
      <c r="G31" s="123" t="s">
        <v>200</v>
      </c>
      <c r="H31" s="123" t="s">
        <v>15</v>
      </c>
      <c r="I31" s="123" t="s">
        <v>8</v>
      </c>
      <c r="J31" s="95"/>
      <c r="K31" s="95"/>
      <c r="L31" s="95"/>
    </row>
    <row r="32" spans="1:13" ht="15" customHeight="1" thickTop="1" thickBot="1" x14ac:dyDescent="0.3">
      <c r="A32" s="25" t="s">
        <v>16</v>
      </c>
      <c r="B32" s="114"/>
      <c r="C32" s="114"/>
      <c r="D32" s="114"/>
      <c r="E32" s="114"/>
      <c r="F32" s="114"/>
      <c r="G32" s="114"/>
      <c r="H32" s="114"/>
      <c r="I32" s="115"/>
      <c r="J32" s="95"/>
      <c r="K32" s="95"/>
      <c r="L32" s="95"/>
    </row>
    <row r="33" spans="1:13" ht="16.5" thickTop="1" thickBot="1" x14ac:dyDescent="0.3">
      <c r="A33" s="28" t="s">
        <v>17</v>
      </c>
      <c r="B33" s="126">
        <f>SUMIF(HKM!A:A,"012*",HKM!C:C)-SUMIF(HKM!A:A,"012*",HKM!D:D)</f>
        <v>0</v>
      </c>
      <c r="C33" s="126">
        <f>SUMIF(HKM!A:A,"013*",HKM!C:C)-SUMIF(HKM!A:A,"013*",HKM!D:D)</f>
        <v>0</v>
      </c>
      <c r="D33" s="126">
        <f>SUMIF(HKM!A:A,"014*",HKM!C:C)-SUMIF(HKM!A:A,"014*",HKM!D:D)</f>
        <v>0</v>
      </c>
      <c r="E33" s="126">
        <f>SUMIF(HKM!A:A,"015*",HKM!C:C)-SUMIF(HKM!A:A,"015*",HKM!D:D)</f>
        <v>0</v>
      </c>
      <c r="F33" s="126">
        <f>SUMIF(HKM!A:A,"019*",HKM!C:C)-SUMIF(HKM!A:A,"019*",HKM!D:D)</f>
        <v>0</v>
      </c>
      <c r="G33" s="126">
        <f>SUMIF(HKM!A:A,"041*",HKM!C:C)-SUMIF(HKM!A:A,"041*",HKM!D:D)</f>
        <v>2419.9899999999998</v>
      </c>
      <c r="H33" s="126">
        <f>SUMIF(HKM!A:A,"051*",HKM!C:C)-SUMIF(HKM!A:A,"051*",HKM!D:D)</f>
        <v>0</v>
      </c>
      <c r="I33" s="111">
        <f>SUM(B33:H33)</f>
        <v>2419.9899999999998</v>
      </c>
      <c r="J33" s="95"/>
      <c r="K33" s="112"/>
      <c r="L33" s="95"/>
    </row>
    <row r="34" spans="1:13" ht="15" customHeight="1" thickBot="1" x14ac:dyDescent="0.3">
      <c r="A34" s="13" t="s">
        <v>18</v>
      </c>
      <c r="B34" s="89">
        <f>SUMIF(HKM!A:A,"012*",HKM!I:I)</f>
        <v>0</v>
      </c>
      <c r="C34" s="89">
        <f>SUMIF(HKM!A:A,"013*",HKM!I:I)</f>
        <v>2419.9899999999998</v>
      </c>
      <c r="D34" s="89">
        <f>SUMIF(HKM!A:A,"014*",HKM!I:I)</f>
        <v>0</v>
      </c>
      <c r="E34" s="89">
        <f>SUMIF(HKM!A:A,"015*",HKM!I:I)</f>
        <v>0</v>
      </c>
      <c r="F34" s="90">
        <f>SUMIF(HKM!A:A,"019*",HKM!I:I)</f>
        <v>0</v>
      </c>
      <c r="G34" s="89">
        <f>SUMIF(HKM!A:A,"041*",HKM!I:I)</f>
        <v>0</v>
      </c>
      <c r="H34" s="89">
        <f>SUMIF(HKM!A:A,"051*",HKM!I:I)</f>
        <v>0</v>
      </c>
      <c r="I34" s="111">
        <f>SUM(B34:H34)</f>
        <v>2419.9899999999998</v>
      </c>
      <c r="J34" s="95"/>
      <c r="K34" s="95"/>
      <c r="L34" s="95"/>
    </row>
    <row r="35" spans="1:13" ht="15" customHeight="1" thickBot="1" x14ac:dyDescent="0.3">
      <c r="A35" s="13" t="s">
        <v>19</v>
      </c>
      <c r="B35" s="89">
        <f>SUMIF(HKM!A:A,"012*",HKM!J:J)</f>
        <v>0</v>
      </c>
      <c r="C35" s="89">
        <f>SUMIF(HKM!A:A,"013*",HKM!J:J)</f>
        <v>0</v>
      </c>
      <c r="D35" s="89">
        <f>SUMIF(HKM!A:A,"014*",HKM!J:J)</f>
        <v>0</v>
      </c>
      <c r="E35" s="89">
        <f>SUMIF(HKM!A:A,"015*",HKM!J:J)</f>
        <v>0</v>
      </c>
      <c r="F35" s="90">
        <f>SUMIF(HKM!A:A,"019*",HKM!J:J)</f>
        <v>0</v>
      </c>
      <c r="G35" s="89">
        <f>SUMIF(HKM!A:A,"041*",HKM!J:J)</f>
        <v>2419.9899999999998</v>
      </c>
      <c r="H35" s="89">
        <f>SUMIF(HKM!A:A,"051*",HKM!J:J)</f>
        <v>0</v>
      </c>
      <c r="I35" s="111">
        <f t="shared" ref="I35:I36" si="4">SUM(B35:H35)</f>
        <v>2419.9899999999998</v>
      </c>
      <c r="J35" s="95"/>
      <c r="K35" s="95"/>
      <c r="L35" s="95"/>
    </row>
    <row r="36" spans="1:13" ht="15" customHeight="1" thickBot="1" x14ac:dyDescent="0.3">
      <c r="A36" s="13" t="s">
        <v>20</v>
      </c>
      <c r="B36" s="89"/>
      <c r="C36" s="89"/>
      <c r="D36" s="89"/>
      <c r="E36" s="89"/>
      <c r="F36" s="90"/>
      <c r="G36" s="89"/>
      <c r="H36" s="89"/>
      <c r="I36" s="111">
        <f t="shared" si="4"/>
        <v>0</v>
      </c>
      <c r="J36" s="95"/>
      <c r="K36" s="95"/>
      <c r="L36" s="95"/>
    </row>
    <row r="37" spans="1:13" ht="15.75" thickBot="1" x14ac:dyDescent="0.3">
      <c r="A37" s="21" t="s">
        <v>21</v>
      </c>
      <c r="B37" s="126">
        <f>SUMIF(HKM!A:A,"012*",HKM!K:K)-SUMIF(HKM!A:A,"012*",HKM!L:L)</f>
        <v>0</v>
      </c>
      <c r="C37" s="126">
        <f>SUMIF(HKM!A:A,"013*",HKM!K:K)-SUMIF(HKM!A:A,"013*",HKM!L:L)</f>
        <v>2419.9899999999998</v>
      </c>
      <c r="D37" s="126">
        <f>SUMIF(HKM!A:A,"014*",HKM!K:K)-SUMIF(HKM!A:A,"014*",HKM!L:L)</f>
        <v>0</v>
      </c>
      <c r="E37" s="126">
        <f>SUMIF(HKM!A:A,"015*",HKM!K:K)-SUMIF(HKM!A:A,"015*",HKM!L:L)</f>
        <v>0</v>
      </c>
      <c r="F37" s="126">
        <f>SUMIF(HKM!A:A,"019*",HKM!K:K)-SUMIF(HKM!A:A,"019*",HKM!L:L)</f>
        <v>0</v>
      </c>
      <c r="G37" s="126">
        <f>SUMIF(HKM!A:A,"041*",HKM!K:K)-SUMIF(HKM!A:A,"041*",HKM!L:L)</f>
        <v>0</v>
      </c>
      <c r="H37" s="126">
        <f>SUMIF(HKM!A:A,"051*",HKM!K:K)-SUMIF(HKM!A:A,"051*",HKM!L:L)</f>
        <v>0</v>
      </c>
      <c r="I37" s="113">
        <f>I33+I34-I35+I36</f>
        <v>2419.9899999999998</v>
      </c>
      <c r="J37" s="95"/>
      <c r="K37" s="112"/>
      <c r="L37" s="95"/>
    </row>
    <row r="38" spans="1:13" ht="15" customHeight="1" thickTop="1" thickBot="1" x14ac:dyDescent="0.3">
      <c r="A38" s="25" t="s">
        <v>22</v>
      </c>
      <c r="B38" s="131"/>
      <c r="C38" s="131"/>
      <c r="D38" s="131"/>
      <c r="E38" s="131"/>
      <c r="F38" s="131"/>
      <c r="G38" s="131"/>
      <c r="H38" s="131"/>
      <c r="I38" s="115"/>
      <c r="J38" s="95"/>
      <c r="K38" s="95"/>
      <c r="L38" s="95"/>
    </row>
    <row r="39" spans="1:13" ht="16.5" thickTop="1" thickBot="1" x14ac:dyDescent="0.3">
      <c r="A39" s="28" t="s">
        <v>23</v>
      </c>
      <c r="B39" s="126">
        <f>SUMIF(HKM!A:A,"071*",HKM!D:D)-SUMIF(HKM!A:A,"071*",HKM!C:C)</f>
        <v>0</v>
      </c>
      <c r="C39" s="126">
        <f>SUMIF(HKM!A:A,"073*",HKM!D:D)-SUMIF(HKM!A:A,"073*",HKM!C:C)</f>
        <v>0</v>
      </c>
      <c r="D39" s="126">
        <f>SUMIF(HKM!A:A,"074*",HKM!D:D)-SUMIF(HKM!A:A,"074*",HKM!C:C)</f>
        <v>0</v>
      </c>
      <c r="E39" s="126">
        <f>SUMIF(HKM!A:A,"075*",HKM!D:D)-SUMIF(HKM!A:A,"075*",HKM!C:C)</f>
        <v>0</v>
      </c>
      <c r="F39" s="126">
        <f>SUMIF(HKM!A:A,"079*",HKM!D:D)-SUMIF(HKM!A:A,"079*",HKM!C:C)</f>
        <v>0</v>
      </c>
      <c r="G39" s="126"/>
      <c r="H39" s="126"/>
      <c r="I39" s="111">
        <f>SUM(B39:H39)</f>
        <v>0</v>
      </c>
      <c r="J39" s="95"/>
      <c r="K39" s="112"/>
      <c r="L39" s="95"/>
    </row>
    <row r="40" spans="1:13" ht="15" customHeight="1" thickBot="1" x14ac:dyDescent="0.3">
      <c r="A40" s="13" t="s">
        <v>18</v>
      </c>
      <c r="B40" s="89">
        <f>SUMIF(HKM!A:A,"071*",HKM!J:J)</f>
        <v>0</v>
      </c>
      <c r="C40" s="89">
        <f>SUMIF(HKM!A:A,"073*",HKM!J:J)</f>
        <v>408</v>
      </c>
      <c r="D40" s="89">
        <f>SUMIF(HKM!A:A,"074*",HKM!J:J)</f>
        <v>0</v>
      </c>
      <c r="E40" s="89">
        <f>SUMIF(HKM!A:A,"075*",HKM!J:J)</f>
        <v>0</v>
      </c>
      <c r="F40" s="89">
        <f>SUMIF(HKM!A:A,"079*",HKM!J:J)</f>
        <v>0</v>
      </c>
      <c r="G40" s="89"/>
      <c r="H40" s="89"/>
      <c r="I40" s="111">
        <f t="shared" ref="I40:I41" si="5">SUM(B40:H40)</f>
        <v>408</v>
      </c>
      <c r="J40" s="95"/>
      <c r="K40" s="95"/>
      <c r="L40" s="95"/>
    </row>
    <row r="41" spans="1:13" ht="15" customHeight="1" thickBot="1" x14ac:dyDescent="0.3">
      <c r="A41" s="13" t="s">
        <v>19</v>
      </c>
      <c r="B41" s="89">
        <f>SUMIF(HKM!A:A,"071*",HKM!I:I)</f>
        <v>0</v>
      </c>
      <c r="C41" s="89">
        <f>SUMIF(HKM!A:A,"073*",HKM!I:I)</f>
        <v>0</v>
      </c>
      <c r="D41" s="89">
        <f>SUMIF(HKM!A:A,"074*",HKM!I:I)</f>
        <v>0</v>
      </c>
      <c r="E41" s="89">
        <f>SUMIF(HKM!A:A,"075*",HKM!I:I)</f>
        <v>0</v>
      </c>
      <c r="F41" s="89">
        <f>SUMIF(HKM!A:A,"079*",HKM!I:I)</f>
        <v>0</v>
      </c>
      <c r="G41" s="89"/>
      <c r="H41" s="89"/>
      <c r="I41" s="111">
        <f t="shared" si="5"/>
        <v>0</v>
      </c>
      <c r="J41" s="95"/>
      <c r="K41" s="95"/>
      <c r="L41" s="95"/>
    </row>
    <row r="42" spans="1:13" ht="15.75" thickBot="1" x14ac:dyDescent="0.3">
      <c r="A42" s="21" t="s">
        <v>21</v>
      </c>
      <c r="B42" s="126">
        <f>SUMIF(HKM!A:A,"071*",HKM!L:L)-SUMIF(HKM!A:A,"071*",HKM!K:K)</f>
        <v>0</v>
      </c>
      <c r="C42" s="126">
        <f>SUMIF(HKM!A:A,"073*",HKM!L:L)-SUMIF(HKM!A:A,"073*",HKM!K:K)</f>
        <v>408</v>
      </c>
      <c r="D42" s="126">
        <f>SUMIF(HKM!A:A,"074*",HKM!L:L)-SUMIF(HKM!A:A,"074*",HKM!K:K)</f>
        <v>0</v>
      </c>
      <c r="E42" s="126">
        <f>SUMIF(HKM!A:A,"075*",HKM!L:L)-SUMIF(HKM!A:A,"075*",HKM!K:K)</f>
        <v>0</v>
      </c>
      <c r="F42" s="126">
        <f>SUMIF(HKM!A:A,"079*",HKM!L:L)-SUMIF(HKM!A:A,"079*",HKM!K:K)</f>
        <v>0</v>
      </c>
      <c r="G42" s="92"/>
      <c r="H42" s="92"/>
      <c r="I42" s="113">
        <f>I39+I40-I41</f>
        <v>408</v>
      </c>
      <c r="J42" s="95"/>
      <c r="K42" s="112"/>
      <c r="L42" s="95"/>
    </row>
    <row r="43" spans="1:13" ht="15" customHeight="1" thickTop="1" thickBot="1" x14ac:dyDescent="0.3">
      <c r="A43" s="25" t="s">
        <v>24</v>
      </c>
      <c r="B43" s="131"/>
      <c r="C43" s="131"/>
      <c r="D43" s="131"/>
      <c r="E43" s="131"/>
      <c r="F43" s="131"/>
      <c r="G43" s="131"/>
      <c r="H43" s="131"/>
      <c r="I43" s="115"/>
      <c r="J43" s="95"/>
      <c r="K43" s="95"/>
      <c r="L43" s="95"/>
    </row>
    <row r="44" spans="1:13" ht="16.5" thickTop="1" thickBot="1" x14ac:dyDescent="0.3">
      <c r="A44" s="28" t="s">
        <v>23</v>
      </c>
      <c r="B44" s="126"/>
      <c r="C44" s="126"/>
      <c r="D44" s="126"/>
      <c r="E44" s="126"/>
      <c r="F44" s="126"/>
      <c r="G44" s="126">
        <f>SUMIF(HKM!A:A,"093*",HKM!D:D)-SUMIF(HKM!A:A,"093*",HKM!C:C)</f>
        <v>0</v>
      </c>
      <c r="H44" s="126"/>
      <c r="I44" s="111">
        <f>SUM(B44:H44)</f>
        <v>0</v>
      </c>
      <c r="J44" s="95"/>
      <c r="K44" s="112"/>
      <c r="L44" s="125"/>
      <c r="M44" s="73"/>
    </row>
    <row r="45" spans="1:13" ht="15" customHeight="1" thickBot="1" x14ac:dyDescent="0.3">
      <c r="A45" s="13" t="s">
        <v>18</v>
      </c>
      <c r="B45" s="89"/>
      <c r="C45" s="89"/>
      <c r="D45" s="89"/>
      <c r="E45" s="89"/>
      <c r="F45" s="89"/>
      <c r="G45" s="89">
        <f>SUMIF(HKM!A:A,"093*",HKM!J:J)</f>
        <v>0</v>
      </c>
      <c r="H45" s="89"/>
      <c r="I45" s="111">
        <f t="shared" ref="I45:I46" si="6">SUM(B45:H45)</f>
        <v>0</v>
      </c>
      <c r="J45" s="95"/>
      <c r="K45" s="119"/>
      <c r="L45" s="95"/>
    </row>
    <row r="46" spans="1:13" ht="15" customHeight="1" thickBot="1" x14ac:dyDescent="0.3">
      <c r="A46" s="13" t="s">
        <v>19</v>
      </c>
      <c r="B46" s="89"/>
      <c r="C46" s="89"/>
      <c r="D46" s="89"/>
      <c r="E46" s="89"/>
      <c r="F46" s="89"/>
      <c r="G46" s="89">
        <f>SUMIF(HKM!A:A,"093*",HKM!I:I)</f>
        <v>0</v>
      </c>
      <c r="H46" s="89"/>
      <c r="I46" s="111">
        <f t="shared" si="6"/>
        <v>0</v>
      </c>
      <c r="J46" s="95"/>
      <c r="K46" s="119"/>
      <c r="L46" s="95"/>
    </row>
    <row r="47" spans="1:13" ht="15.75" thickBot="1" x14ac:dyDescent="0.3">
      <c r="A47" s="21" t="s">
        <v>21</v>
      </c>
      <c r="B47" s="126"/>
      <c r="C47" s="126"/>
      <c r="D47" s="126"/>
      <c r="E47" s="126"/>
      <c r="F47" s="126"/>
      <c r="G47" s="126">
        <f>SUMIF(HKM!A:A,"093*",HKM!L:L)-SUMIF(HKM!A:A,"093*",HKM!K:K)</f>
        <v>0</v>
      </c>
      <c r="H47" s="126">
        <f>SUMIF(SUAM!C:C,"010",SUAM!E:E)</f>
        <v>0</v>
      </c>
      <c r="I47" s="113">
        <f>I44+I45-I46</f>
        <v>0</v>
      </c>
      <c r="J47" s="95"/>
      <c r="K47" s="112"/>
      <c r="L47" s="118"/>
      <c r="M47" s="73"/>
    </row>
    <row r="48" spans="1:13" ht="15" customHeight="1" thickTop="1" thickBot="1" x14ac:dyDescent="0.3">
      <c r="A48" s="25" t="s">
        <v>25</v>
      </c>
      <c r="B48" s="131"/>
      <c r="C48" s="131"/>
      <c r="D48" s="131"/>
      <c r="E48" s="131"/>
      <c r="F48" s="131"/>
      <c r="G48" s="131"/>
      <c r="H48" s="131"/>
      <c r="I48" s="115"/>
      <c r="J48" s="95"/>
      <c r="K48" s="95"/>
      <c r="L48" s="95"/>
    </row>
    <row r="49" spans="1:12" ht="15" customHeight="1" thickTop="1" thickBot="1" x14ac:dyDescent="0.3">
      <c r="A49" s="28" t="s">
        <v>23</v>
      </c>
      <c r="B49" s="89"/>
      <c r="C49" s="89"/>
      <c r="D49" s="89"/>
      <c r="E49" s="89"/>
      <c r="F49" s="89"/>
      <c r="G49" s="89"/>
      <c r="H49" s="89"/>
      <c r="I49" s="111">
        <f t="shared" ref="I49" si="7">I33-I39-I44</f>
        <v>2419.9899999999998</v>
      </c>
      <c r="J49" s="95"/>
      <c r="K49" s="95"/>
      <c r="L49" s="95"/>
    </row>
    <row r="50" spans="1:12" ht="15" customHeight="1" thickBot="1" x14ac:dyDescent="0.3">
      <c r="A50" s="21" t="s">
        <v>21</v>
      </c>
      <c r="B50" s="92"/>
      <c r="C50" s="92"/>
      <c r="D50" s="92"/>
      <c r="E50" s="92"/>
      <c r="F50" s="92"/>
      <c r="G50" s="92"/>
      <c r="H50" s="92"/>
      <c r="I50" s="113">
        <f t="shared" ref="I50" si="8">I37-I42-I47</f>
        <v>2011.9899999999998</v>
      </c>
      <c r="J50" s="95"/>
      <c r="K50" s="95"/>
      <c r="L50" s="95"/>
    </row>
    <row r="51" spans="1:12" ht="15.75" thickTop="1" x14ac:dyDescent="0.25">
      <c r="B51" s="95"/>
      <c r="C51" s="95"/>
      <c r="D51" s="95"/>
      <c r="E51" s="95"/>
      <c r="F51" s="95"/>
      <c r="G51" s="95"/>
      <c r="H51" s="95"/>
      <c r="I51" s="95"/>
      <c r="J51" s="95"/>
      <c r="K51" s="95"/>
      <c r="L51" s="95"/>
    </row>
  </sheetData>
  <mergeCells count="4">
    <mergeCell ref="A30:A31"/>
    <mergeCell ref="B30:I30"/>
    <mergeCell ref="A3:A4"/>
    <mergeCell ref="B3:I3"/>
  </mergeCells>
  <pageMargins left="0.70866141732283472" right="0.70866141732283472" top="0.74803149606299213" bottom="0.74803149606299213" header="0.31496062992125984" footer="0.31496062992125984"/>
  <pageSetup paperSize="9" orientation="landscape" r:id="rId1"/>
  <rowBreaks count="1" manualBreakCount="1">
    <brk id="26" max="16383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B18"/>
  <sheetViews>
    <sheetView workbookViewId="0">
      <selection activeCell="A2" sqref="A2"/>
    </sheetView>
  </sheetViews>
  <sheetFormatPr defaultRowHeight="15" x14ac:dyDescent="0.25"/>
  <cols>
    <col min="1" max="1" width="63.140625" style="17" customWidth="1"/>
    <col min="2" max="2" width="24.85546875" style="17" customWidth="1"/>
  </cols>
  <sheetData>
    <row r="1" spans="1:2" x14ac:dyDescent="0.25">
      <c r="A1" s="109" t="s">
        <v>261</v>
      </c>
      <c r="B1" s="109" t="s">
        <v>38</v>
      </c>
    </row>
    <row r="2" spans="1:2" x14ac:dyDescent="0.25">
      <c r="A2" s="17" t="s">
        <v>1321</v>
      </c>
      <c r="B2" s="17" t="s">
        <v>1322</v>
      </c>
    </row>
    <row r="3" spans="1:2" x14ac:dyDescent="0.25">
      <c r="A3" s="17" t="s">
        <v>1323</v>
      </c>
      <c r="B3" s="17" t="s">
        <v>1324</v>
      </c>
    </row>
    <row r="4" spans="1:2" x14ac:dyDescent="0.25">
      <c r="A4" s="17" t="s">
        <v>1325</v>
      </c>
      <c r="B4" s="17" t="s">
        <v>1326</v>
      </c>
    </row>
    <row r="5" spans="1:2" x14ac:dyDescent="0.25">
      <c r="A5" s="17" t="s">
        <v>1327</v>
      </c>
      <c r="B5" s="17" t="s">
        <v>1328</v>
      </c>
    </row>
    <row r="6" spans="1:2" x14ac:dyDescent="0.25">
      <c r="A6" s="17" t="s">
        <v>1329</v>
      </c>
      <c r="B6" s="17" t="s">
        <v>1330</v>
      </c>
    </row>
    <row r="7" spans="1:2" x14ac:dyDescent="0.25">
      <c r="A7" s="17" t="s">
        <v>1331</v>
      </c>
      <c r="B7" s="17">
        <v>45931968</v>
      </c>
    </row>
    <row r="8" spans="1:2" x14ac:dyDescent="0.25">
      <c r="A8" s="17" t="s">
        <v>1332</v>
      </c>
      <c r="B8" s="17">
        <v>2023144409</v>
      </c>
    </row>
    <row r="9" spans="1:2" x14ac:dyDescent="0.25">
      <c r="A9" s="17" t="s">
        <v>1333</v>
      </c>
    </row>
    <row r="10" spans="1:2" x14ac:dyDescent="0.25">
      <c r="A10" s="17" t="s">
        <v>1334</v>
      </c>
      <c r="B10" s="17" t="s">
        <v>1335</v>
      </c>
    </row>
    <row r="11" spans="1:2" x14ac:dyDescent="0.25">
      <c r="A11" s="17" t="s">
        <v>1336</v>
      </c>
    </row>
    <row r="12" spans="1:2" x14ac:dyDescent="0.25">
      <c r="A12" s="17" t="s">
        <v>1337</v>
      </c>
      <c r="B12" s="17" t="s">
        <v>1338</v>
      </c>
    </row>
    <row r="13" spans="1:2" x14ac:dyDescent="0.25">
      <c r="A13" s="17" t="s">
        <v>1339</v>
      </c>
      <c r="B13" s="17" t="s">
        <v>1340</v>
      </c>
    </row>
    <row r="14" spans="1:2" x14ac:dyDescent="0.25">
      <c r="A14" s="17" t="s">
        <v>1341</v>
      </c>
      <c r="B14" s="17">
        <v>4011</v>
      </c>
    </row>
    <row r="15" spans="1:2" x14ac:dyDescent="0.25">
      <c r="A15" s="17" t="s">
        <v>1342</v>
      </c>
      <c r="B15" s="17" t="s">
        <v>1343</v>
      </c>
    </row>
    <row r="16" spans="1:2" x14ac:dyDescent="0.25">
      <c r="A16" s="17" t="s">
        <v>1344</v>
      </c>
      <c r="B16" s="17" t="s">
        <v>1345</v>
      </c>
    </row>
    <row r="17" spans="1:2" x14ac:dyDescent="0.25">
      <c r="A17" s="17" t="s">
        <v>1346</v>
      </c>
    </row>
    <row r="18" spans="1:2" x14ac:dyDescent="0.25">
      <c r="A18" s="17" t="s">
        <v>1347</v>
      </c>
      <c r="B18" s="17" t="s">
        <v>1348</v>
      </c>
    </row>
  </sheetData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53"/>
  <sheetViews>
    <sheetView showGridLines="0" tabSelected="1" topLeftCell="A37" zoomScaleNormal="100" workbookViewId="0">
      <selection activeCell="C8" sqref="C8"/>
    </sheetView>
  </sheetViews>
  <sheetFormatPr defaultRowHeight="15" x14ac:dyDescent="0.25"/>
  <cols>
    <col min="1" max="1" width="29.28515625" style="95" customWidth="1"/>
    <col min="2" max="4" width="11.28515625" style="95" customWidth="1"/>
    <col min="5" max="5" width="12.5703125" style="95" customWidth="1"/>
    <col min="6" max="10" width="11.28515625" style="95" customWidth="1"/>
    <col min="11" max="16384" width="9.140625" style="95"/>
  </cols>
  <sheetData>
    <row r="1" spans="1:33" ht="16.5" x14ac:dyDescent="0.3">
      <c r="A1" s="132" t="s">
        <v>265</v>
      </c>
    </row>
    <row r="2" spans="1:33" ht="17.25" thickBot="1" x14ac:dyDescent="0.35">
      <c r="A2" s="133" t="s">
        <v>7</v>
      </c>
    </row>
    <row r="3" spans="1:33" ht="16.5" customHeight="1" thickTop="1" thickBot="1" x14ac:dyDescent="0.3">
      <c r="A3" s="213" t="s">
        <v>26</v>
      </c>
      <c r="B3" s="207" t="s">
        <v>2</v>
      </c>
      <c r="C3" s="208"/>
      <c r="D3" s="208"/>
      <c r="E3" s="208"/>
      <c r="F3" s="208"/>
      <c r="G3" s="208"/>
      <c r="H3" s="208"/>
      <c r="I3" s="208"/>
      <c r="J3" s="209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</row>
    <row r="4" spans="1:33" ht="62.25" customHeight="1" thickTop="1" thickBot="1" x14ac:dyDescent="0.3">
      <c r="A4" s="214"/>
      <c r="B4" s="124" t="s">
        <v>27</v>
      </c>
      <c r="C4" s="124" t="s">
        <v>28</v>
      </c>
      <c r="D4" s="124" t="s">
        <v>29</v>
      </c>
      <c r="E4" s="124" t="s">
        <v>201</v>
      </c>
      <c r="F4" s="124" t="s">
        <v>30</v>
      </c>
      <c r="G4" s="124" t="s">
        <v>31</v>
      </c>
      <c r="H4" s="124" t="s">
        <v>202</v>
      </c>
      <c r="I4" s="124" t="s">
        <v>32</v>
      </c>
      <c r="J4" s="124" t="s">
        <v>8</v>
      </c>
    </row>
    <row r="5" spans="1:33" ht="15" customHeight="1" thickTop="1" thickBot="1" x14ac:dyDescent="0.3">
      <c r="A5" s="135" t="s">
        <v>16</v>
      </c>
      <c r="B5" s="114"/>
      <c r="C5" s="114"/>
      <c r="D5" s="114"/>
      <c r="E5" s="114"/>
      <c r="F5" s="114"/>
      <c r="G5" s="114"/>
      <c r="H5" s="114"/>
      <c r="I5" s="114"/>
      <c r="J5" s="115"/>
      <c r="K5" s="134"/>
      <c r="L5" s="134"/>
      <c r="M5" s="134"/>
      <c r="N5" s="134"/>
      <c r="O5" s="134"/>
      <c r="P5" s="134"/>
      <c r="Q5" s="134"/>
      <c r="R5" s="134"/>
      <c r="S5" s="134"/>
      <c r="T5" s="134"/>
      <c r="U5" s="134"/>
      <c r="V5" s="134"/>
      <c r="W5" s="134"/>
      <c r="X5" s="134"/>
      <c r="Y5" s="134"/>
    </row>
    <row r="6" spans="1:33" ht="24" thickTop="1" thickBot="1" x14ac:dyDescent="0.3">
      <c r="A6" s="136" t="s">
        <v>17</v>
      </c>
      <c r="B6" s="126">
        <f>SUMIF(HK!A:A,"031*",HK!C:C)-SUMIF(HK!A:A,"031*",HK!D:D)</f>
        <v>0</v>
      </c>
      <c r="C6" s="126">
        <f>SUMIF(HK!A:A,"021*",HK!C:C)-SUMIF(HK!A:A,"021*",HK!D:D)</f>
        <v>57355.95</v>
      </c>
      <c r="D6" s="126">
        <f>SUMIF(HK!A:A,"022*",HK!C:C)-SUMIF(HK!A:A,"022*",HK!D:D)</f>
        <v>20894.5</v>
      </c>
      <c r="E6" s="126">
        <f>SUMIF(HK!A:A,"025*",HK!C:C)-SUMIF(HK!A:A,"025*",HK!D:D)</f>
        <v>0</v>
      </c>
      <c r="F6" s="126">
        <f>SUMIF(HK!A:A,"026*",HK!C:C)-SUMIF(HK!A:A,"026*",HK!D:D)</f>
        <v>0</v>
      </c>
      <c r="G6" s="126">
        <f>SUMIF(HK!A:A,"029*",HK!C:C)-SUMIF(HK!A:A,"029*",HK!D:D)</f>
        <v>2738.82</v>
      </c>
      <c r="H6" s="126">
        <f>SUMIF(HK!A:A,"042*",HK!C:C)-SUMIF(HK!A:A,"042*",HK!D:D)</f>
        <v>0</v>
      </c>
      <c r="I6" s="126">
        <f>SUMIF(HK!A:A,"052*",HK!C:C)-SUMIF(HK!A:A,"052*",HK!D:D)</f>
        <v>0</v>
      </c>
      <c r="J6" s="111">
        <f>SUM(B6:I6)</f>
        <v>80989.27</v>
      </c>
      <c r="L6" s="112"/>
    </row>
    <row r="7" spans="1:33" ht="15" customHeight="1" thickBot="1" x14ac:dyDescent="0.3">
      <c r="A7" s="137" t="s">
        <v>18</v>
      </c>
      <c r="B7" s="89">
        <f>SUMIF(HK!A:A,"031*",HK!I:I)</f>
        <v>0</v>
      </c>
      <c r="C7" s="89">
        <f>SUMIF(HK!A:A,"021*",HK!I:I)</f>
        <v>0</v>
      </c>
      <c r="D7" s="89">
        <f>SUMIF(HK!A:A,"022*",HK!I:I)</f>
        <v>0</v>
      </c>
      <c r="E7" s="89">
        <f>SUMIF(HK!A:A,"025*",HK!I:I)</f>
        <v>0</v>
      </c>
      <c r="F7" s="90">
        <f>SUMIF(HK!A:A,"026*",HK!I:I)</f>
        <v>0</v>
      </c>
      <c r="G7" s="89">
        <f>SUMIF(HK!A:A,"029*",HK!I:I)</f>
        <v>0</v>
      </c>
      <c r="H7" s="89">
        <f>SUMIF(HK!A:A,"042*",HK!I:I)</f>
        <v>0</v>
      </c>
      <c r="I7" s="89">
        <f>SUMIF(HK!A:A,"052*",HK!I:I)</f>
        <v>0</v>
      </c>
      <c r="J7" s="111">
        <f t="shared" ref="J7:J9" si="0">SUM(B7:I7)</f>
        <v>0</v>
      </c>
    </row>
    <row r="8" spans="1:33" ht="15" customHeight="1" thickBot="1" x14ac:dyDescent="0.3">
      <c r="A8" s="137" t="s">
        <v>19</v>
      </c>
      <c r="B8" s="89">
        <f>SUMIF(HK!A:A,"031*",HK!J:J)</f>
        <v>0</v>
      </c>
      <c r="C8" s="89">
        <f>SUMIF(HK!A:A,"021*",HK!J:J)</f>
        <v>0</v>
      </c>
      <c r="D8" s="89">
        <f>SUMIF(HK!A:A,"022*",HK!J:J)</f>
        <v>0</v>
      </c>
      <c r="E8" s="89">
        <f>SUMIF(HK!A:A,"025*",HK!J:J)</f>
        <v>0</v>
      </c>
      <c r="F8" s="90">
        <f>SUMIF(HK!A:A,"026*",HK!J:J)</f>
        <v>0</v>
      </c>
      <c r="G8" s="89">
        <f>SUMIF(HK!A:A,"029*",HK!J:J)</f>
        <v>0</v>
      </c>
      <c r="H8" s="89">
        <f>SUMIF(HK!A:A,"042*",HK!J:J)</f>
        <v>0</v>
      </c>
      <c r="I8" s="89">
        <f>SUMIF(HK!A:A,"052*",HK!J:J)</f>
        <v>0</v>
      </c>
      <c r="J8" s="111">
        <f t="shared" si="0"/>
        <v>0</v>
      </c>
    </row>
    <row r="9" spans="1:33" ht="15" customHeight="1" thickBot="1" x14ac:dyDescent="0.3">
      <c r="A9" s="137" t="s">
        <v>20</v>
      </c>
      <c r="B9" s="89"/>
      <c r="C9" s="89"/>
      <c r="D9" s="89"/>
      <c r="E9" s="89"/>
      <c r="F9" s="90"/>
      <c r="G9" s="89"/>
      <c r="H9" s="89"/>
      <c r="I9" s="89"/>
      <c r="J9" s="111">
        <f t="shared" si="0"/>
        <v>0</v>
      </c>
    </row>
    <row r="10" spans="1:33" ht="15.75" thickBot="1" x14ac:dyDescent="0.3">
      <c r="A10" s="138" t="s">
        <v>21</v>
      </c>
      <c r="B10" s="126">
        <f>SUMIF(HK!A:A,"031*",HK!K:K)-SUMIF(HK!A:A,"031*",HK!L:L)</f>
        <v>0</v>
      </c>
      <c r="C10" s="126">
        <f>SUMIF(HK!A:A,"021*",HK!K:K)-SUMIF(HK!A:A,"021*",HK!L:L)</f>
        <v>57355.95</v>
      </c>
      <c r="D10" s="126">
        <f>SUMIF(HK!A:A,"022*",HK!K:K)-SUMIF(HK!A:A,"022*",HK!L:L)</f>
        <v>20894.5</v>
      </c>
      <c r="E10" s="126">
        <f>SUMIF(HK!A:A,"025*",HK!K:K)-SUMIF(HK!A:A,"025*",HK!L:L)</f>
        <v>0</v>
      </c>
      <c r="F10" s="126">
        <f>SUMIF(HK!A:A,"026*",HK!K:K)-SUMIF(HK!A:A,"026*",HK!L:L)</f>
        <v>0</v>
      </c>
      <c r="G10" s="126">
        <f>SUMIF(HK!A:A,"029*",HK!K:K)-SUMIF(HK!A:A,"029*",HK!L:L)</f>
        <v>2738.82</v>
      </c>
      <c r="H10" s="126">
        <f>SUMIF(HK!A:A,"042*",HK!K:K)-SUMIF(HK!A:A,"042*",HK!L:L)</f>
        <v>0</v>
      </c>
      <c r="I10" s="126">
        <f>SUMIF(HK!A:A,"052*",HK!K:K)-SUMIF(HK!A:A,"052*",HK!L:L)</f>
        <v>0</v>
      </c>
      <c r="J10" s="113">
        <f>J6+J7-J8+J9</f>
        <v>80989.27</v>
      </c>
      <c r="L10" s="112"/>
    </row>
    <row r="11" spans="1:33" ht="15" customHeight="1" thickTop="1" thickBot="1" x14ac:dyDescent="0.3">
      <c r="A11" s="135" t="s">
        <v>22</v>
      </c>
      <c r="B11" s="131"/>
      <c r="C11" s="131"/>
      <c r="D11" s="131"/>
      <c r="E11" s="131"/>
      <c r="F11" s="131"/>
      <c r="G11" s="131"/>
      <c r="H11" s="131"/>
      <c r="I11" s="131"/>
      <c r="J11" s="115"/>
    </row>
    <row r="12" spans="1:33" ht="24" thickTop="1" thickBot="1" x14ac:dyDescent="0.3">
      <c r="A12" s="136" t="s">
        <v>23</v>
      </c>
      <c r="B12" s="89"/>
      <c r="C12" s="126">
        <f>SUMIF(HK!A:A,"081*",HK!D:D)-SUMIF(HK!A:A,"081*",HK!C:C)</f>
        <v>1911.92</v>
      </c>
      <c r="D12" s="126">
        <f>SUMIF(HK!A:A,"082*",HK!D:D)-SUMIF(HK!A:A,"082*",HK!C:C)</f>
        <v>2638.96</v>
      </c>
      <c r="E12" s="126">
        <f>SUMIF(HK!A:A,"085*",HK!D:D)-SUMIF(HK!A:A,"085*",HK!C:C)</f>
        <v>0</v>
      </c>
      <c r="F12" s="126">
        <f>SUMIF(HK!A:A,"086*",HK!D:D)-SUMIF(HK!A:A,"086*",HK!C:C)</f>
        <v>0</v>
      </c>
      <c r="G12" s="126">
        <f>SUMIF(HK!A:A,"089*",HK!D:D)-SUMIF(HK!A:A,"089*",HK!C:C)</f>
        <v>869.82</v>
      </c>
      <c r="H12" s="89"/>
      <c r="I12" s="89"/>
      <c r="J12" s="111">
        <f>SUM(B12:I12)</f>
        <v>5420.7</v>
      </c>
      <c r="L12" s="112"/>
    </row>
    <row r="13" spans="1:33" ht="15" customHeight="1" thickBot="1" x14ac:dyDescent="0.3">
      <c r="A13" s="137" t="s">
        <v>18</v>
      </c>
      <c r="B13" s="89"/>
      <c r="C13" s="89">
        <v>6161</v>
      </c>
      <c r="D13" s="89">
        <f>SUMIF(HK!A:A,"082*",HK!J:J)</f>
        <v>4123.68</v>
      </c>
      <c r="E13" s="89">
        <f>SUMIF(HK!A:A,"085*",HK!J:J)</f>
        <v>0</v>
      </c>
      <c r="F13" s="89">
        <f>SUMIF(HK!A:A,"086*",HK!J:J)</f>
        <v>0</v>
      </c>
      <c r="G13" s="89">
        <f>SUMIF(HK!A:A,"089*",HK!J:J)</f>
        <v>1369.56</v>
      </c>
      <c r="H13" s="89"/>
      <c r="I13" s="89"/>
      <c r="J13" s="111">
        <f>SUM(B13:I13)</f>
        <v>11654.24</v>
      </c>
    </row>
    <row r="14" spans="1:33" ht="15" customHeight="1" thickBot="1" x14ac:dyDescent="0.3">
      <c r="A14" s="137" t="s">
        <v>19</v>
      </c>
      <c r="B14" s="89"/>
      <c r="C14" s="89">
        <f>SUMIF(HK!A:A,"081*",HK!I:I)</f>
        <v>0</v>
      </c>
      <c r="D14" s="89">
        <f>SUMIF(HK!A:A,"082*",HK!I:I)</f>
        <v>0</v>
      </c>
      <c r="E14" s="89">
        <f>SUMIF(HK!A:A,"085*",HK!I:I)</f>
        <v>0</v>
      </c>
      <c r="F14" s="89">
        <f>SUMIF(HK!A:A,"086*",HK!I:I)</f>
        <v>0</v>
      </c>
      <c r="G14" s="89">
        <f>SUMIF(HK!A:A,"089*",HK!I:I)</f>
        <v>0</v>
      </c>
      <c r="H14" s="89"/>
      <c r="I14" s="89"/>
      <c r="J14" s="111">
        <f t="shared" ref="J13:J15" si="1">SUM(B14:I14)</f>
        <v>0</v>
      </c>
    </row>
    <row r="15" spans="1:33" ht="15" customHeight="1" thickBot="1" x14ac:dyDescent="0.3">
      <c r="A15" s="137" t="s">
        <v>20</v>
      </c>
      <c r="B15" s="89"/>
      <c r="C15" s="89"/>
      <c r="D15" s="89"/>
      <c r="E15" s="89"/>
      <c r="F15" s="90"/>
      <c r="G15" s="89"/>
      <c r="H15" s="89"/>
      <c r="I15" s="89"/>
      <c r="J15" s="111">
        <f t="shared" si="1"/>
        <v>0</v>
      </c>
    </row>
    <row r="16" spans="1:33" ht="15.75" thickBot="1" x14ac:dyDescent="0.3">
      <c r="A16" s="138" t="s">
        <v>21</v>
      </c>
      <c r="B16" s="92"/>
      <c r="C16" s="126">
        <f>SUMIF(HK!A:A,"081*",HK!L:L)-SUMIF(HK!A:A,"081*",HK!K:K)+3293</f>
        <v>8072.8</v>
      </c>
      <c r="D16" s="126">
        <f>SUMIF(HK!A:A,"082*",HK!L:L)-SUMIF(HK!A:A,"082*",HK!K:K)</f>
        <v>6762.64</v>
      </c>
      <c r="E16" s="126">
        <f>SUMIF(HK!A:A,"085*",HK!L:L)-SUMIF(HK!A:A,"085*",HK!K:K)</f>
        <v>0</v>
      </c>
      <c r="F16" s="126">
        <f>SUMIF(HK!A:A,"086*",HK!L:L)-SUMIF(HK!A:A,"086*",HK!K:K)</f>
        <v>0</v>
      </c>
      <c r="G16" s="126">
        <f>SUMIF(HK!A:A,"089*",HK!L:L)-SUMIF(HK!A:A,"089*",HK!K:K)</f>
        <v>2239.38</v>
      </c>
      <c r="H16" s="92"/>
      <c r="I16" s="92"/>
      <c r="J16" s="113">
        <f>J12+J13-J14</f>
        <v>17074.939999999999</v>
      </c>
      <c r="L16" s="112"/>
    </row>
    <row r="17" spans="1:33" ht="15" customHeight="1" thickTop="1" thickBot="1" x14ac:dyDescent="0.3">
      <c r="A17" s="135" t="s">
        <v>24</v>
      </c>
      <c r="B17" s="131"/>
      <c r="C17" s="131"/>
      <c r="D17" s="131"/>
      <c r="E17" s="131"/>
      <c r="F17" s="131"/>
      <c r="G17" s="131"/>
      <c r="H17" s="131"/>
      <c r="I17" s="131"/>
      <c r="J17" s="115"/>
    </row>
    <row r="18" spans="1:33" ht="24" thickTop="1" thickBot="1" x14ac:dyDescent="0.3">
      <c r="A18" s="136" t="s">
        <v>23</v>
      </c>
      <c r="B18" s="89"/>
      <c r="C18" s="126"/>
      <c r="D18" s="126"/>
      <c r="E18" s="126"/>
      <c r="F18" s="126"/>
      <c r="G18" s="126"/>
      <c r="H18" s="126">
        <f>SUMIF(HK!A:A,"094*",HK!D:D)-SUMIF(HK!A:A,"094*",HK!C:C)</f>
        <v>0</v>
      </c>
      <c r="I18" s="126">
        <f>SUMIF(SUAM!C:C,"019",SUAM!E:E)</f>
        <v>0</v>
      </c>
      <c r="J18" s="111">
        <f>SUM(B18:I18)</f>
        <v>0</v>
      </c>
      <c r="L18" s="112"/>
      <c r="M18" s="112"/>
      <c r="N18" s="119"/>
    </row>
    <row r="19" spans="1:33" ht="15" customHeight="1" thickBot="1" x14ac:dyDescent="0.3">
      <c r="A19" s="137" t="s">
        <v>18</v>
      </c>
      <c r="B19" s="89"/>
      <c r="C19" s="89"/>
      <c r="D19" s="89"/>
      <c r="E19" s="89"/>
      <c r="F19" s="89"/>
      <c r="G19" s="89"/>
      <c r="H19" s="89">
        <f>SUMIF(HK!A:A,"094*",HK!J:J)</f>
        <v>0</v>
      </c>
      <c r="I19" s="89"/>
      <c r="J19" s="111">
        <f t="shared" ref="J19:J21" si="2">SUM(B19:I19)</f>
        <v>0</v>
      </c>
      <c r="N19" s="119"/>
    </row>
    <row r="20" spans="1:33" ht="15" customHeight="1" thickBot="1" x14ac:dyDescent="0.3">
      <c r="A20" s="137" t="s">
        <v>19</v>
      </c>
      <c r="B20" s="89"/>
      <c r="C20" s="89"/>
      <c r="D20" s="89"/>
      <c r="E20" s="89"/>
      <c r="F20" s="89"/>
      <c r="G20" s="89"/>
      <c r="H20" s="89">
        <f>SUMIF(HK!A:A,"094*",HK!I:I)</f>
        <v>0</v>
      </c>
      <c r="I20" s="89"/>
      <c r="J20" s="111">
        <f t="shared" si="2"/>
        <v>0</v>
      </c>
      <c r="N20" s="119"/>
    </row>
    <row r="21" spans="1:33" ht="15" customHeight="1" thickBot="1" x14ac:dyDescent="0.3">
      <c r="A21" s="137" t="s">
        <v>20</v>
      </c>
      <c r="B21" s="89"/>
      <c r="C21" s="89"/>
      <c r="D21" s="89"/>
      <c r="E21" s="89"/>
      <c r="F21" s="90"/>
      <c r="G21" s="89"/>
      <c r="H21" s="89"/>
      <c r="I21" s="89"/>
      <c r="J21" s="111">
        <f t="shared" si="2"/>
        <v>0</v>
      </c>
    </row>
    <row r="22" spans="1:33" ht="15.75" thickBot="1" x14ac:dyDescent="0.3">
      <c r="A22" s="138" t="s">
        <v>21</v>
      </c>
      <c r="B22" s="92"/>
      <c r="C22" s="126"/>
      <c r="D22" s="126"/>
      <c r="E22" s="126"/>
      <c r="F22" s="126"/>
      <c r="G22" s="126"/>
      <c r="H22" s="126">
        <f>SUMIF(HK!A:A,"094*",HK!L:L)-SUMIF(HK!A:A,"094*",HK!K:K)</f>
        <v>0</v>
      </c>
      <c r="I22" s="126">
        <f>SUMIF(SUA!C:C,"019",SUA!E:E)</f>
        <v>0</v>
      </c>
      <c r="J22" s="113">
        <f>J18+J19-J20</f>
        <v>0</v>
      </c>
      <c r="L22" s="112"/>
      <c r="M22" s="112"/>
      <c r="N22" s="119"/>
    </row>
    <row r="23" spans="1:33" ht="15" customHeight="1" thickTop="1" thickBot="1" x14ac:dyDescent="0.3">
      <c r="A23" s="135" t="s">
        <v>25</v>
      </c>
      <c r="B23" s="131"/>
      <c r="C23" s="131"/>
      <c r="D23" s="131"/>
      <c r="E23" s="131"/>
      <c r="F23" s="131"/>
      <c r="G23" s="131"/>
      <c r="H23" s="131"/>
      <c r="I23" s="131"/>
      <c r="J23" s="115"/>
    </row>
    <row r="24" spans="1:33" ht="15" customHeight="1" thickTop="1" thickBot="1" x14ac:dyDescent="0.3">
      <c r="A24" s="136" t="s">
        <v>23</v>
      </c>
      <c r="B24" s="89"/>
      <c r="C24" s="89"/>
      <c r="D24" s="89"/>
      <c r="E24" s="89"/>
      <c r="F24" s="89"/>
      <c r="G24" s="89"/>
      <c r="H24" s="89"/>
      <c r="I24" s="89"/>
      <c r="J24" s="111">
        <f t="shared" ref="J24" si="3">J6-J12-J18</f>
        <v>75568.570000000007</v>
      </c>
    </row>
    <row r="25" spans="1:33" ht="15" customHeight="1" thickBot="1" x14ac:dyDescent="0.3">
      <c r="A25" s="138" t="s">
        <v>21</v>
      </c>
      <c r="B25" s="92"/>
      <c r="C25" s="92"/>
      <c r="D25" s="92"/>
      <c r="E25" s="92"/>
      <c r="F25" s="92"/>
      <c r="G25" s="92"/>
      <c r="H25" s="92"/>
      <c r="I25" s="92"/>
      <c r="J25" s="113">
        <f t="shared" ref="J25" si="4">J10-J16-J22</f>
        <v>63914.33</v>
      </c>
    </row>
    <row r="26" spans="1:33" ht="15.75" thickTop="1" x14ac:dyDescent="0.25">
      <c r="A26" s="121"/>
      <c r="B26" s="121"/>
      <c r="C26" s="121"/>
      <c r="D26" s="121"/>
      <c r="E26" s="121"/>
      <c r="F26" s="121"/>
      <c r="G26" s="121"/>
      <c r="H26" s="121"/>
      <c r="I26" s="121"/>
      <c r="J26" s="121"/>
    </row>
    <row r="27" spans="1:33" x14ac:dyDescent="0.25">
      <c r="A27" s="121"/>
      <c r="B27" s="121"/>
      <c r="C27" s="121"/>
      <c r="D27" s="121"/>
      <c r="E27" s="121"/>
      <c r="F27" s="121"/>
      <c r="G27" s="121"/>
      <c r="H27" s="121"/>
      <c r="I27" s="121"/>
      <c r="J27" s="121"/>
    </row>
    <row r="28" spans="1:33" ht="15.75" thickBot="1" x14ac:dyDescent="0.3">
      <c r="A28" s="139" t="s">
        <v>9</v>
      </c>
      <c r="B28" s="139"/>
      <c r="C28" s="139"/>
      <c r="D28" s="139"/>
      <c r="E28" s="139"/>
      <c r="F28" s="139"/>
      <c r="G28" s="139"/>
      <c r="H28" s="139"/>
      <c r="I28" s="139"/>
      <c r="J28" s="139"/>
    </row>
    <row r="29" spans="1:33" ht="16.5" customHeight="1" thickTop="1" thickBot="1" x14ac:dyDescent="0.3">
      <c r="A29" s="215" t="s">
        <v>26</v>
      </c>
      <c r="B29" s="217" t="s">
        <v>3</v>
      </c>
      <c r="C29" s="218"/>
      <c r="D29" s="218"/>
      <c r="E29" s="218"/>
      <c r="F29" s="218"/>
      <c r="G29" s="218"/>
      <c r="H29" s="218"/>
      <c r="I29" s="218"/>
      <c r="J29" s="219"/>
      <c r="K29" s="134"/>
      <c r="L29" s="134"/>
      <c r="M29" s="134"/>
      <c r="N29" s="134"/>
      <c r="O29" s="134"/>
      <c r="P29" s="134"/>
      <c r="Q29" s="134"/>
      <c r="R29" s="134"/>
      <c r="S29" s="134"/>
      <c r="T29" s="134"/>
      <c r="U29" s="134"/>
      <c r="V29" s="134"/>
      <c r="W29" s="134"/>
      <c r="X29" s="134"/>
      <c r="Y29" s="134"/>
      <c r="Z29" s="134"/>
      <c r="AA29" s="134"/>
      <c r="AB29" s="134"/>
      <c r="AC29" s="134"/>
      <c r="AD29" s="134"/>
      <c r="AE29" s="134"/>
      <c r="AF29" s="134"/>
      <c r="AG29" s="134"/>
    </row>
    <row r="30" spans="1:33" ht="62.25" customHeight="1" thickTop="1" thickBot="1" x14ac:dyDescent="0.3">
      <c r="A30" s="216"/>
      <c r="B30" s="140" t="s">
        <v>27</v>
      </c>
      <c r="C30" s="140" t="s">
        <v>28</v>
      </c>
      <c r="D30" s="140" t="s">
        <v>29</v>
      </c>
      <c r="E30" s="140" t="s">
        <v>201</v>
      </c>
      <c r="F30" s="140" t="s">
        <v>30</v>
      </c>
      <c r="G30" s="140" t="s">
        <v>31</v>
      </c>
      <c r="H30" s="140" t="s">
        <v>202</v>
      </c>
      <c r="I30" s="140" t="s">
        <v>32</v>
      </c>
      <c r="J30" s="140" t="s">
        <v>8</v>
      </c>
    </row>
    <row r="31" spans="1:33" ht="15" customHeight="1" thickTop="1" thickBot="1" x14ac:dyDescent="0.3">
      <c r="A31" s="141" t="s">
        <v>16</v>
      </c>
      <c r="B31" s="91"/>
      <c r="C31" s="91"/>
      <c r="D31" s="91"/>
      <c r="E31" s="91"/>
      <c r="F31" s="91"/>
      <c r="G31" s="91"/>
      <c r="H31" s="91"/>
      <c r="I31" s="91"/>
      <c r="J31" s="142"/>
      <c r="K31" s="134"/>
      <c r="L31" s="134"/>
      <c r="M31" s="134"/>
      <c r="N31" s="134"/>
      <c r="O31" s="134"/>
      <c r="P31" s="134"/>
      <c r="Q31" s="134"/>
      <c r="R31" s="134"/>
      <c r="S31" s="134"/>
      <c r="T31" s="134"/>
      <c r="U31" s="134"/>
      <c r="V31" s="134"/>
      <c r="W31" s="134"/>
      <c r="X31" s="134"/>
      <c r="Y31" s="134"/>
    </row>
    <row r="32" spans="1:33" ht="24" thickTop="1" thickBot="1" x14ac:dyDescent="0.3">
      <c r="A32" s="143" t="s">
        <v>17</v>
      </c>
      <c r="B32" s="126">
        <f>SUMIF(HKM!A:A,"031*",HKM!C:C)-SUMIF(HKM!A:A,"031*",HKM!D:D)</f>
        <v>0</v>
      </c>
      <c r="C32" s="126">
        <f>SUMIF(HKM!A:A,"021*",HKM!C:C)-SUMIF(HKM!A:A,"021*",HKM!D:D)</f>
        <v>0</v>
      </c>
      <c r="D32" s="126">
        <f>SUMIF(HKM!A:A,"022*",HKM!C:C)-SUMIF(HKM!A:A,"022*",HKM!D:D)</f>
        <v>0</v>
      </c>
      <c r="E32" s="126">
        <f>SUMIF(HKM!A:A,"025*",HKM!C:C)-SUMIF(HKM!A:A,"025*",HKM!D:D)</f>
        <v>0</v>
      </c>
      <c r="F32" s="126">
        <f>SUMIF(HKM!A:A,"026*",HKM!C:C)-SUMIF(HKM!A:A,"026*",HKM!D:D)</f>
        <v>0</v>
      </c>
      <c r="G32" s="126">
        <f>SUMIF(HKM!A:A,"029*",HKM!C:C)-SUMIF(HKM!A:A,"029*",HKM!D:D)</f>
        <v>0</v>
      </c>
      <c r="H32" s="126">
        <f>SUMIF(HKM!A:A,"042*",HKM!C:C)-SUMIF(HKM!A:A,"042*",HKM!D:D)</f>
        <v>71876.02</v>
      </c>
      <c r="I32" s="126">
        <f>SUMIF(HKM!A:A,"052*",HKM!C:C)-SUMIF(HKM!A:A,"052*",HKM!D:D)</f>
        <v>0</v>
      </c>
      <c r="J32" s="144">
        <f>SUM(B32:I32)</f>
        <v>71876.02</v>
      </c>
      <c r="L32" s="112"/>
    </row>
    <row r="33" spans="1:14" ht="15" customHeight="1" thickBot="1" x14ac:dyDescent="0.3">
      <c r="A33" s="145" t="s">
        <v>18</v>
      </c>
      <c r="B33" s="89">
        <f>SUMIF(HKM!A:A,"031*",HKM!I:I)</f>
        <v>0</v>
      </c>
      <c r="C33" s="89">
        <f>SUMIF(HKM!A:A,"021*",HKM!I:I)</f>
        <v>57355.95</v>
      </c>
      <c r="D33" s="89">
        <f>SUMIF(HKM!A:A,"022*",HKM!I:I)</f>
        <v>20894.5</v>
      </c>
      <c r="E33" s="89">
        <f>SUMIF(HKM!A:A,"025*",HKM!I:I)</f>
        <v>0</v>
      </c>
      <c r="F33" s="90">
        <f>SUMIF(HKM!A:A,"026*",HKM!I:I)</f>
        <v>0</v>
      </c>
      <c r="G33" s="89">
        <f>SUMIF(HKM!A:A,"029*",HKM!I:I)</f>
        <v>2738.82</v>
      </c>
      <c r="H33" s="89">
        <f>SUMIF(HKM!A:A,"042*",HKM!I:I)</f>
        <v>9113.25</v>
      </c>
      <c r="I33" s="89">
        <f>SUMIF(HKM!A:A,"052*",HKM!I:I)</f>
        <v>0</v>
      </c>
      <c r="J33" s="144">
        <f t="shared" ref="J33:J35" si="5">SUM(B33:I33)</f>
        <v>90102.52</v>
      </c>
    </row>
    <row r="34" spans="1:14" ht="15" customHeight="1" thickBot="1" x14ac:dyDescent="0.3">
      <c r="A34" s="145" t="s">
        <v>19</v>
      </c>
      <c r="B34" s="89">
        <f>SUMIF(HKM!A:A,"031*",HKM!J:J)</f>
        <v>0</v>
      </c>
      <c r="C34" s="89">
        <f>SUMIF(HKM!A:A,"021*",HKM!J:J)</f>
        <v>0</v>
      </c>
      <c r="D34" s="89">
        <f>SUMIF(HKM!A:A,"022*",HKM!J:J)</f>
        <v>0</v>
      </c>
      <c r="E34" s="89">
        <f>SUMIF(HKM!A:A,"025*",HKM!J:J)</f>
        <v>0</v>
      </c>
      <c r="F34" s="90">
        <f>SUMIF(HKM!A:A,"026*",HKM!J:J)</f>
        <v>0</v>
      </c>
      <c r="G34" s="89">
        <f>SUMIF(HKM!A:A,"029*",HKM!J:J)</f>
        <v>0</v>
      </c>
      <c r="H34" s="89">
        <f>SUMIF(HKM!A:A,"042*",HKM!J:J)</f>
        <v>80989.27</v>
      </c>
      <c r="I34" s="89">
        <f>SUMIF(HKM!A:A,"052*",HKM!J:J)</f>
        <v>0</v>
      </c>
      <c r="J34" s="144">
        <f t="shared" si="5"/>
        <v>80989.27</v>
      </c>
    </row>
    <row r="35" spans="1:14" ht="15" customHeight="1" thickBot="1" x14ac:dyDescent="0.3">
      <c r="A35" s="145" t="s">
        <v>20</v>
      </c>
      <c r="B35" s="89"/>
      <c r="C35" s="89"/>
      <c r="D35" s="89"/>
      <c r="E35" s="89"/>
      <c r="F35" s="90"/>
      <c r="G35" s="89"/>
      <c r="H35" s="89"/>
      <c r="I35" s="89"/>
      <c r="J35" s="144">
        <f t="shared" si="5"/>
        <v>0</v>
      </c>
    </row>
    <row r="36" spans="1:14" ht="15.75" thickBot="1" x14ac:dyDescent="0.3">
      <c r="A36" s="146" t="s">
        <v>21</v>
      </c>
      <c r="B36" s="126">
        <f>SUMIF(HKM!A:A,"031*",HKM!K:K)-SUMIF(HKM!A:A,"031*",HKM!L:L)</f>
        <v>0</v>
      </c>
      <c r="C36" s="126">
        <f>SUMIF(HKM!A:A,"021*",HKM!K:K)-SUMIF(HKM!A:A,"021*",HKM!L:L)</f>
        <v>57355.95</v>
      </c>
      <c r="D36" s="126">
        <f>SUMIF(HKM!A:A,"022*",HKM!K:K)-SUMIF(HKM!A:A,"022*",HKM!L:L)</f>
        <v>20894.5</v>
      </c>
      <c r="E36" s="126">
        <f>SUMIF(HKM!A:A,"025*",HKM!K:K)-SUMIF(HKM!A:A,"025*",HKM!L:L)</f>
        <v>0</v>
      </c>
      <c r="F36" s="126">
        <f>SUMIF(HKM!A:A,"026*",HKM!K:K)-SUMIF(HKM!A:A,"026*",HKM!L:L)</f>
        <v>0</v>
      </c>
      <c r="G36" s="126">
        <f>SUMIF(HKM!A:A,"029*",HKM!K:K)-SUMIF(HKM!A:A,"029*",HKM!L:L)</f>
        <v>2738.82</v>
      </c>
      <c r="H36" s="126">
        <f>SUMIF(HKM!A:A,"042*",HKM!K:K)-SUMIF(HKM!A:A,"042*",HKM!L:L)</f>
        <v>0</v>
      </c>
      <c r="I36" s="126">
        <f>SUMIF(HKM!A:A,"052*",HKM!K:K)-SUMIF(HKM!A:A,"052*",HKM!L:L)</f>
        <v>0</v>
      </c>
      <c r="J36" s="147">
        <f>J32+J33-J34+J35</f>
        <v>80989.27</v>
      </c>
      <c r="L36" s="112"/>
    </row>
    <row r="37" spans="1:14" ht="15" customHeight="1" thickTop="1" thickBot="1" x14ac:dyDescent="0.3">
      <c r="A37" s="141" t="s">
        <v>22</v>
      </c>
      <c r="B37" s="131"/>
      <c r="C37" s="131"/>
      <c r="D37" s="131"/>
      <c r="E37" s="131"/>
      <c r="F37" s="131"/>
      <c r="G37" s="131"/>
      <c r="H37" s="131"/>
      <c r="I37" s="131"/>
      <c r="J37" s="142"/>
    </row>
    <row r="38" spans="1:14" ht="24" thickTop="1" thickBot="1" x14ac:dyDescent="0.3">
      <c r="A38" s="143" t="s">
        <v>23</v>
      </c>
      <c r="B38" s="89"/>
      <c r="C38" s="126">
        <f>SUMIF(HKM!A:A,"081*",HKM!D:D)-SUMIF(HKM!A:A,"081*",HKM!C:C)</f>
        <v>0</v>
      </c>
      <c r="D38" s="126">
        <f>SUMIF(HKM!A:A,"082*",HKM!D:D)-SUMIF(HKM!A:A,"082*",HKM!C:C)</f>
        <v>0</v>
      </c>
      <c r="E38" s="126">
        <f>SUMIF(HKM!A:A,"085*",HKM!D:D)-SUMIF(HKM!A:A,"085*",HKM!C:C)</f>
        <v>0</v>
      </c>
      <c r="F38" s="126">
        <f>SUMIF(HKM!A:A,"086*",HKM!D:D)-SUMIF(HKM!A:A,"086*",HKM!C:C)</f>
        <v>0</v>
      </c>
      <c r="G38" s="126">
        <f>SUMIF(HKM!A:A,"089*",HKM!D:D)-SUMIF(HKM!A:A,"089*",HKM!C:C)</f>
        <v>0</v>
      </c>
      <c r="H38" s="89"/>
      <c r="I38" s="89"/>
      <c r="J38" s="144">
        <f>SUM(B38:I38)</f>
        <v>0</v>
      </c>
      <c r="L38" s="112"/>
    </row>
    <row r="39" spans="1:14" ht="15" customHeight="1" thickBot="1" x14ac:dyDescent="0.3">
      <c r="A39" s="145" t="s">
        <v>18</v>
      </c>
      <c r="B39" s="89"/>
      <c r="C39" s="89">
        <f>SUMIF(HKM!A:A,"081*",HKM!J:J)</f>
        <v>1911.92</v>
      </c>
      <c r="D39" s="89">
        <f>SUMIF(HKM!A:A,"082*",HKM!J:J)</f>
        <v>2638.96</v>
      </c>
      <c r="E39" s="89">
        <f>SUMIF(HKM!A:A,"085*",HKM!J:J)</f>
        <v>0</v>
      </c>
      <c r="F39" s="89">
        <f>SUMIF(HKM!A:A,"086*",HKM!J:J)</f>
        <v>0</v>
      </c>
      <c r="G39" s="89">
        <f>SUMIF(HKM!A:A,"089*",HKM!J:J)</f>
        <v>869.82</v>
      </c>
      <c r="H39" s="89"/>
      <c r="I39" s="89"/>
      <c r="J39" s="144">
        <f t="shared" ref="J39:J41" si="6">SUM(B39:I39)</f>
        <v>5420.7</v>
      </c>
    </row>
    <row r="40" spans="1:14" ht="15" customHeight="1" thickBot="1" x14ac:dyDescent="0.3">
      <c r="A40" s="145" t="s">
        <v>19</v>
      </c>
      <c r="B40" s="89"/>
      <c r="C40" s="89">
        <f>SUMIF(HKM!A:A,"081*",HKM!I:I)</f>
        <v>0</v>
      </c>
      <c r="D40" s="89">
        <f>SUMIF(HKM!A:A,"082*",HKM!I:I)</f>
        <v>0</v>
      </c>
      <c r="E40" s="89">
        <f>SUMIF(HKM!A:A,"085*",HKM!I:I)</f>
        <v>0</v>
      </c>
      <c r="F40" s="89">
        <f>SUMIF(HKM!A:A,"086*",HKM!I:I)</f>
        <v>0</v>
      </c>
      <c r="G40" s="89">
        <f>SUMIF(HKM!A:A,"089*",HKM!I:I)</f>
        <v>0</v>
      </c>
      <c r="H40" s="89"/>
      <c r="I40" s="89"/>
      <c r="J40" s="144">
        <f t="shared" si="6"/>
        <v>0</v>
      </c>
    </row>
    <row r="41" spans="1:14" ht="15" customHeight="1" thickBot="1" x14ac:dyDescent="0.3">
      <c r="A41" s="145" t="s">
        <v>20</v>
      </c>
      <c r="B41" s="89"/>
      <c r="C41" s="89"/>
      <c r="D41" s="89"/>
      <c r="E41" s="89"/>
      <c r="F41" s="90"/>
      <c r="G41" s="89"/>
      <c r="H41" s="89"/>
      <c r="I41" s="89"/>
      <c r="J41" s="144">
        <f t="shared" si="6"/>
        <v>0</v>
      </c>
    </row>
    <row r="42" spans="1:14" ht="15.75" thickBot="1" x14ac:dyDescent="0.3">
      <c r="A42" s="146" t="s">
        <v>21</v>
      </c>
      <c r="B42" s="92"/>
      <c r="C42" s="126">
        <f>SUMIF(HKM!A:A,"081*",HKM!L:L)-SUMIF(HKM!A:A,"081*",HKM!K:K)</f>
        <v>1911.92</v>
      </c>
      <c r="D42" s="126">
        <f>SUMIF(HKM!A:A,"082*",HKM!L:L)-SUMIF(HKM!A:A,"082*",HKM!K:K)</f>
        <v>2638.96</v>
      </c>
      <c r="E42" s="126">
        <f>SUMIF(HKM!A:A,"085*",HKM!L:L)-SUMIF(HKM!A:A,"085*",HKM!K:K)</f>
        <v>0</v>
      </c>
      <c r="F42" s="126">
        <f>SUMIF(HKM!A:A,"086*",HKM!L:L)-SUMIF(HKM!A:A,"086*",HKM!K:K)</f>
        <v>0</v>
      </c>
      <c r="G42" s="126">
        <f>SUMIF(HKM!A:A,"089*",HKM!L:L)-SUMIF(HKM!A:A,"089*",HKM!K:K)</f>
        <v>869.82</v>
      </c>
      <c r="H42" s="92"/>
      <c r="I42" s="92"/>
      <c r="J42" s="147">
        <f>J38+J39-J40</f>
        <v>5420.7</v>
      </c>
      <c r="L42" s="112"/>
    </row>
    <row r="43" spans="1:14" ht="15" customHeight="1" thickTop="1" thickBot="1" x14ac:dyDescent="0.3">
      <c r="A43" s="141" t="s">
        <v>24</v>
      </c>
      <c r="B43" s="131"/>
      <c r="C43" s="131"/>
      <c r="D43" s="131"/>
      <c r="E43" s="131"/>
      <c r="F43" s="131"/>
      <c r="G43" s="131"/>
      <c r="H43" s="131"/>
      <c r="I43" s="131"/>
      <c r="J43" s="142"/>
    </row>
    <row r="44" spans="1:14" ht="24" thickTop="1" thickBot="1" x14ac:dyDescent="0.3">
      <c r="A44" s="143" t="s">
        <v>23</v>
      </c>
      <c r="B44" s="89"/>
      <c r="C44" s="126"/>
      <c r="D44" s="126"/>
      <c r="E44" s="126"/>
      <c r="F44" s="126"/>
      <c r="G44" s="126"/>
      <c r="H44" s="126">
        <f>SUMIF(HKM!A:A,"094*",HKM!D:D)-SUMIF(HKM!A:A,"094*",HKM!C:C)</f>
        <v>0</v>
      </c>
      <c r="I44" s="126"/>
      <c r="J44" s="144">
        <f>SUM(B44:I44)</f>
        <v>0</v>
      </c>
      <c r="L44" s="112"/>
      <c r="M44" s="125"/>
      <c r="N44" s="119"/>
    </row>
    <row r="45" spans="1:14" ht="15" customHeight="1" thickBot="1" x14ac:dyDescent="0.3">
      <c r="A45" s="145" t="s">
        <v>18</v>
      </c>
      <c r="B45" s="89"/>
      <c r="C45" s="89"/>
      <c r="D45" s="89"/>
      <c r="E45" s="89"/>
      <c r="F45" s="89"/>
      <c r="G45" s="89"/>
      <c r="H45" s="89">
        <f>SUMIF(HKM!A:A,"094*",HKM!J:J)</f>
        <v>0</v>
      </c>
      <c r="I45" s="89"/>
      <c r="J45" s="144">
        <f t="shared" ref="J45:J47" si="7">SUM(B45:I45)</f>
        <v>0</v>
      </c>
      <c r="N45" s="119"/>
    </row>
    <row r="46" spans="1:14" ht="15" customHeight="1" thickBot="1" x14ac:dyDescent="0.3">
      <c r="A46" s="145" t="s">
        <v>19</v>
      </c>
      <c r="B46" s="89"/>
      <c r="C46" s="89"/>
      <c r="D46" s="89"/>
      <c r="E46" s="89"/>
      <c r="F46" s="89"/>
      <c r="G46" s="89"/>
      <c r="H46" s="89">
        <f>SUMIF(HKM!A:A,"094*",HKM!I:I)</f>
        <v>0</v>
      </c>
      <c r="I46" s="89"/>
      <c r="J46" s="144">
        <f t="shared" si="7"/>
        <v>0</v>
      </c>
      <c r="N46" s="119"/>
    </row>
    <row r="47" spans="1:14" ht="15" customHeight="1" thickBot="1" x14ac:dyDescent="0.3">
      <c r="A47" s="145" t="s">
        <v>20</v>
      </c>
      <c r="B47" s="89"/>
      <c r="C47" s="89"/>
      <c r="D47" s="89"/>
      <c r="E47" s="89"/>
      <c r="F47" s="90"/>
      <c r="G47" s="89"/>
      <c r="H47" s="89"/>
      <c r="I47" s="89"/>
      <c r="J47" s="144">
        <f t="shared" si="7"/>
        <v>0</v>
      </c>
    </row>
    <row r="48" spans="1:14" ht="15.75" thickBot="1" x14ac:dyDescent="0.3">
      <c r="A48" s="146" t="s">
        <v>21</v>
      </c>
      <c r="B48" s="92"/>
      <c r="C48" s="126"/>
      <c r="D48" s="126"/>
      <c r="E48" s="126"/>
      <c r="F48" s="126"/>
      <c r="G48" s="126"/>
      <c r="H48" s="126">
        <f>SUMIF(HKM!A:A,"094*",HKM!L:L)-SUMIF(HKM!A:A,"094*",HKM!K:K)</f>
        <v>0</v>
      </c>
      <c r="I48" s="126">
        <f>SUMIF(SUAM!C:C,"019",SUAM!E:E)</f>
        <v>0</v>
      </c>
      <c r="J48" s="147">
        <f>J44+J45-J46</f>
        <v>0</v>
      </c>
      <c r="L48" s="112"/>
      <c r="N48" s="119"/>
    </row>
    <row r="49" spans="1:10" ht="15" customHeight="1" thickTop="1" thickBot="1" x14ac:dyDescent="0.3">
      <c r="A49" s="141" t="s">
        <v>25</v>
      </c>
      <c r="B49" s="131"/>
      <c r="C49" s="131"/>
      <c r="D49" s="131"/>
      <c r="E49" s="131"/>
      <c r="F49" s="131"/>
      <c r="G49" s="131"/>
      <c r="H49" s="131"/>
      <c r="I49" s="131"/>
      <c r="J49" s="142"/>
    </row>
    <row r="50" spans="1:10" ht="15" customHeight="1" thickTop="1" thickBot="1" x14ac:dyDescent="0.3">
      <c r="A50" s="143" t="s">
        <v>23</v>
      </c>
      <c r="B50" s="89">
        <f>B32-B38-B44</f>
        <v>0</v>
      </c>
      <c r="C50" s="89">
        <f t="shared" ref="C50:J50" si="8">C32-C38-C44</f>
        <v>0</v>
      </c>
      <c r="D50" s="89">
        <f t="shared" si="8"/>
        <v>0</v>
      </c>
      <c r="E50" s="89">
        <f t="shared" si="8"/>
        <v>0</v>
      </c>
      <c r="F50" s="89">
        <f t="shared" si="8"/>
        <v>0</v>
      </c>
      <c r="G50" s="89">
        <f t="shared" si="8"/>
        <v>0</v>
      </c>
      <c r="H50" s="89">
        <f t="shared" si="8"/>
        <v>71876.02</v>
      </c>
      <c r="I50" s="89">
        <f t="shared" si="8"/>
        <v>0</v>
      </c>
      <c r="J50" s="144">
        <f t="shared" si="8"/>
        <v>71876.02</v>
      </c>
    </row>
    <row r="51" spans="1:10" ht="15" customHeight="1" thickBot="1" x14ac:dyDescent="0.3">
      <c r="A51" s="146" t="s">
        <v>21</v>
      </c>
      <c r="B51" s="92">
        <f>B36-B42-B48</f>
        <v>0</v>
      </c>
      <c r="C51" s="92">
        <f t="shared" ref="C51:J51" si="9">C36-C42-C48</f>
        <v>55444.03</v>
      </c>
      <c r="D51" s="92">
        <f t="shared" si="9"/>
        <v>18255.54</v>
      </c>
      <c r="E51" s="92">
        <f t="shared" si="9"/>
        <v>0</v>
      </c>
      <c r="F51" s="92">
        <f t="shared" si="9"/>
        <v>0</v>
      </c>
      <c r="G51" s="92">
        <f t="shared" si="9"/>
        <v>1869</v>
      </c>
      <c r="H51" s="92">
        <f t="shared" si="9"/>
        <v>0</v>
      </c>
      <c r="I51" s="92">
        <f t="shared" si="9"/>
        <v>0</v>
      </c>
      <c r="J51" s="147">
        <f t="shared" si="9"/>
        <v>75568.570000000007</v>
      </c>
    </row>
    <row r="52" spans="1:10" ht="15.75" thickTop="1" x14ac:dyDescent="0.25">
      <c r="A52" s="121"/>
      <c r="B52" s="121"/>
      <c r="C52" s="121"/>
      <c r="D52" s="121"/>
      <c r="E52" s="121"/>
      <c r="F52" s="121"/>
      <c r="G52" s="121"/>
      <c r="H52" s="121"/>
      <c r="I52" s="121"/>
      <c r="J52" s="121"/>
    </row>
    <row r="53" spans="1:10" x14ac:dyDescent="0.25">
      <c r="A53" s="121"/>
      <c r="B53" s="121"/>
      <c r="C53" s="121"/>
      <c r="D53" s="121"/>
      <c r="E53" s="121"/>
      <c r="F53" s="121"/>
      <c r="G53" s="121"/>
      <c r="H53" s="121"/>
      <c r="I53" s="121"/>
      <c r="J53" s="121"/>
    </row>
  </sheetData>
  <mergeCells count="4">
    <mergeCell ref="A3:A4"/>
    <mergeCell ref="A29:A30"/>
    <mergeCell ref="B29:J29"/>
    <mergeCell ref="B3:J3"/>
  </mergeCells>
  <pageMargins left="0.70866141732283472" right="0.70866141732283472" top="0.74803149606299213" bottom="0.74803149606299213" header="0.31496062992125984" footer="0.31496062992125984"/>
  <pageSetup paperSize="9" scale="95" fitToWidth="2" fitToHeight="2" orientation="landscape" r:id="rId1"/>
  <rowBreaks count="1" manualBreakCount="1">
    <brk id="26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50"/>
  <sheetViews>
    <sheetView showGridLines="0" tabSelected="1" topLeftCell="A34" zoomScaleNormal="100" workbookViewId="0">
      <selection activeCell="C8" sqref="C8"/>
    </sheetView>
  </sheetViews>
  <sheetFormatPr defaultRowHeight="15" x14ac:dyDescent="0.25"/>
  <cols>
    <col min="1" max="1" width="29.140625" customWidth="1"/>
    <col min="2" max="10" width="11.28515625" customWidth="1"/>
  </cols>
  <sheetData>
    <row r="1" spans="1:33" ht="16.5" x14ac:dyDescent="0.3">
      <c r="A1" s="1" t="s">
        <v>266</v>
      </c>
    </row>
    <row r="2" spans="1:33" ht="17.25" thickBot="1" x14ac:dyDescent="0.35">
      <c r="A2" s="2" t="s">
        <v>7</v>
      </c>
    </row>
    <row r="3" spans="1:33" ht="16.5" customHeight="1" thickTop="1" thickBot="1" x14ac:dyDescent="0.3">
      <c r="A3" s="205" t="s">
        <v>37</v>
      </c>
      <c r="B3" s="210" t="s">
        <v>2</v>
      </c>
      <c r="C3" s="211"/>
      <c r="D3" s="211"/>
      <c r="E3" s="211"/>
      <c r="F3" s="211"/>
      <c r="G3" s="211"/>
      <c r="H3" s="211"/>
      <c r="I3" s="211"/>
      <c r="J3" s="212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</row>
    <row r="4" spans="1:33" ht="66.75" customHeight="1" thickTop="1" thickBot="1" x14ac:dyDescent="0.3">
      <c r="A4" s="206"/>
      <c r="B4" s="93" t="s">
        <v>33</v>
      </c>
      <c r="C4" s="94" t="s">
        <v>222</v>
      </c>
      <c r="D4" s="93" t="s">
        <v>34</v>
      </c>
      <c r="E4" s="94" t="s">
        <v>221</v>
      </c>
      <c r="F4" s="93" t="s">
        <v>35</v>
      </c>
      <c r="G4" s="93" t="s">
        <v>36</v>
      </c>
      <c r="H4" s="94" t="s">
        <v>203</v>
      </c>
      <c r="I4" s="93" t="s">
        <v>204</v>
      </c>
      <c r="J4" s="93" t="s">
        <v>8</v>
      </c>
    </row>
    <row r="5" spans="1:33" ht="15" customHeight="1" thickTop="1" thickBot="1" x14ac:dyDescent="0.3">
      <c r="A5" s="25" t="s">
        <v>16</v>
      </c>
      <c r="B5" s="26"/>
      <c r="C5" s="26"/>
      <c r="D5" s="26"/>
      <c r="E5" s="26"/>
      <c r="F5" s="26"/>
      <c r="G5" s="26"/>
      <c r="H5" s="26"/>
      <c r="I5" s="26"/>
      <c r="J5" s="27"/>
      <c r="K5" s="134"/>
      <c r="L5" s="134"/>
      <c r="M5" s="134"/>
      <c r="N5" s="134"/>
      <c r="O5" s="134"/>
      <c r="P5" s="134"/>
      <c r="Q5" s="134"/>
      <c r="R5" s="134"/>
      <c r="S5" s="3"/>
      <c r="T5" s="3"/>
      <c r="U5" s="3"/>
      <c r="V5" s="3"/>
      <c r="W5" s="3"/>
      <c r="X5" s="3"/>
      <c r="Y5" s="3"/>
    </row>
    <row r="6" spans="1:33" ht="24" thickTop="1" thickBot="1" x14ac:dyDescent="0.3">
      <c r="A6" s="28" t="s">
        <v>17</v>
      </c>
      <c r="B6" s="126">
        <f>SUMIF(HK!A:A,"061*",HK!C:C)-SUMIF(HK!A:A,"061*",HK!D:D)</f>
        <v>0</v>
      </c>
      <c r="C6" s="126">
        <f>SUMIF(HK!A:A,"062*",HK!C:C)-SUMIF(HK!A:A,"062*",HK!D:D)</f>
        <v>0</v>
      </c>
      <c r="D6" s="126">
        <f>SUMIF(HK!A:A,"063*",HK!C:C)-SUMIF(HK!A:A,"063*",HK!D:D)</f>
        <v>0</v>
      </c>
      <c r="E6" s="126">
        <f>SUMIF(HK!A:A,"066*",HK!C:C)-SUMIF(HK!A:A,"066*",HK!D:D)</f>
        <v>0</v>
      </c>
      <c r="F6" s="126">
        <f>SUMIF(HK!A:A,"067*",HK!C:C)-SUMIF(HK!A:A,"067*",HK!D:D)</f>
        <v>0</v>
      </c>
      <c r="G6" s="89"/>
      <c r="H6" s="126">
        <f>SUMIF(HK!A:A,"043*",HK!C:C)-SUMIF(HK!A:A,"043*",HK!D:D)</f>
        <v>0</v>
      </c>
      <c r="I6" s="126">
        <f>SUMIF(HK!A:A,"053*",HK!C:C)-SUMIF(HK!A:A,"053*",HK!D:D)</f>
        <v>0</v>
      </c>
      <c r="J6" s="14">
        <f>SUM(B6:I6)</f>
        <v>0</v>
      </c>
      <c r="K6" s="95"/>
      <c r="L6" s="112"/>
      <c r="M6" s="95"/>
      <c r="N6" s="95"/>
      <c r="O6" s="95"/>
      <c r="P6" s="95"/>
      <c r="Q6" s="95"/>
      <c r="R6" s="95"/>
    </row>
    <row r="7" spans="1:33" ht="15" customHeight="1" thickBot="1" x14ac:dyDescent="0.3">
      <c r="A7" s="13" t="s">
        <v>18</v>
      </c>
      <c r="B7" s="89">
        <f>SUMIF(HK!A:A,"061*",HK!I:I)</f>
        <v>0</v>
      </c>
      <c r="C7" s="89">
        <f>SUMIF(HK!A:A,"062*",HK!I:I)</f>
        <v>0</v>
      </c>
      <c r="D7" s="89">
        <f>SUMIF(HK!A:A,"063*",HK!I:I)</f>
        <v>0</v>
      </c>
      <c r="E7" s="89">
        <f>SUMIF(HK!A:A,"066*",HK!I:I)</f>
        <v>0</v>
      </c>
      <c r="F7" s="90">
        <f>SUMIF(HK!A:A,"067*",HK!I:I)</f>
        <v>0</v>
      </c>
      <c r="G7" s="89"/>
      <c r="H7" s="89">
        <f>SUMIF(HK!A:A,"043*",HK!I:I)</f>
        <v>0</v>
      </c>
      <c r="I7" s="89">
        <f>SUMIF(HK!A:A,"053*",HK!I:I)</f>
        <v>0</v>
      </c>
      <c r="J7" s="14">
        <f t="shared" ref="J7:J9" si="0">SUM(B7:I7)</f>
        <v>0</v>
      </c>
      <c r="K7" s="95"/>
      <c r="L7" s="95"/>
      <c r="M7" s="95"/>
      <c r="N7" s="95"/>
      <c r="O7" s="95"/>
      <c r="P7" s="95"/>
      <c r="Q7" s="95"/>
      <c r="R7" s="95"/>
    </row>
    <row r="8" spans="1:33" ht="15" customHeight="1" thickBot="1" x14ac:dyDescent="0.3">
      <c r="A8" s="13" t="s">
        <v>19</v>
      </c>
      <c r="B8" s="89">
        <f>SUMIF(HK!A:A,"061*",HK!J:J)</f>
        <v>0</v>
      </c>
      <c r="C8" s="89">
        <f>SUMIF(HK!A:A,"062*",HK!J:J)</f>
        <v>0</v>
      </c>
      <c r="D8" s="89">
        <f>SUMIF(HK!A:A,"063*",HK!J:J)</f>
        <v>0</v>
      </c>
      <c r="E8" s="89">
        <f>SUMIF(HK!A:A,"066*",HK!J:J)</f>
        <v>0</v>
      </c>
      <c r="F8" s="90">
        <f>SUMIF(HK!A:A,"067*",HK!J:J)</f>
        <v>0</v>
      </c>
      <c r="G8" s="89"/>
      <c r="H8" s="89">
        <f>SUMIF(HK!A:A,"043*",HK!J:J)</f>
        <v>0</v>
      </c>
      <c r="I8" s="89">
        <f>SUMIF(HK!A:A,"053*",HK!J:J)</f>
        <v>0</v>
      </c>
      <c r="J8" s="14">
        <f t="shared" si="0"/>
        <v>0</v>
      </c>
      <c r="K8" s="95"/>
      <c r="L8" s="95"/>
      <c r="M8" s="95"/>
      <c r="N8" s="95"/>
      <c r="O8" s="95"/>
      <c r="P8" s="95"/>
      <c r="Q8" s="95"/>
      <c r="R8" s="95"/>
    </row>
    <row r="9" spans="1:33" ht="15" customHeight="1" thickBot="1" x14ac:dyDescent="0.3">
      <c r="A9" s="13" t="s">
        <v>20</v>
      </c>
      <c r="B9" s="89"/>
      <c r="C9" s="89"/>
      <c r="D9" s="89"/>
      <c r="E9" s="89"/>
      <c r="F9" s="90"/>
      <c r="G9" s="89"/>
      <c r="H9" s="89"/>
      <c r="I9" s="89"/>
      <c r="J9" s="14">
        <f t="shared" si="0"/>
        <v>0</v>
      </c>
      <c r="K9" s="95"/>
      <c r="L9" s="95"/>
      <c r="M9" s="95"/>
      <c r="N9" s="95"/>
      <c r="O9" s="95"/>
      <c r="P9" s="95"/>
      <c r="Q9" s="95"/>
      <c r="R9" s="95"/>
    </row>
    <row r="10" spans="1:33" ht="15.75" thickBot="1" x14ac:dyDescent="0.3">
      <c r="A10" s="21" t="s">
        <v>21</v>
      </c>
      <c r="B10" s="126">
        <f>SUMIF(HK!A:A,"061*",HK!K:K)-SUMIF(HK!A:A,"061*",HK!L:L)</f>
        <v>0</v>
      </c>
      <c r="C10" s="126">
        <f>SUMIF(HK!A:A,"062*",HK!K:K)-SUMIF(HK!A:A,"062*",HK!L:L)</f>
        <v>0</v>
      </c>
      <c r="D10" s="126">
        <f>SUMIF(HK!A:A,"063*",HK!K:K)-SUMIF(HK!A:A,"063*",HK!L:L)</f>
        <v>0</v>
      </c>
      <c r="E10" s="126">
        <f>SUMIF(HK!A:A,"066*",HK!K:K)-SUMIF(HK!A:A,"066*",HK!L:L)</f>
        <v>0</v>
      </c>
      <c r="F10" s="126">
        <f>SUMIF(HK!A:A,"067*",HK!K:K)-SUMIF(HK!A:A,"067*",HK!L:L)</f>
        <v>0</v>
      </c>
      <c r="G10" s="89"/>
      <c r="H10" s="126">
        <f>SUMIF(HK!A:A,"043*",HK!K:K)-SUMIF(HK!A:A,"043*",HK!L:L)</f>
        <v>0</v>
      </c>
      <c r="I10" s="126">
        <f>SUMIF(HK!A:A,"053*",HK!K:K)-SUMIF(HK!A:A,"053*",HK!L:L)</f>
        <v>0</v>
      </c>
      <c r="J10" s="16">
        <f>J6+J7-J8+J9</f>
        <v>0</v>
      </c>
      <c r="K10" s="95"/>
      <c r="L10" s="112"/>
      <c r="M10" s="95"/>
      <c r="N10" s="95"/>
      <c r="O10" s="95"/>
      <c r="P10" s="95"/>
      <c r="Q10" s="95"/>
      <c r="R10" s="95"/>
    </row>
    <row r="11" spans="1:33" ht="15" customHeight="1" thickTop="1" thickBot="1" x14ac:dyDescent="0.3">
      <c r="A11" s="25" t="s">
        <v>22</v>
      </c>
      <c r="B11" s="131"/>
      <c r="C11" s="131"/>
      <c r="D11" s="131"/>
      <c r="E11" s="131"/>
      <c r="F11" s="131"/>
      <c r="G11" s="131"/>
      <c r="H11" s="131"/>
      <c r="I11" s="131"/>
      <c r="J11" s="27"/>
      <c r="K11" s="95"/>
      <c r="L11" s="95"/>
      <c r="M11" s="95"/>
      <c r="N11" s="95"/>
      <c r="O11" s="95"/>
      <c r="P11" s="95"/>
      <c r="Q11" s="95"/>
      <c r="R11" s="95"/>
    </row>
    <row r="12" spans="1:33" ht="15" customHeight="1" thickTop="1" thickBot="1" x14ac:dyDescent="0.3">
      <c r="A12" s="28" t="s">
        <v>23</v>
      </c>
      <c r="B12" s="89"/>
      <c r="C12" s="89"/>
      <c r="D12" s="89"/>
      <c r="E12" s="89"/>
      <c r="F12" s="89"/>
      <c r="G12" s="89"/>
      <c r="H12" s="89"/>
      <c r="I12" s="89"/>
      <c r="J12" s="14">
        <f>SUM(B12:I12)</f>
        <v>0</v>
      </c>
      <c r="K12" s="95"/>
      <c r="L12" s="95"/>
      <c r="M12" s="95"/>
      <c r="N12" s="95"/>
      <c r="O12" s="95"/>
      <c r="P12" s="95"/>
      <c r="Q12" s="95"/>
      <c r="R12" s="95"/>
    </row>
    <row r="13" spans="1:33" ht="15" customHeight="1" thickBot="1" x14ac:dyDescent="0.3">
      <c r="A13" s="13" t="s">
        <v>18</v>
      </c>
      <c r="B13" s="89"/>
      <c r="C13" s="89"/>
      <c r="D13" s="89"/>
      <c r="E13" s="89"/>
      <c r="F13" s="89"/>
      <c r="G13" s="89"/>
      <c r="H13" s="89"/>
      <c r="I13" s="89"/>
      <c r="J13" s="14">
        <f t="shared" ref="J13:J14" si="1">SUM(B13:I13)</f>
        <v>0</v>
      </c>
      <c r="K13" s="95"/>
      <c r="L13" s="95"/>
      <c r="M13" s="95"/>
      <c r="N13" s="95"/>
      <c r="O13" s="95"/>
      <c r="P13" s="95"/>
      <c r="Q13" s="95"/>
      <c r="R13" s="95"/>
    </row>
    <row r="14" spans="1:33" ht="15" customHeight="1" thickBot="1" x14ac:dyDescent="0.3">
      <c r="A14" s="13" t="s">
        <v>19</v>
      </c>
      <c r="B14" s="89"/>
      <c r="C14" s="89"/>
      <c r="D14" s="89"/>
      <c r="E14" s="89"/>
      <c r="F14" s="89"/>
      <c r="G14" s="89"/>
      <c r="H14" s="89"/>
      <c r="I14" s="89"/>
      <c r="J14" s="14">
        <f t="shared" si="1"/>
        <v>0</v>
      </c>
      <c r="K14" s="95"/>
      <c r="L14" s="95"/>
      <c r="M14" s="95"/>
      <c r="N14" s="95"/>
      <c r="O14" s="95"/>
      <c r="P14" s="95"/>
      <c r="Q14" s="95"/>
      <c r="R14" s="95"/>
    </row>
    <row r="15" spans="1:33" ht="15" customHeight="1" thickBot="1" x14ac:dyDescent="0.3">
      <c r="A15" s="21" t="s">
        <v>21</v>
      </c>
      <c r="B15" s="92"/>
      <c r="C15" s="92"/>
      <c r="D15" s="92"/>
      <c r="E15" s="92"/>
      <c r="F15" s="92"/>
      <c r="G15" s="92"/>
      <c r="H15" s="92"/>
      <c r="I15" s="92"/>
      <c r="J15" s="16">
        <f>J12+J13-J14</f>
        <v>0</v>
      </c>
      <c r="K15" s="95"/>
      <c r="L15" s="95"/>
      <c r="M15" s="95"/>
      <c r="N15" s="95"/>
      <c r="O15" s="95"/>
      <c r="P15" s="95"/>
      <c r="Q15" s="95"/>
      <c r="R15" s="95"/>
    </row>
    <row r="16" spans="1:33" ht="15" customHeight="1" thickTop="1" thickBot="1" x14ac:dyDescent="0.3">
      <c r="A16" s="25" t="s">
        <v>24</v>
      </c>
      <c r="B16" s="131"/>
      <c r="C16" s="131"/>
      <c r="D16" s="131"/>
      <c r="E16" s="131"/>
      <c r="F16" s="131"/>
      <c r="G16" s="131"/>
      <c r="H16" s="131"/>
      <c r="I16" s="131"/>
      <c r="J16" s="27"/>
      <c r="K16" s="95"/>
      <c r="L16" s="95"/>
      <c r="M16" s="95"/>
      <c r="N16" s="95"/>
      <c r="O16" s="95"/>
      <c r="P16" s="95"/>
      <c r="Q16" s="95"/>
      <c r="R16" s="95"/>
    </row>
    <row r="17" spans="1:33" ht="24" thickTop="1" thickBot="1" x14ac:dyDescent="0.3">
      <c r="A17" s="28" t="s">
        <v>23</v>
      </c>
      <c r="B17" s="126"/>
      <c r="C17" s="126"/>
      <c r="D17" s="126"/>
      <c r="E17" s="126"/>
      <c r="F17" s="126"/>
      <c r="G17" s="126"/>
      <c r="H17" s="126"/>
      <c r="I17" s="126">
        <f>SUMIF(SUAM!C:C,"029",SUAM!E:E)</f>
        <v>0</v>
      </c>
      <c r="J17" s="14">
        <f>SUM(B17:I17)</f>
        <v>0</v>
      </c>
      <c r="K17" s="95"/>
      <c r="L17" s="112"/>
      <c r="M17" s="95"/>
      <c r="N17" s="119"/>
      <c r="O17" s="95"/>
      <c r="P17" s="95"/>
      <c r="Q17" s="95"/>
      <c r="R17" s="95"/>
    </row>
    <row r="18" spans="1:33" ht="15" customHeight="1" thickBot="1" x14ac:dyDescent="0.3">
      <c r="A18" s="13" t="s">
        <v>18</v>
      </c>
      <c r="B18" s="89"/>
      <c r="C18" s="89"/>
      <c r="D18" s="89"/>
      <c r="E18" s="89"/>
      <c r="F18" s="89"/>
      <c r="G18" s="89"/>
      <c r="H18" s="89"/>
      <c r="I18" s="89"/>
      <c r="J18" s="14">
        <f>SUM(B18:I18)</f>
        <v>0</v>
      </c>
      <c r="K18" s="95"/>
      <c r="L18" s="95"/>
      <c r="M18" s="95"/>
      <c r="N18" s="95"/>
      <c r="O18" s="95"/>
      <c r="P18" s="95"/>
      <c r="Q18" s="95"/>
      <c r="R18" s="95"/>
    </row>
    <row r="19" spans="1:33" ht="15" customHeight="1" thickBot="1" x14ac:dyDescent="0.3">
      <c r="A19" s="13" t="s">
        <v>19</v>
      </c>
      <c r="B19" s="89"/>
      <c r="C19" s="89"/>
      <c r="D19" s="89"/>
      <c r="E19" s="89"/>
      <c r="F19" s="89"/>
      <c r="G19" s="89"/>
      <c r="H19" s="89"/>
      <c r="I19" s="89"/>
      <c r="J19" s="14">
        <f>SUM(B19:I19)</f>
        <v>0</v>
      </c>
      <c r="K19" s="95"/>
      <c r="L19" s="95"/>
      <c r="M19" s="95"/>
      <c r="N19" s="95"/>
      <c r="O19" s="95"/>
      <c r="P19" s="95"/>
      <c r="Q19" s="95"/>
      <c r="R19" s="95"/>
    </row>
    <row r="20" spans="1:33" ht="15.75" thickBot="1" x14ac:dyDescent="0.3">
      <c r="A20" s="21" t="s">
        <v>21</v>
      </c>
      <c r="B20" s="126"/>
      <c r="C20" s="126"/>
      <c r="D20" s="126"/>
      <c r="E20" s="126"/>
      <c r="F20" s="126"/>
      <c r="G20" s="126"/>
      <c r="H20" s="126"/>
      <c r="I20" s="126">
        <f>SUMIF(SUA!C:C,"029",SUA!E:E)</f>
        <v>0</v>
      </c>
      <c r="J20" s="16">
        <f>J17+J18-J19</f>
        <v>0</v>
      </c>
      <c r="K20" s="95"/>
      <c r="L20" s="112"/>
      <c r="M20" s="95"/>
      <c r="N20" s="119"/>
      <c r="O20" s="95"/>
      <c r="P20" s="95"/>
      <c r="Q20" s="95"/>
      <c r="R20" s="95"/>
    </row>
    <row r="21" spans="1:33" ht="15" customHeight="1" thickTop="1" thickBot="1" x14ac:dyDescent="0.3">
      <c r="A21" s="25" t="s">
        <v>25</v>
      </c>
      <c r="B21" s="131"/>
      <c r="C21" s="131"/>
      <c r="D21" s="131"/>
      <c r="E21" s="131"/>
      <c r="F21" s="131"/>
      <c r="G21" s="131"/>
      <c r="H21" s="131"/>
      <c r="I21" s="131"/>
      <c r="J21" s="27"/>
      <c r="K21" s="95"/>
      <c r="L21" s="95"/>
      <c r="M21" s="95"/>
      <c r="N21" s="95"/>
      <c r="O21" s="95"/>
      <c r="P21" s="95"/>
      <c r="Q21" s="95"/>
      <c r="R21" s="95"/>
    </row>
    <row r="22" spans="1:33" ht="15" customHeight="1" thickTop="1" thickBot="1" x14ac:dyDescent="0.3">
      <c r="A22" s="28" t="s">
        <v>23</v>
      </c>
      <c r="B22" s="89"/>
      <c r="C22" s="89"/>
      <c r="D22" s="89"/>
      <c r="E22" s="89"/>
      <c r="F22" s="89"/>
      <c r="G22" s="89"/>
      <c r="H22" s="89"/>
      <c r="I22" s="89"/>
      <c r="J22" s="14">
        <f t="shared" ref="J22" si="2">J6-J12-J17</f>
        <v>0</v>
      </c>
    </row>
    <row r="23" spans="1:33" ht="15" customHeight="1" thickBot="1" x14ac:dyDescent="0.3">
      <c r="A23" s="21" t="s">
        <v>21</v>
      </c>
      <c r="B23" s="92"/>
      <c r="C23" s="92"/>
      <c r="D23" s="92"/>
      <c r="E23" s="92"/>
      <c r="F23" s="92"/>
      <c r="G23" s="92"/>
      <c r="H23" s="92"/>
      <c r="I23" s="92"/>
      <c r="J23" s="16">
        <f t="shared" ref="J23" si="3">J10-J15-J20</f>
        <v>0</v>
      </c>
    </row>
    <row r="24" spans="1:33" ht="15.75" thickTop="1" x14ac:dyDescent="0.25">
      <c r="A24" s="18"/>
      <c r="B24" s="18"/>
      <c r="C24" s="18"/>
      <c r="D24" s="18"/>
      <c r="E24" s="18"/>
      <c r="F24" s="18"/>
      <c r="G24" s="18"/>
      <c r="H24" s="18"/>
      <c r="I24" s="18"/>
      <c r="J24" s="18"/>
    </row>
    <row r="25" spans="1:33" x14ac:dyDescent="0.25">
      <c r="A25" s="18"/>
      <c r="B25" s="18"/>
      <c r="C25" s="18"/>
      <c r="D25" s="18"/>
      <c r="E25" s="18"/>
      <c r="F25" s="18"/>
      <c r="G25" s="18"/>
      <c r="H25" s="18"/>
      <c r="I25" s="18"/>
      <c r="J25" s="18"/>
    </row>
    <row r="26" spans="1:33" ht="15.75" thickBot="1" x14ac:dyDescent="0.3">
      <c r="A26" s="121" t="s">
        <v>9</v>
      </c>
      <c r="B26" s="121"/>
      <c r="C26" s="121"/>
      <c r="D26" s="121"/>
      <c r="E26" s="121"/>
      <c r="F26" s="121"/>
      <c r="G26" s="121"/>
      <c r="H26" s="121"/>
      <c r="I26" s="121"/>
      <c r="J26" s="121"/>
    </row>
    <row r="27" spans="1:33" ht="16.5" customHeight="1" thickTop="1" thickBot="1" x14ac:dyDescent="0.3">
      <c r="A27" s="213" t="s">
        <v>37</v>
      </c>
      <c r="B27" s="207" t="s">
        <v>3</v>
      </c>
      <c r="C27" s="208"/>
      <c r="D27" s="208"/>
      <c r="E27" s="208"/>
      <c r="F27" s="208"/>
      <c r="G27" s="208"/>
      <c r="H27" s="208"/>
      <c r="I27" s="208"/>
      <c r="J27" s="209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</row>
    <row r="28" spans="1:33" ht="66.75" customHeight="1" thickTop="1" thickBot="1" x14ac:dyDescent="0.3">
      <c r="A28" s="214"/>
      <c r="B28" s="124" t="s">
        <v>33</v>
      </c>
      <c r="C28" s="123" t="s">
        <v>222</v>
      </c>
      <c r="D28" s="124" t="s">
        <v>34</v>
      </c>
      <c r="E28" s="123" t="s">
        <v>221</v>
      </c>
      <c r="F28" s="124" t="s">
        <v>35</v>
      </c>
      <c r="G28" s="124" t="s">
        <v>36</v>
      </c>
      <c r="H28" s="123" t="s">
        <v>203</v>
      </c>
      <c r="I28" s="124" t="s">
        <v>204</v>
      </c>
      <c r="J28" s="124" t="s">
        <v>8</v>
      </c>
    </row>
    <row r="29" spans="1:33" ht="15" customHeight="1" thickTop="1" thickBot="1" x14ac:dyDescent="0.3">
      <c r="A29" s="135" t="s">
        <v>16</v>
      </c>
      <c r="B29" s="114"/>
      <c r="C29" s="114"/>
      <c r="D29" s="114"/>
      <c r="E29" s="114"/>
      <c r="F29" s="114"/>
      <c r="G29" s="114"/>
      <c r="H29" s="114"/>
      <c r="I29" s="114"/>
      <c r="J29" s="115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33" ht="24" thickTop="1" thickBot="1" x14ac:dyDescent="0.3">
      <c r="A30" s="136" t="s">
        <v>17</v>
      </c>
      <c r="B30" s="126">
        <f>SUMIF(HKM!A:A,"061*",HKM!C:C)-SUMIF(HKM!A:A,"061*",HKM!D:D)</f>
        <v>0</v>
      </c>
      <c r="C30" s="126">
        <f>SUMIF(HKM!A:A,"062*",HKM!C:C)-SUMIF(HKM!A:A,"062*",HKM!D:D)</f>
        <v>0</v>
      </c>
      <c r="D30" s="126">
        <f>SUMIF(HKM!A:A,"063*",HKM!C:C)-SUMIF(HKM!A:A,"063*",HKM!D:D)</f>
        <v>0</v>
      </c>
      <c r="E30" s="126">
        <f>SUMIF(HKM!A:A,"066*",HKM!C:C)-SUMIF(HKM!A:A,"066*",HKM!D:D)</f>
        <v>0</v>
      </c>
      <c r="F30" s="126">
        <f>SUMIF(HKM!A:A,"067*",HKM!C:C)-SUMIF(HKM!A:A,"067*",HKM!D:D)</f>
        <v>0</v>
      </c>
      <c r="G30" s="89"/>
      <c r="H30" s="126">
        <f>SUMIF(HKM!A:A,"043*",HKM!C:C)-SUMIF(HKM!A:A,"043*",HKM!D:D)</f>
        <v>0</v>
      </c>
      <c r="I30" s="126">
        <f>SUMIF(HKM!A:A,"053*",HKM!C:C)-SUMIF(HKM!A:A,"053*",HKM!D:D)</f>
        <v>0</v>
      </c>
      <c r="J30" s="111">
        <f>SUM(B30:I30)</f>
        <v>0</v>
      </c>
      <c r="K30" s="95"/>
      <c r="L30" s="112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</row>
    <row r="31" spans="1:33" ht="15" customHeight="1" thickBot="1" x14ac:dyDescent="0.3">
      <c r="A31" s="137" t="s">
        <v>18</v>
      </c>
      <c r="B31" s="89">
        <f>SUMIF(HKM!A:A,"061*",HKM!I:I)</f>
        <v>0</v>
      </c>
      <c r="C31" s="89">
        <f>SUMIF(HKM!A:A,"062*",HKM!I:I)</f>
        <v>4250</v>
      </c>
      <c r="D31" s="89">
        <f>SUMIF(HKM!A:A,"063*",HKM!I:I)</f>
        <v>0</v>
      </c>
      <c r="E31" s="89">
        <f>SUMIF(HKM!A:A,"066*",HKM!I:I)</f>
        <v>4400</v>
      </c>
      <c r="F31" s="90">
        <f>SUMIF(HKM!A:A,"067*",HKM!I:I)</f>
        <v>0</v>
      </c>
      <c r="G31" s="89"/>
      <c r="H31" s="89">
        <f>SUMIF(HKM!A:A,"043*",HKM!I:I)</f>
        <v>4250</v>
      </c>
      <c r="I31" s="89">
        <f>SUMIF(HKM!A:A,"053*",HKM!I:I)</f>
        <v>0</v>
      </c>
      <c r="J31" s="111">
        <f t="shared" ref="J31:J33" si="4">SUM(B31:I31)</f>
        <v>12900</v>
      </c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</row>
    <row r="32" spans="1:33" ht="15" customHeight="1" thickBot="1" x14ac:dyDescent="0.3">
      <c r="A32" s="137" t="s">
        <v>19</v>
      </c>
      <c r="B32" s="149">
        <f>SUMIF(HKM!A:A,"061*",HKM!J:J)</f>
        <v>0</v>
      </c>
      <c r="C32" s="89">
        <f>SUMIF(HKM!A:A,"062*",HKM!J:J)</f>
        <v>4250</v>
      </c>
      <c r="D32" s="89">
        <f>SUMIF(HKM!A:A,"063*",HKM!J:J)</f>
        <v>0</v>
      </c>
      <c r="E32" s="89">
        <f>SUMIF(HKM!A:A,"066*",HKM!J:J)</f>
        <v>4400</v>
      </c>
      <c r="F32" s="90">
        <f>SUMIF(HKM!A:A,"067*",HKM!J:J)</f>
        <v>0</v>
      </c>
      <c r="G32" s="89"/>
      <c r="H32" s="89">
        <f>SUMIF(HKM!A:A,"043*",HKM!J:J)</f>
        <v>4250</v>
      </c>
      <c r="I32" s="89">
        <f>SUMIF(HKM!A:A,"053*",HKM!J:J)</f>
        <v>0</v>
      </c>
      <c r="J32" s="111">
        <f t="shared" si="4"/>
        <v>12900</v>
      </c>
      <c r="K32" s="95"/>
      <c r="L32" s="95"/>
      <c r="M32" s="95"/>
      <c r="N32" s="95"/>
      <c r="O32" s="95"/>
      <c r="P32" s="95"/>
      <c r="Q32" s="95"/>
      <c r="R32" s="95"/>
      <c r="S32" s="95"/>
      <c r="T32" s="95"/>
      <c r="U32" s="95"/>
      <c r="V32" s="95"/>
      <c r="W32" s="95"/>
    </row>
    <row r="33" spans="1:23" ht="15" customHeight="1" thickBot="1" x14ac:dyDescent="0.3">
      <c r="A33" s="137" t="s">
        <v>20</v>
      </c>
      <c r="B33" s="89"/>
      <c r="C33" s="89"/>
      <c r="D33" s="89"/>
      <c r="E33" s="89"/>
      <c r="F33" s="90"/>
      <c r="G33" s="89"/>
      <c r="H33" s="89"/>
      <c r="I33" s="89"/>
      <c r="J33" s="111">
        <f t="shared" si="4"/>
        <v>0</v>
      </c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</row>
    <row r="34" spans="1:23" ht="15.75" thickBot="1" x14ac:dyDescent="0.3">
      <c r="A34" s="138" t="s">
        <v>21</v>
      </c>
      <c r="B34" s="126">
        <f>SUMIF(HKM!A:A,"061*",HKM!K:K)-SUMIF(HKM!A:A,"061*",HKM!L:L)</f>
        <v>0</v>
      </c>
      <c r="C34" s="126">
        <f>SUMIF(HKM!A:A,"062*",HKM!K:K)-SUMIF(HKM!A:A,"062*",HKM!L:L)</f>
        <v>0</v>
      </c>
      <c r="D34" s="126">
        <f>SUMIF(HKM!A:A,"063*",HKM!K:K)-SUMIF(HKM!A:A,"063*",HKM!L:L)</f>
        <v>0</v>
      </c>
      <c r="E34" s="126">
        <f>SUMIF(HKM!A:A,"066*",HKM!K:K)-SUMIF(HKM!A:A,"066*",HKM!L:L)</f>
        <v>0</v>
      </c>
      <c r="F34" s="126">
        <f>SUMIF(HKM!A:A,"067*",HKM!K:K)-SUMIF(HKM!A:A,"067*",HKM!L:L)</f>
        <v>0</v>
      </c>
      <c r="G34" s="89"/>
      <c r="H34" s="126">
        <f>SUMIF(HKM!A:A,"043*",HKM!K:K)-SUMIF(HKM!A:A,"043*",HKM!L:L)</f>
        <v>0</v>
      </c>
      <c r="I34" s="126">
        <f>SUMIF(HKM!A:A,"053*",HKM!K:K)-SUMIF(HKM!A:A,"053*",HKM!L:L)</f>
        <v>0</v>
      </c>
      <c r="J34" s="113">
        <f>J30+J31-J32+J33</f>
        <v>0</v>
      </c>
      <c r="K34" s="95"/>
      <c r="L34" s="112"/>
      <c r="M34" s="95"/>
      <c r="N34" s="95"/>
      <c r="O34" s="95"/>
      <c r="P34" s="95"/>
      <c r="Q34" s="95"/>
      <c r="R34" s="95"/>
      <c r="S34" s="95"/>
      <c r="T34" s="95"/>
      <c r="U34" s="95"/>
      <c r="V34" s="95"/>
      <c r="W34" s="95"/>
    </row>
    <row r="35" spans="1:23" ht="15" customHeight="1" thickTop="1" thickBot="1" x14ac:dyDescent="0.3">
      <c r="A35" s="135" t="s">
        <v>22</v>
      </c>
      <c r="B35" s="127"/>
      <c r="C35" s="127"/>
      <c r="D35" s="127"/>
      <c r="E35" s="127"/>
      <c r="F35" s="127"/>
      <c r="G35" s="127"/>
      <c r="H35" s="127"/>
      <c r="I35" s="127"/>
      <c r="J35" s="11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</row>
    <row r="36" spans="1:23" ht="15" customHeight="1" thickTop="1" thickBot="1" x14ac:dyDescent="0.3">
      <c r="A36" s="136" t="s">
        <v>23</v>
      </c>
      <c r="B36" s="116"/>
      <c r="C36" s="116"/>
      <c r="D36" s="116"/>
      <c r="E36" s="116"/>
      <c r="F36" s="116"/>
      <c r="G36" s="116"/>
      <c r="H36" s="116"/>
      <c r="I36" s="116"/>
      <c r="J36" s="111">
        <f>SUM(B36:I36)</f>
        <v>0</v>
      </c>
      <c r="K36" s="95"/>
      <c r="L36" s="95"/>
      <c r="M36" s="95"/>
      <c r="N36" s="95"/>
      <c r="O36" s="95"/>
      <c r="P36" s="95"/>
      <c r="Q36" s="95"/>
      <c r="R36" s="95"/>
      <c r="S36" s="95"/>
      <c r="T36" s="95"/>
      <c r="U36" s="95"/>
      <c r="V36" s="95"/>
      <c r="W36" s="95"/>
    </row>
    <row r="37" spans="1:23" ht="15" customHeight="1" thickBot="1" x14ac:dyDescent="0.3">
      <c r="A37" s="137" t="s">
        <v>18</v>
      </c>
      <c r="B37" s="116"/>
      <c r="C37" s="116"/>
      <c r="D37" s="116"/>
      <c r="E37" s="116"/>
      <c r="F37" s="116"/>
      <c r="G37" s="116"/>
      <c r="H37" s="116"/>
      <c r="I37" s="116"/>
      <c r="J37" s="111">
        <f t="shared" ref="J37:J38" si="5">SUM(B37:I37)</f>
        <v>0</v>
      </c>
      <c r="K37" s="95"/>
      <c r="L37" s="95"/>
      <c r="M37" s="95"/>
      <c r="N37" s="95"/>
      <c r="O37" s="95"/>
      <c r="P37" s="95"/>
      <c r="Q37" s="95"/>
      <c r="R37" s="95"/>
      <c r="S37" s="95"/>
      <c r="T37" s="95"/>
      <c r="U37" s="95"/>
      <c r="V37" s="95"/>
      <c r="W37" s="95"/>
    </row>
    <row r="38" spans="1:23" ht="15" customHeight="1" thickBot="1" x14ac:dyDescent="0.3">
      <c r="A38" s="137" t="s">
        <v>19</v>
      </c>
      <c r="B38" s="116"/>
      <c r="C38" s="116"/>
      <c r="D38" s="116"/>
      <c r="E38" s="116"/>
      <c r="F38" s="116"/>
      <c r="G38" s="116"/>
      <c r="H38" s="116"/>
      <c r="I38" s="116"/>
      <c r="J38" s="111">
        <f t="shared" si="5"/>
        <v>0</v>
      </c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</row>
    <row r="39" spans="1:23" ht="15" customHeight="1" thickBot="1" x14ac:dyDescent="0.3">
      <c r="A39" s="138" t="s">
        <v>21</v>
      </c>
      <c r="B39" s="117"/>
      <c r="C39" s="117"/>
      <c r="D39" s="117"/>
      <c r="E39" s="117"/>
      <c r="F39" s="117"/>
      <c r="G39" s="117"/>
      <c r="H39" s="117"/>
      <c r="I39" s="117"/>
      <c r="J39" s="113">
        <f>J36+J37-J38</f>
        <v>0</v>
      </c>
      <c r="K39" s="95"/>
      <c r="L39" s="95"/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5"/>
    </row>
    <row r="40" spans="1:23" ht="15" customHeight="1" thickTop="1" thickBot="1" x14ac:dyDescent="0.3">
      <c r="A40" s="135" t="s">
        <v>24</v>
      </c>
      <c r="B40" s="127"/>
      <c r="C40" s="127"/>
      <c r="D40" s="127"/>
      <c r="E40" s="127"/>
      <c r="F40" s="127"/>
      <c r="G40" s="127"/>
      <c r="H40" s="127"/>
      <c r="I40" s="127"/>
      <c r="J40" s="11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</row>
    <row r="41" spans="1:23" ht="24" thickTop="1" thickBot="1" x14ac:dyDescent="0.3">
      <c r="A41" s="136" t="s">
        <v>23</v>
      </c>
      <c r="B41" s="126"/>
      <c r="C41" s="126"/>
      <c r="D41" s="126"/>
      <c r="E41" s="126"/>
      <c r="F41" s="126"/>
      <c r="G41" s="126"/>
      <c r="H41" s="126"/>
      <c r="I41" s="130"/>
      <c r="J41" s="111">
        <f>SUM(B41:I41)</f>
        <v>0</v>
      </c>
      <c r="K41" s="95"/>
      <c r="L41" s="112"/>
      <c r="M41" s="125"/>
      <c r="N41" s="119"/>
      <c r="O41" s="95"/>
      <c r="P41" s="95"/>
      <c r="Q41" s="95"/>
      <c r="R41" s="95"/>
      <c r="S41" s="95"/>
      <c r="T41" s="95"/>
      <c r="U41" s="95"/>
      <c r="V41" s="95"/>
      <c r="W41" s="95"/>
    </row>
    <row r="42" spans="1:23" ht="15" customHeight="1" thickBot="1" x14ac:dyDescent="0.3">
      <c r="A42" s="137" t="s">
        <v>18</v>
      </c>
      <c r="B42" s="89"/>
      <c r="C42" s="89"/>
      <c r="D42" s="89"/>
      <c r="E42" s="89"/>
      <c r="F42" s="89"/>
      <c r="G42" s="89"/>
      <c r="H42" s="89"/>
      <c r="I42" s="116"/>
      <c r="J42" s="111">
        <f t="shared" ref="J42:J43" si="6">SUM(B42:I42)</f>
        <v>0</v>
      </c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</row>
    <row r="43" spans="1:23" ht="15" customHeight="1" thickBot="1" x14ac:dyDescent="0.3">
      <c r="A43" s="137" t="s">
        <v>19</v>
      </c>
      <c r="B43" s="89"/>
      <c r="C43" s="89"/>
      <c r="D43" s="89"/>
      <c r="E43" s="89"/>
      <c r="F43" s="89"/>
      <c r="G43" s="89"/>
      <c r="H43" s="89"/>
      <c r="I43" s="116"/>
      <c r="J43" s="111">
        <f t="shared" si="6"/>
        <v>0</v>
      </c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</row>
    <row r="44" spans="1:23" ht="15.75" thickBot="1" x14ac:dyDescent="0.3">
      <c r="A44" s="138" t="s">
        <v>21</v>
      </c>
      <c r="B44" s="126"/>
      <c r="C44" s="126"/>
      <c r="D44" s="126"/>
      <c r="E44" s="126"/>
      <c r="F44" s="126"/>
      <c r="G44" s="126"/>
      <c r="H44" s="126"/>
      <c r="I44" s="126">
        <f>SUMIF(SUAM!C:C,"029",SUAM!E:E)</f>
        <v>0</v>
      </c>
      <c r="J44" s="113">
        <f>J41+J42-J43</f>
        <v>0</v>
      </c>
      <c r="K44" s="95"/>
      <c r="L44" s="112"/>
      <c r="M44" s="95"/>
      <c r="N44" s="119"/>
      <c r="O44" s="95"/>
      <c r="P44" s="95"/>
      <c r="Q44" s="95"/>
      <c r="R44" s="95"/>
      <c r="S44" s="95"/>
      <c r="T44" s="95"/>
      <c r="U44" s="95"/>
      <c r="V44" s="95"/>
      <c r="W44" s="95"/>
    </row>
    <row r="45" spans="1:23" ht="15" customHeight="1" thickTop="1" thickBot="1" x14ac:dyDescent="0.3">
      <c r="A45" s="135" t="s">
        <v>25</v>
      </c>
      <c r="B45" s="114"/>
      <c r="C45" s="114"/>
      <c r="D45" s="114"/>
      <c r="E45" s="114"/>
      <c r="F45" s="114"/>
      <c r="G45" s="114"/>
      <c r="H45" s="114"/>
      <c r="I45" s="114"/>
      <c r="J45" s="11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</row>
    <row r="46" spans="1:23" ht="15" customHeight="1" thickTop="1" thickBot="1" x14ac:dyDescent="0.3">
      <c r="A46" s="136" t="s">
        <v>23</v>
      </c>
      <c r="B46" s="116"/>
      <c r="C46" s="116"/>
      <c r="D46" s="116"/>
      <c r="E46" s="116"/>
      <c r="F46" s="116"/>
      <c r="G46" s="116"/>
      <c r="H46" s="116"/>
      <c r="I46" s="116"/>
      <c r="J46" s="111">
        <f t="shared" ref="J46" si="7">J30-J36-J41</f>
        <v>0</v>
      </c>
      <c r="K46" s="95"/>
      <c r="L46" s="95"/>
      <c r="M46" s="95"/>
      <c r="N46" s="95"/>
      <c r="O46" s="95"/>
      <c r="P46" s="95"/>
      <c r="Q46" s="95"/>
      <c r="R46" s="95"/>
      <c r="S46" s="95"/>
      <c r="T46" s="95"/>
      <c r="U46" s="95"/>
      <c r="V46" s="95"/>
      <c r="W46" s="95"/>
    </row>
    <row r="47" spans="1:23" ht="15" customHeight="1" thickBot="1" x14ac:dyDescent="0.3">
      <c r="A47" s="138" t="s">
        <v>21</v>
      </c>
      <c r="B47" s="117"/>
      <c r="C47" s="117"/>
      <c r="D47" s="117"/>
      <c r="E47" s="117"/>
      <c r="F47" s="117"/>
      <c r="G47" s="117"/>
      <c r="H47" s="117"/>
      <c r="I47" s="117"/>
      <c r="J47" s="113">
        <f t="shared" ref="J47" si="8">J34-J39-J44</f>
        <v>0</v>
      </c>
    </row>
    <row r="48" spans="1:23" ht="15.75" thickTop="1" x14ac:dyDescent="0.25">
      <c r="A48" s="17"/>
      <c r="B48" s="17"/>
      <c r="C48" s="17"/>
      <c r="D48" s="17"/>
      <c r="E48" s="17"/>
      <c r="F48" s="17"/>
      <c r="G48" s="17"/>
      <c r="H48" s="17"/>
      <c r="I48" s="17"/>
      <c r="J48" s="17"/>
    </row>
    <row r="49" spans="1:10" x14ac:dyDescent="0.25">
      <c r="A49" s="17"/>
      <c r="B49" s="17"/>
      <c r="C49" s="17"/>
      <c r="D49" s="17"/>
      <c r="E49" s="17"/>
      <c r="F49" s="17"/>
      <c r="G49" s="17"/>
      <c r="H49" s="17"/>
      <c r="I49" s="17"/>
      <c r="J49" s="17"/>
    </row>
    <row r="50" spans="1:10" x14ac:dyDescent="0.25">
      <c r="A50" s="17"/>
      <c r="B50" s="17"/>
      <c r="C50" s="17"/>
      <c r="D50" s="17"/>
      <c r="E50" s="17"/>
      <c r="F50" s="17"/>
      <c r="G50" s="17"/>
      <c r="H50" s="17"/>
      <c r="I50" s="17"/>
      <c r="J50" s="17"/>
    </row>
  </sheetData>
  <mergeCells count="4">
    <mergeCell ref="A27:A28"/>
    <mergeCell ref="B27:J27"/>
    <mergeCell ref="A3:A4"/>
    <mergeCell ref="B3:J3"/>
  </mergeCells>
  <pageMargins left="0.70866141732283472" right="0.70866141732283472" top="0.74803149606299213" bottom="0.74803149606299213" header="0.31496062992125984" footer="0.31496062992125984"/>
  <pageSetup paperSize="9" orientation="landscape" r:id="rId1"/>
  <rowBreaks count="1" manualBreakCount="1">
    <brk id="24" max="9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H13"/>
  <sheetViews>
    <sheetView showGridLines="0" tabSelected="1" zoomScaleNormal="100" workbookViewId="0">
      <selection activeCell="C8" sqref="C8"/>
    </sheetView>
  </sheetViews>
  <sheetFormatPr defaultRowHeight="15" x14ac:dyDescent="0.25"/>
  <cols>
    <col min="1" max="1" width="18.5703125" customWidth="1"/>
    <col min="2" max="6" width="13.5703125" customWidth="1"/>
    <col min="7" max="7" width="17.5703125" customWidth="1"/>
  </cols>
  <sheetData>
    <row r="1" spans="1:8" ht="16.5" x14ac:dyDescent="0.3">
      <c r="A1" s="1" t="s">
        <v>267</v>
      </c>
    </row>
    <row r="2" spans="1:8" ht="17.25" thickBot="1" x14ac:dyDescent="0.35">
      <c r="A2" s="2" t="s">
        <v>7</v>
      </c>
    </row>
    <row r="3" spans="1:8" ht="16.5" thickTop="1" thickBot="1" x14ac:dyDescent="0.3">
      <c r="A3" s="205" t="s">
        <v>39</v>
      </c>
      <c r="B3" s="210" t="s">
        <v>2</v>
      </c>
      <c r="C3" s="211"/>
      <c r="D3" s="211"/>
      <c r="E3" s="211"/>
      <c r="F3" s="212"/>
    </row>
    <row r="4" spans="1:8" ht="60" customHeight="1" thickTop="1" thickBot="1" x14ac:dyDescent="0.3">
      <c r="A4" s="220"/>
      <c r="B4" s="22" t="s">
        <v>40</v>
      </c>
      <c r="C4" s="19" t="s">
        <v>206</v>
      </c>
      <c r="D4" s="22" t="s">
        <v>209</v>
      </c>
      <c r="E4" s="19" t="s">
        <v>207</v>
      </c>
      <c r="F4" s="22" t="s">
        <v>41</v>
      </c>
    </row>
    <row r="5" spans="1:8" ht="23.25" customHeight="1" thickTop="1" thickBot="1" x14ac:dyDescent="0.3">
      <c r="A5" s="13" t="s">
        <v>42</v>
      </c>
      <c r="B5" s="126">
        <f>SUMIF(HK!A:A,"191*",HK!D:D)-SUMIF(HK!A:A,"191*",HK!C:C)</f>
        <v>0</v>
      </c>
      <c r="C5" s="153"/>
      <c r="D5" s="153"/>
      <c r="E5" s="153"/>
      <c r="F5" s="126">
        <f>SUMIF(HK!A:A,"191*",HK!L:L)-SUMIF(HK!A:A,"191*",HK!K:K)</f>
        <v>0</v>
      </c>
      <c r="H5" s="151"/>
    </row>
    <row r="6" spans="1:8" ht="34.5" thickBot="1" x14ac:dyDescent="0.3">
      <c r="A6" s="13" t="s">
        <v>48</v>
      </c>
      <c r="B6" s="126">
        <f>SUMIF(HK!A:A,"192*",HK!D:D)-SUMIF(HK!A:A,"192*",HK!C:C)+SUMIF(HK!A:A,"193*",HK!D:D)-SUMIF(HK!A:A,"193*",HK!C:C)</f>
        <v>0</v>
      </c>
      <c r="C6" s="153"/>
      <c r="D6" s="153"/>
      <c r="E6" s="153"/>
      <c r="F6" s="126">
        <f>SUMIF(HK!A:A,"192*",HK!L:L)-SUMIF(HK!A:A,"192*",HK!K:K)+SUMIF(HK!A:A,"193*",HK!L:L)-SUMIF(HK!A:A,"193*",HK!K:K)</f>
        <v>0</v>
      </c>
      <c r="H6" s="151"/>
    </row>
    <row r="7" spans="1:8" ht="23.25" customHeight="1" thickBot="1" x14ac:dyDescent="0.3">
      <c r="A7" s="13" t="s">
        <v>43</v>
      </c>
      <c r="B7" s="126">
        <f>SUMIF(HK!A:A,"194*",HK!D:D)-SUMIF(HK!A:A,"194*",HK!C:C)</f>
        <v>0</v>
      </c>
      <c r="C7" s="89"/>
      <c r="D7" s="89"/>
      <c r="E7" s="89"/>
      <c r="F7" s="126">
        <f>SUMIF(HK!A:A,"194*",HK!L:L)-SUMIF(HK!A:A,"194*",HK!K:K)</f>
        <v>0</v>
      </c>
      <c r="H7" s="151"/>
    </row>
    <row r="8" spans="1:8" ht="23.25" customHeight="1" thickBot="1" x14ac:dyDescent="0.3">
      <c r="A8" s="13" t="s">
        <v>44</v>
      </c>
      <c r="B8" s="126">
        <f>SUMIF(HK!A:A,"195*",HK!D:D)-SUMIF(HK!A:A,"195*",HK!C:C)</f>
        <v>0</v>
      </c>
      <c r="C8" s="89"/>
      <c r="D8" s="89"/>
      <c r="E8" s="89"/>
      <c r="F8" s="126">
        <f>SUMIF(HK!A:A,"195*",HK!L:L)-SUMIF(HK!A:A,"195*",HK!K:K)</f>
        <v>0</v>
      </c>
      <c r="H8" s="151"/>
    </row>
    <row r="9" spans="1:8" ht="23.25" customHeight="1" thickBot="1" x14ac:dyDescent="0.3">
      <c r="A9" s="13" t="s">
        <v>45</v>
      </c>
      <c r="B9" s="126">
        <f>SUMIF(HK!A:A,"196*",HK!D:D)-SUMIF(HK!A:A,"196*",HK!C:C)</f>
        <v>415.98</v>
      </c>
      <c r="C9" s="126">
        <f>SUMIF(HK!A:A,"196100",HK!J:J)+SUMIF(HK!A:A,"196200",HK!J:J)</f>
        <v>1681.94</v>
      </c>
      <c r="D9" s="126">
        <f>SUMIF(HK!A:A,"196100",HK!I:I)+SUMIF(HK!A:A,"196200",HK!I:I)</f>
        <v>1918.71</v>
      </c>
      <c r="E9" s="89"/>
      <c r="F9" s="126">
        <f>SUMIF(HK!A:A,"196*",HK!L:L)-SUMIF(HK!A:A,"196*",HK!K:K)</f>
        <v>179.21</v>
      </c>
      <c r="H9" s="151"/>
    </row>
    <row r="10" spans="1:8" ht="23.25" customHeight="1" thickBot="1" x14ac:dyDescent="0.3">
      <c r="A10" s="13" t="s">
        <v>46</v>
      </c>
      <c r="B10" s="72"/>
      <c r="C10" s="72"/>
      <c r="D10" s="72"/>
      <c r="E10" s="72"/>
      <c r="F10" s="14">
        <f t="shared" ref="F10:F11" si="0">SUM(B10:E10)</f>
        <v>0</v>
      </c>
    </row>
    <row r="11" spans="1:8" ht="23.25" customHeight="1" thickBot="1" x14ac:dyDescent="0.3">
      <c r="A11" s="13" t="s">
        <v>208</v>
      </c>
      <c r="B11" s="72"/>
      <c r="C11" s="72"/>
      <c r="D11" s="72"/>
      <c r="E11" s="72"/>
      <c r="F11" s="14">
        <f t="shared" si="0"/>
        <v>0</v>
      </c>
    </row>
    <row r="12" spans="1:8" ht="23.25" customHeight="1" thickBot="1" x14ac:dyDescent="0.3">
      <c r="A12" s="21" t="s">
        <v>47</v>
      </c>
      <c r="B12" s="34">
        <f>SUM(B5:B11)</f>
        <v>415.98</v>
      </c>
      <c r="C12" s="34">
        <f t="shared" ref="C12:F12" si="1">SUM(C5:C11)</f>
        <v>1681.94</v>
      </c>
      <c r="D12" s="34">
        <f t="shared" si="1"/>
        <v>1918.71</v>
      </c>
      <c r="E12" s="34">
        <f t="shared" si="1"/>
        <v>0</v>
      </c>
      <c r="F12" s="36">
        <f t="shared" si="1"/>
        <v>179.21</v>
      </c>
    </row>
    <row r="13" spans="1:8" ht="17.25" thickTop="1" x14ac:dyDescent="0.3">
      <c r="A13" s="2"/>
    </row>
  </sheetData>
  <mergeCells count="2">
    <mergeCell ref="B3:F3"/>
    <mergeCell ref="A3:A4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0"/>
  <sheetViews>
    <sheetView showGridLines="0" tabSelected="1" zoomScaleNormal="100" workbookViewId="0">
      <selection activeCell="C8" sqref="C8"/>
    </sheetView>
  </sheetViews>
  <sheetFormatPr defaultRowHeight="15" x14ac:dyDescent="0.25"/>
  <cols>
    <col min="1" max="1" width="25.28515625" customWidth="1"/>
    <col min="2" max="6" width="12.140625" customWidth="1"/>
  </cols>
  <sheetData>
    <row r="1" spans="1:11" ht="17.25" thickBot="1" x14ac:dyDescent="0.35">
      <c r="A1" s="1" t="s">
        <v>268</v>
      </c>
    </row>
    <row r="2" spans="1:11" ht="16.5" thickTop="1" thickBot="1" x14ac:dyDescent="0.3">
      <c r="A2" s="205" t="s">
        <v>49</v>
      </c>
      <c r="B2" s="210" t="s">
        <v>2</v>
      </c>
      <c r="C2" s="211"/>
      <c r="D2" s="211"/>
      <c r="E2" s="211"/>
      <c r="F2" s="212"/>
    </row>
    <row r="3" spans="1:11" ht="62.25" customHeight="1" thickTop="1" thickBot="1" x14ac:dyDescent="0.3">
      <c r="A3" s="220"/>
      <c r="B3" s="85" t="s">
        <v>50</v>
      </c>
      <c r="C3" s="24" t="s">
        <v>205</v>
      </c>
      <c r="D3" s="85" t="s">
        <v>209</v>
      </c>
      <c r="E3" s="24" t="s">
        <v>207</v>
      </c>
      <c r="F3" s="85" t="s">
        <v>41</v>
      </c>
    </row>
    <row r="4" spans="1:11" s="3" customFormat="1" ht="33" customHeight="1" thickTop="1" thickBot="1" x14ac:dyDescent="0.3">
      <c r="A4" s="75" t="s">
        <v>52</v>
      </c>
      <c r="B4" s="155">
        <f>SUMIF(SUAM!C:C,"039",SUAM!E:E)+SUMIF(SUAM!C:C,"047",SUAM!E:E)</f>
        <v>0</v>
      </c>
      <c r="C4" s="90">
        <f>SUMIF(HK!A:A,"391100",HK!I:I)+SUMIF(HK!A:A,"391300",HK!I:I)</f>
        <v>0</v>
      </c>
      <c r="D4" s="90">
        <f>SUMIF(HK!A:A,"391100",HK!J:J)+SUMIF(HK!A:A,"391300",HK!J:J)</f>
        <v>0</v>
      </c>
      <c r="E4" s="90"/>
      <c r="F4" s="156">
        <f>SUMIF(SUA!C:C,"039",SUA!E:E)+SUMIF(SUA!C:C,"047",SUA!E:E)</f>
        <v>0</v>
      </c>
      <c r="G4" s="157"/>
      <c r="H4" s="157"/>
      <c r="I4" s="158"/>
      <c r="K4" s="73"/>
    </row>
    <row r="5" spans="1:11" s="3" customFormat="1" ht="33" customHeight="1" thickBot="1" x14ac:dyDescent="0.3">
      <c r="A5" s="75" t="s">
        <v>53</v>
      </c>
      <c r="B5" s="159">
        <f>SUMIF(SUAM!C:C,"041",SUAM!E:E)+SUMIF(SUAM!C:C,"049",SUAM!E:E)</f>
        <v>0</v>
      </c>
      <c r="C5" s="89"/>
      <c r="D5" s="89"/>
      <c r="E5" s="89"/>
      <c r="F5" s="126">
        <f>SUMIF(SUA!C:C,"041",SUA!E:E)+SUMIF(SUA!C:C,"049",SUA!E:E)</f>
        <v>0</v>
      </c>
      <c r="G5" s="157"/>
      <c r="H5" s="157"/>
      <c r="I5" s="158"/>
      <c r="K5" s="73"/>
    </row>
    <row r="6" spans="1:11" s="3" customFormat="1" ht="33" customHeight="1" thickBot="1" x14ac:dyDescent="0.3">
      <c r="A6" s="75" t="s">
        <v>62</v>
      </c>
      <c r="B6" s="159">
        <f>SUMIF(SUAM!C:C,"042",SUAM!E:E)+SUMIF(SUAM!C:C,"050",SUAM!E:E)</f>
        <v>0</v>
      </c>
      <c r="C6" s="89"/>
      <c r="D6" s="89"/>
      <c r="E6" s="89"/>
      <c r="F6" s="126">
        <f>SUMIF(SUA!C:C,"042",SUA!E:E)+SUMIF(SUA!C:C,"050",SUA!E:E)</f>
        <v>0</v>
      </c>
      <c r="G6" s="157"/>
      <c r="H6" s="157"/>
      <c r="I6" s="158"/>
      <c r="K6" s="73"/>
    </row>
    <row r="7" spans="1:11" s="3" customFormat="1" ht="33" customHeight="1" thickBot="1" x14ac:dyDescent="0.3">
      <c r="A7" s="75" t="s">
        <v>54</v>
      </c>
      <c r="B7" s="159">
        <f>SUMIF(SUAM!C:C,"043",SUAM!E:E)+SUMIF(SUAM!C:C,"051",SUAM!E:E)</f>
        <v>0</v>
      </c>
      <c r="C7" s="89"/>
      <c r="D7" s="89"/>
      <c r="E7" s="89"/>
      <c r="F7" s="126">
        <f>SUMIF(SUA!C:C,"043",SUA!E:E)+SUMIF(SUA!C:C,"051",SUA!E:E)</f>
        <v>0</v>
      </c>
      <c r="G7" s="157"/>
      <c r="H7" s="157"/>
      <c r="I7" s="158"/>
      <c r="K7" s="73"/>
    </row>
    <row r="8" spans="1:11" s="3" customFormat="1" ht="33" customHeight="1" thickBot="1" x14ac:dyDescent="0.3">
      <c r="A8" s="75" t="s">
        <v>55</v>
      </c>
      <c r="B8" s="159">
        <f>SUMIF(SUAM!C:C,"044",SUAM!E:E)+SUMIF(SUAM!C:C,"052",SUAM!E:E)+SUMIF(SUAM!C:C,"053",SUAM!E:E)+SUMIF(SUAM!C:C,"054",SUAM!E:E)</f>
        <v>0</v>
      </c>
      <c r="C8" s="89">
        <f>SUMIF(HK!A:A,"391200",HK!I:I)</f>
        <v>0</v>
      </c>
      <c r="D8" s="89">
        <f>SUMIF(HK!A:A,"391200",HK!J:J)</f>
        <v>39.729999999999997</v>
      </c>
      <c r="E8" s="89"/>
      <c r="F8" s="126">
        <f>SUMIF(SUA!C:C,"044",SUA!E:E)+SUMIF(SUA!C:C,"052",SUA!E:E)+SUMIF(SUA!C:C,"053",SUA!E:E)+SUMIF(SUAM!C:C,"054",SUA!E:E)</f>
        <v>39.729999999999997</v>
      </c>
      <c r="G8" s="157"/>
      <c r="H8" s="157"/>
      <c r="I8" s="158"/>
      <c r="K8" s="73"/>
    </row>
    <row r="9" spans="1:11" s="3" customFormat="1" ht="33" customHeight="1" thickBot="1" x14ac:dyDescent="0.3">
      <c r="A9" s="76" t="s">
        <v>56</v>
      </c>
      <c r="B9" s="86">
        <f>SUM(B4:B8)</f>
        <v>0</v>
      </c>
      <c r="C9" s="86">
        <f t="shared" ref="C9:E9" si="0">SUM(C4:C8)</f>
        <v>0</v>
      </c>
      <c r="D9" s="86">
        <f t="shared" si="0"/>
        <v>39.729999999999997</v>
      </c>
      <c r="E9" s="86">
        <f t="shared" si="0"/>
        <v>0</v>
      </c>
      <c r="F9" s="87">
        <f>SUM(F4:F8)</f>
        <v>39.729999999999997</v>
      </c>
    </row>
    <row r="10" spans="1:11" ht="15.75" thickTop="1" x14ac:dyDescent="0.25"/>
  </sheetData>
  <mergeCells count="2">
    <mergeCell ref="B2:F2"/>
    <mergeCell ref="A2:A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0"/>
  <sheetViews>
    <sheetView showGridLines="0" tabSelected="1" topLeftCell="A3" zoomScaleNormal="100" workbookViewId="0">
      <selection activeCell="C8" sqref="C8"/>
    </sheetView>
  </sheetViews>
  <sheetFormatPr defaultRowHeight="15" x14ac:dyDescent="0.25"/>
  <cols>
    <col min="1" max="1" width="25.85546875" customWidth="1"/>
    <col min="2" max="4" width="20.140625" customWidth="1"/>
    <col min="5" max="6" width="20.42578125" customWidth="1"/>
  </cols>
  <sheetData>
    <row r="1" spans="1:6" ht="16.5" x14ac:dyDescent="0.3">
      <c r="A1" s="1" t="s">
        <v>269</v>
      </c>
    </row>
    <row r="2" spans="1:6" ht="17.25" thickBot="1" x14ac:dyDescent="0.35">
      <c r="A2" s="2" t="s">
        <v>7</v>
      </c>
    </row>
    <row r="3" spans="1:6" ht="22.5" customHeight="1" thickTop="1" thickBot="1" x14ac:dyDescent="0.3">
      <c r="A3" s="9" t="s">
        <v>57</v>
      </c>
      <c r="B3" s="10" t="s">
        <v>58</v>
      </c>
      <c r="C3" s="10" t="s">
        <v>59</v>
      </c>
      <c r="D3" s="10" t="s">
        <v>56</v>
      </c>
    </row>
    <row r="4" spans="1:6" ht="22.5" customHeight="1" thickTop="1" thickBot="1" x14ac:dyDescent="0.3">
      <c r="A4" s="37" t="s">
        <v>60</v>
      </c>
      <c r="B4" s="32"/>
      <c r="C4" s="32"/>
      <c r="D4" s="33"/>
    </row>
    <row r="5" spans="1:6" ht="22.5" customHeight="1" thickTop="1" thickBot="1" x14ac:dyDescent="0.3">
      <c r="A5" s="13" t="s">
        <v>61</v>
      </c>
      <c r="B5" s="20"/>
      <c r="C5" s="20"/>
      <c r="D5" s="161">
        <f>SUMIF(SUA!C:C,"039",SUA!D:D)</f>
        <v>8311.2000000000007</v>
      </c>
      <c r="E5" s="162"/>
      <c r="F5" s="158"/>
    </row>
    <row r="6" spans="1:6" ht="22.5" customHeight="1" thickBot="1" x14ac:dyDescent="0.3">
      <c r="A6" s="13" t="s">
        <v>53</v>
      </c>
      <c r="B6" s="20"/>
      <c r="C6" s="20"/>
      <c r="D6" s="161">
        <f>SUMIF(SUA!C:C,"041",SUA!D:D)</f>
        <v>0</v>
      </c>
      <c r="E6" s="162"/>
      <c r="F6" s="158"/>
    </row>
    <row r="7" spans="1:6" ht="22.5" customHeight="1" thickBot="1" x14ac:dyDescent="0.3">
      <c r="A7" s="13" t="s">
        <v>62</v>
      </c>
      <c r="B7" s="20"/>
      <c r="C7" s="20"/>
      <c r="D7" s="161">
        <f>SUMIF(SUA!C:C,"042",SUA!D:D)</f>
        <v>0</v>
      </c>
      <c r="E7" s="162"/>
      <c r="F7" s="158"/>
    </row>
    <row r="8" spans="1:6" ht="22.5" customHeight="1" thickBot="1" x14ac:dyDescent="0.3">
      <c r="A8" s="13" t="s">
        <v>54</v>
      </c>
      <c r="B8" s="20"/>
      <c r="C8" s="20"/>
      <c r="D8" s="161">
        <f>SUMIF(SUA!C:C,"043",SUA!D:D)</f>
        <v>0</v>
      </c>
      <c r="E8" s="162"/>
      <c r="F8" s="158"/>
    </row>
    <row r="9" spans="1:6" ht="22.5" customHeight="1" thickBot="1" x14ac:dyDescent="0.3">
      <c r="A9" s="13" t="s">
        <v>55</v>
      </c>
      <c r="B9" s="20"/>
      <c r="C9" s="20"/>
      <c r="D9" s="161">
        <f>SUMIF(SUA!C:C,"044",SUA!D:D)</f>
        <v>0</v>
      </c>
      <c r="E9" s="162"/>
      <c r="F9" s="158"/>
    </row>
    <row r="10" spans="1:6" ht="22.5" customHeight="1" thickBot="1" x14ac:dyDescent="0.3">
      <c r="A10" s="21" t="s">
        <v>63</v>
      </c>
      <c r="B10" s="34">
        <f>SUM(B5:B9)</f>
        <v>0</v>
      </c>
      <c r="C10" s="34">
        <f>SUM(C5:C9)</f>
        <v>0</v>
      </c>
      <c r="D10" s="152">
        <f>SUM(D5:D9)</f>
        <v>8311.2000000000007</v>
      </c>
      <c r="E10" s="162"/>
      <c r="F10" s="162"/>
    </row>
    <row r="11" spans="1:6" ht="22.5" customHeight="1" thickTop="1" thickBot="1" x14ac:dyDescent="0.3">
      <c r="A11" s="37" t="s">
        <v>64</v>
      </c>
      <c r="B11" s="32"/>
      <c r="C11" s="32"/>
      <c r="D11" s="150"/>
      <c r="E11" s="162"/>
      <c r="F11" s="162"/>
    </row>
    <row r="12" spans="1:6" ht="22.5" customHeight="1" thickTop="1" thickBot="1" x14ac:dyDescent="0.3">
      <c r="A12" s="13" t="s">
        <v>65</v>
      </c>
      <c r="B12" s="20"/>
      <c r="C12" s="20"/>
      <c r="D12" s="161">
        <f>SUMIF(SUA!C:C,"047",SUA!D:D)</f>
        <v>54328.7</v>
      </c>
      <c r="E12" s="162"/>
      <c r="F12" s="158"/>
    </row>
    <row r="13" spans="1:6" ht="22.5" customHeight="1" thickBot="1" x14ac:dyDescent="0.3">
      <c r="A13" s="13" t="s">
        <v>53</v>
      </c>
      <c r="B13" s="20"/>
      <c r="C13" s="20"/>
      <c r="D13" s="161">
        <f>SUMIF(SUA!C:C,"049",SUA!D:D)</f>
        <v>0</v>
      </c>
      <c r="E13" s="162"/>
      <c r="F13" s="158"/>
    </row>
    <row r="14" spans="1:6" ht="22.5" customHeight="1" thickBot="1" x14ac:dyDescent="0.3">
      <c r="A14" s="13" t="s">
        <v>62</v>
      </c>
      <c r="B14" s="20"/>
      <c r="C14" s="20"/>
      <c r="D14" s="161">
        <f>SUMIF(SUA!C:C,"050",SUA!D:D)</f>
        <v>0</v>
      </c>
      <c r="E14" s="162"/>
      <c r="F14" s="158"/>
    </row>
    <row r="15" spans="1:6" ht="22.5" customHeight="1" thickBot="1" x14ac:dyDescent="0.3">
      <c r="A15" s="13" t="s">
        <v>54</v>
      </c>
      <c r="B15" s="20"/>
      <c r="C15" s="20"/>
      <c r="D15" s="161">
        <f>SUMIF(SUA!C:C,"051",SUA!D:D)</f>
        <v>0</v>
      </c>
      <c r="E15" s="162"/>
      <c r="F15" s="158"/>
    </row>
    <row r="16" spans="1:6" ht="22.5" customHeight="1" thickBot="1" x14ac:dyDescent="0.3">
      <c r="A16" s="13" t="s">
        <v>66</v>
      </c>
      <c r="B16" s="20"/>
      <c r="C16" s="20"/>
      <c r="D16" s="161">
        <f>SUMIF(SUA!C:C,"052",SUA!D:D)</f>
        <v>0</v>
      </c>
      <c r="E16" s="162"/>
      <c r="F16" s="158"/>
    </row>
    <row r="17" spans="1:6" ht="22.5" customHeight="1" thickBot="1" x14ac:dyDescent="0.3">
      <c r="A17" s="13" t="s">
        <v>67</v>
      </c>
      <c r="B17" s="20"/>
      <c r="C17" s="20"/>
      <c r="D17" s="161">
        <f>SUMIF(SUA!C:C,"053",SUA!D:D)</f>
        <v>0</v>
      </c>
      <c r="E17" s="162"/>
      <c r="F17" s="158"/>
    </row>
    <row r="18" spans="1:6" ht="22.5" customHeight="1" thickBot="1" x14ac:dyDescent="0.3">
      <c r="A18" s="13" t="s">
        <v>55</v>
      </c>
      <c r="B18" s="20"/>
      <c r="C18" s="20"/>
      <c r="D18" s="161">
        <f>SUMIF(SUA!C:C,"054",SUA!D:D)</f>
        <v>39.729999999999997</v>
      </c>
      <c r="E18" s="162"/>
      <c r="F18" s="158"/>
    </row>
    <row r="19" spans="1:6" ht="22.5" customHeight="1" thickBot="1" x14ac:dyDescent="0.3">
      <c r="A19" s="21" t="s">
        <v>68</v>
      </c>
      <c r="B19" s="34">
        <f>SUM(B12:B18)</f>
        <v>0</v>
      </c>
      <c r="C19" s="34">
        <f>SUM(C12:C18)</f>
        <v>0</v>
      </c>
      <c r="D19" s="36">
        <f>SUM(D12:D18)</f>
        <v>54368.43</v>
      </c>
    </row>
    <row r="20" spans="1:6" ht="17.25" thickTop="1" x14ac:dyDescent="0.3">
      <c r="A20" s="5"/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9"/>
  <sheetViews>
    <sheetView showGridLines="0" tabSelected="1" zoomScaleNormal="100" workbookViewId="0">
      <selection activeCell="C8" sqref="C8"/>
    </sheetView>
  </sheetViews>
  <sheetFormatPr defaultRowHeight="15" x14ac:dyDescent="0.25"/>
  <cols>
    <col min="1" max="1" width="33" customWidth="1"/>
    <col min="2" max="3" width="26.7109375" customWidth="1"/>
    <col min="4" max="6" width="20.42578125" customWidth="1"/>
  </cols>
  <sheetData>
    <row r="1" spans="1:5" ht="16.5" x14ac:dyDescent="0.3">
      <c r="A1" s="1" t="s">
        <v>270</v>
      </c>
    </row>
    <row r="2" spans="1:5" ht="17.25" thickBot="1" x14ac:dyDescent="0.35">
      <c r="A2" s="4" t="s">
        <v>69</v>
      </c>
    </row>
    <row r="3" spans="1:5" ht="30" customHeight="1" thickTop="1" thickBot="1" x14ac:dyDescent="0.3">
      <c r="A3" s="9" t="s">
        <v>57</v>
      </c>
      <c r="B3" s="10" t="s">
        <v>2</v>
      </c>
      <c r="C3" s="10" t="s">
        <v>3</v>
      </c>
    </row>
    <row r="4" spans="1:5" ht="18.75" customHeight="1" thickTop="1" thickBot="1" x14ac:dyDescent="0.3">
      <c r="A4" s="74" t="s">
        <v>70</v>
      </c>
      <c r="B4" s="163">
        <f>SUMIF(SUA!C:C,"056",SUA!F:F)</f>
        <v>3395.04</v>
      </c>
      <c r="C4" s="164">
        <f>SUMIF(SUA!C:C,"056",SUA!G:G)</f>
        <v>8117.28</v>
      </c>
      <c r="D4" s="162"/>
      <c r="E4" s="158"/>
    </row>
    <row r="5" spans="1:5" ht="15.75" thickBot="1" x14ac:dyDescent="0.3">
      <c r="A5" s="75" t="s">
        <v>71</v>
      </c>
      <c r="B5" s="165">
        <f>SUMIF(SUA!C:C,"057",SUA!F:F)-(SUMIF(HK!A:A,"261*",HK!K:K)+SUMIF(HK!A:A,"261*",HK!L:L))</f>
        <v>0</v>
      </c>
      <c r="C5" s="166">
        <f>SUMIF(SUA!C:C,"057",SUA!G:G)-(SUMIF(HK!A:A,"261*",HK!C:C)+SUMIF(HK!A:A,"261*",HK!D:D))</f>
        <v>0</v>
      </c>
      <c r="D5" s="162"/>
      <c r="E5" s="158"/>
    </row>
    <row r="6" spans="1:5" ht="18.75" customHeight="1" thickBot="1" x14ac:dyDescent="0.3">
      <c r="A6" s="75" t="s">
        <v>72</v>
      </c>
      <c r="B6" s="165">
        <f>SUMIF(SUA!C:C,"058",SUA!F:F)</f>
        <v>0</v>
      </c>
      <c r="C6" s="166">
        <f>SUMIF(SUA!C:C,"058",SUA!G:G)</f>
        <v>0</v>
      </c>
      <c r="D6" s="162"/>
      <c r="E6" s="158"/>
    </row>
    <row r="7" spans="1:5" ht="18.75" customHeight="1" thickBot="1" x14ac:dyDescent="0.3">
      <c r="A7" s="75" t="s">
        <v>73</v>
      </c>
      <c r="B7" s="165">
        <f>SUMIF(HK!A:A,"261*",HK!K:K)-SUMIF(HK!A:A,"261*",HK!L:L)</f>
        <v>0</v>
      </c>
      <c r="C7" s="166">
        <f>SUMIF(HK!A:A,"261*",HK!C:C)-SUMIF(HK!A:A,"261*",HK!D:D)</f>
        <v>0</v>
      </c>
      <c r="D7" s="162"/>
      <c r="E7" s="158"/>
    </row>
    <row r="8" spans="1:5" ht="18.75" customHeight="1" thickBot="1" x14ac:dyDescent="0.3">
      <c r="A8" s="76" t="s">
        <v>8</v>
      </c>
      <c r="B8" s="77">
        <f>SUM(B4:B7)</f>
        <v>3395.04</v>
      </c>
      <c r="C8" s="36">
        <f>SUM(C4:C7)</f>
        <v>8117.28</v>
      </c>
    </row>
    <row r="9" spans="1:5" ht="15.75" thickTop="1" x14ac:dyDescent="0.25"/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30</vt:i4>
      </vt:variant>
      <vt:variant>
        <vt:lpstr>Pomenované rozsahy</vt:lpstr>
      </vt:variant>
      <vt:variant>
        <vt:i4>28</vt:i4>
      </vt:variant>
    </vt:vector>
  </HeadingPairs>
  <TitlesOfParts>
    <vt:vector size="58" baseType="lpstr">
      <vt:lpstr>VYSVETLIVKY</vt:lpstr>
      <vt:lpstr>1</vt:lpstr>
      <vt:lpstr>2</vt:lpstr>
      <vt:lpstr>4</vt:lpstr>
      <vt:lpstr>6</vt:lpstr>
      <vt:lpstr>11</vt:lpstr>
      <vt:lpstr>14</vt:lpstr>
      <vt:lpstr>15</vt:lpstr>
      <vt:lpstr>17</vt:lpstr>
      <vt:lpstr>22</vt:lpstr>
      <vt:lpstr>23</vt:lpstr>
      <vt:lpstr>24</vt:lpstr>
      <vt:lpstr>25</vt:lpstr>
      <vt:lpstr>26</vt:lpstr>
      <vt:lpstr>32</vt:lpstr>
      <vt:lpstr>33</vt:lpstr>
      <vt:lpstr>36</vt:lpstr>
      <vt:lpstr>37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  <vt:lpstr>'11'!Oblasť_tlače</vt:lpstr>
      <vt:lpstr>'14'!Oblasť_tlače</vt:lpstr>
      <vt:lpstr>'15'!Oblasť_tlače</vt:lpstr>
      <vt:lpstr>'17'!Oblasť_tlače</vt:lpstr>
      <vt:lpstr>'2'!Oblasť_tlače</vt:lpstr>
      <vt:lpstr>'22'!Oblasť_tlače</vt:lpstr>
      <vt:lpstr>'23'!Oblasť_tlače</vt:lpstr>
      <vt:lpstr>'24'!Oblasť_tlače</vt:lpstr>
      <vt:lpstr>'25'!Oblasť_tlače</vt:lpstr>
      <vt:lpstr>'26'!Oblasť_tlače</vt:lpstr>
      <vt:lpstr>'32'!Oblasť_tlače</vt:lpstr>
      <vt:lpstr>'33'!Oblasť_tlače</vt:lpstr>
      <vt:lpstr>'36'!Oblasť_tlače</vt:lpstr>
      <vt:lpstr>'37'!Oblasť_tlače</vt:lpstr>
      <vt:lpstr>'4'!Oblasť_tlače</vt:lpstr>
      <vt:lpstr>'6'!Oblasť_tlače</vt:lpstr>
      <vt:lpstr>Hárok1!Oblasť_tlače</vt:lpstr>
      <vt:lpstr>HK!Oblasť_tlače</vt:lpstr>
      <vt:lpstr>HKM!Oblasť_tlače</vt:lpstr>
      <vt:lpstr>HKSU!Oblasť_tlače</vt:lpstr>
      <vt:lpstr>HKSUM!Oblasť_tlače</vt:lpstr>
      <vt:lpstr>Info!Oblasť_tlače</vt:lpstr>
      <vt:lpstr>SUA!Oblasť_tlače</vt:lpstr>
      <vt:lpstr>SUAM!Oblasť_tlače</vt:lpstr>
      <vt:lpstr>SUP!Oblasť_tlače</vt:lpstr>
      <vt:lpstr>SUPM!Oblasť_tlače</vt:lpstr>
      <vt:lpstr>VZaS!Oblasť_tlače</vt:lpstr>
      <vt:lpstr>VZaSM!Oblasť_tlače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2014-03-25T08:54:26Z</dcterms:modified>
</cp:coreProperties>
</file>