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120" yWindow="120" windowWidth="15120" windowHeight="8010" tabRatio="948"/>
  </bookViews>
  <sheets>
    <sheet name="Notes Template" sheetId="71" r:id="rId1"/>
    <sheet name="BS" sheetId="60" state="hidden" r:id="rId2"/>
    <sheet name="P&amp;L" sheetId="61" state="hidden" r:id="rId3"/>
    <sheet name="Cash Flow" sheetId="62" state="hidden" r:id="rId4"/>
    <sheet name="1" sheetId="1" state="hidden" r:id="rId5"/>
    <sheet name="2" sheetId="4" state="hidden" r:id="rId6"/>
    <sheet name="2_tabulka 2" sheetId="52" state="hidden" r:id="rId7"/>
    <sheet name="3" sheetId="5" state="hidden" r:id="rId8"/>
    <sheet name="4" sheetId="6" state="hidden" r:id="rId9"/>
    <sheet name="5" sheetId="7" state="hidden" r:id="rId10"/>
    <sheet name="6" sheetId="8" state="hidden" r:id="rId11"/>
    <sheet name="7" sheetId="9" state="hidden" r:id="rId12"/>
    <sheet name="8" sheetId="10" state="hidden" r:id="rId13"/>
    <sheet name="9" sheetId="11" state="hidden" r:id="rId14"/>
    <sheet name="10" sheetId="12" state="hidden" r:id="rId15"/>
    <sheet name="11" sheetId="13" state="hidden" r:id="rId16"/>
    <sheet name="12" sheetId="14" state="hidden" r:id="rId17"/>
    <sheet name="12_tabulka c.2" sheetId="53" state="hidden" r:id="rId18"/>
    <sheet name="13" sheetId="15" state="hidden" r:id="rId19"/>
    <sheet name="14_tabulka 1 a 3" sheetId="56" state="hidden" r:id="rId20"/>
    <sheet name="14_tabulka 2 a 4" sheetId="57" state="hidden" r:id="rId21"/>
    <sheet name="15" sheetId="17" state="hidden" r:id="rId22"/>
    <sheet name="16" sheetId="18" state="hidden" r:id="rId23"/>
    <sheet name="16_tabulka c.2" sheetId="54" state="hidden" r:id="rId24"/>
    <sheet name="17" sheetId="19" state="hidden" r:id="rId25"/>
    <sheet name="18" sheetId="20" state="hidden" r:id="rId26"/>
    <sheet name="18_tabulka c.2" sheetId="55" state="hidden" r:id="rId27"/>
    <sheet name="19" sheetId="21" state="hidden" r:id="rId28"/>
    <sheet name="20" sheetId="22" state="hidden" r:id="rId29"/>
    <sheet name="21" sheetId="23" state="hidden" r:id="rId30"/>
    <sheet name="22" sheetId="24" state="hidden" r:id="rId31"/>
    <sheet name="23" sheetId="25" state="hidden" r:id="rId32"/>
    <sheet name="24" sheetId="26" state="hidden" r:id="rId33"/>
    <sheet name="24_tabulky 3 a 4" sheetId="50" state="hidden" r:id="rId34"/>
    <sheet name="25" sheetId="27" state="hidden" r:id="rId35"/>
    <sheet name="26" sheetId="28" state="hidden" r:id="rId36"/>
    <sheet name="27" sheetId="30" state="hidden" r:id="rId37"/>
    <sheet name="28" sheetId="31" state="hidden" r:id="rId38"/>
    <sheet name="29" sheetId="32" state="hidden" r:id="rId39"/>
    <sheet name="30" sheetId="29" state="hidden" r:id="rId40"/>
    <sheet name="31" sheetId="33" state="hidden" r:id="rId41"/>
    <sheet name="32" sheetId="34" state="hidden" r:id="rId42"/>
    <sheet name="32_tabulka 2" sheetId="59" state="hidden" r:id="rId43"/>
    <sheet name="33" sheetId="35" state="hidden" r:id="rId44"/>
    <sheet name="34" sheetId="36" state="hidden" r:id="rId45"/>
    <sheet name="42" sheetId="44" state="hidden" r:id="rId46"/>
    <sheet name="43" sheetId="45" state="hidden" r:id="rId47"/>
    <sheet name="44" sheetId="46" state="hidden" r:id="rId48"/>
    <sheet name="35" sheetId="37" state="hidden" r:id="rId49"/>
    <sheet name="36" sheetId="38" state="hidden" r:id="rId50"/>
    <sheet name="37" sheetId="39" state="hidden" r:id="rId51"/>
    <sheet name="38" sheetId="40" state="hidden" r:id="rId52"/>
    <sheet name="39" sheetId="41" state="hidden" r:id="rId53"/>
    <sheet name="40" sheetId="42" state="hidden" r:id="rId54"/>
    <sheet name="41" sheetId="43" state="hidden" r:id="rId55"/>
    <sheet name="45" sheetId="47" state="hidden" r:id="rId56"/>
    <sheet name="46" sheetId="48" state="hidden" r:id="rId57"/>
    <sheet name="Input data" sheetId="69" state="hidden" r:id="rId58"/>
    <sheet name="BS-SK Cover sheet" sheetId="65" state="hidden" r:id="rId59"/>
    <sheet name="BS-SK Statutory " sheetId="66" state="hidden" r:id="rId60"/>
    <sheet name="IS-SK Cover sheet" sheetId="67" state="hidden" r:id="rId61"/>
    <sheet name="IS-SK Statutory " sheetId="68" state="hidden" r:id="rId62"/>
    <sheet name="VYSVETLIVKY" sheetId="51" state="hidden" r:id="rId63"/>
  </sheets>
  <externalReferences>
    <externalReference r:id="rId64"/>
    <externalReference r:id="rId65"/>
  </externalReferences>
  <definedNames>
    <definedName name="_Fill" localSheetId="58" hidden="1">#REF!</definedName>
    <definedName name="_Fill" localSheetId="59" hidden="1">#REF!</definedName>
    <definedName name="_Fill" localSheetId="57" hidden="1">#REF!</definedName>
    <definedName name="_Fill" localSheetId="60" hidden="1">#REF!</definedName>
    <definedName name="_Fill" localSheetId="61" hidden="1">#REF!</definedName>
    <definedName name="_Fill" hidden="1">#REF!</definedName>
    <definedName name="_Toc474124192" localSheetId="0">'Notes Template'!$D$119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_xlnm.Print_Titles" localSheetId="59">'BS-SK Statutory '!$1:$3</definedName>
    <definedName name="_xlnm.Print_Titles" localSheetId="61">'IS-SK Statutory '!$1:$5</definedName>
    <definedName name="_xlnm.Print_Area" localSheetId="1">BS!$A$5:$G$142</definedName>
    <definedName name="_xlnm.Print_Area" localSheetId="58">'BS-SK Cover sheet'!$A$1:$AM$55</definedName>
    <definedName name="_xlnm.Print_Area" localSheetId="59">'BS-SK Statutory '!$A$1:$J$210</definedName>
    <definedName name="_xlnm.Print_Area" localSheetId="3">'Cash Flow'!$A$1:$G$96</definedName>
    <definedName name="_xlnm.Print_Area" localSheetId="60">'IS-SK Cover sheet'!$A$1:$AM$55</definedName>
    <definedName name="_xlnm.Print_Area" localSheetId="61">'IS-SK Statutory '!$A$1:$F$66</definedName>
    <definedName name="_xlnm.Print_Area" localSheetId="0">'Notes Template'!$B$2:$AH$692</definedName>
    <definedName name="_xlnm.Print_Area" localSheetId="2">'P&amp;L'!$A$4:$E$68</definedName>
    <definedName name="_xlnm.Print_Area">#REF!</definedName>
    <definedName name="Print">#REF!</definedName>
    <definedName name="Účty">[1]Sheet3!$A$4:$BF$371</definedName>
    <definedName name="VER_CF_BALANCES" localSheetId="58">#REF!</definedName>
    <definedName name="VER_CF_BALANCES" localSheetId="59">#REF!</definedName>
    <definedName name="VER_CF_BALANCES" localSheetId="57">#REF!</definedName>
    <definedName name="VER_CF_BALANCES" localSheetId="60">#REF!</definedName>
    <definedName name="VER_CF_BALANCES" localSheetId="61">#REF!</definedName>
    <definedName name="VER_CF_BALANCES">#REF!</definedName>
    <definedName name="VER_SH_RATIOS" localSheetId="58">#REF!</definedName>
    <definedName name="VER_SH_RATIOS" localSheetId="59">#REF!</definedName>
    <definedName name="VER_SH_RATIOS" localSheetId="57">#REF!</definedName>
    <definedName name="VER_SH_RATIOS" localSheetId="60">#REF!</definedName>
    <definedName name="VER_SH_RATIOS" localSheetId="61">#REF!</definedName>
    <definedName name="VER_SH_RATIOS">#REF!</definedName>
    <definedName name="VER_SCH_10" localSheetId="58">#REF!</definedName>
    <definedName name="VER_SCH_10" localSheetId="59">#REF!</definedName>
    <definedName name="VER_SCH_10" localSheetId="57">#REF!</definedName>
    <definedName name="VER_SCH_10" localSheetId="60">#REF!</definedName>
    <definedName name="VER_SCH_10" localSheetId="61">#REF!</definedName>
    <definedName name="VER_SCH_10">#REF!</definedName>
    <definedName name="VER_SCH_14">#REF!</definedName>
    <definedName name="VER_SCH_2">#REF!</definedName>
    <definedName name="VER_SCH_7">#REF!</definedName>
    <definedName name="Visit">[1]Sheet2!$I$3</definedName>
    <definedName name="YearEnd">[1]Sheet2!$I$2</definedName>
    <definedName name="Z_4D14509E_B826_11D1_8159_444553540000_.wvu.Cols" localSheetId="1" hidden="1">BS!#REF!</definedName>
    <definedName name="Z_4D14509E_B826_11D1_8159_444553540000_.wvu.Cols" localSheetId="2" hidden="1">'P&amp;L'!#REF!</definedName>
  </definedNames>
  <calcPr calcId="145621"/>
</workbook>
</file>

<file path=xl/calcChain.xml><?xml version="1.0" encoding="utf-8"?>
<calcChain xmlns="http://schemas.openxmlformats.org/spreadsheetml/2006/main">
  <c r="AD456" i="71" l="1"/>
  <c r="AD455" i="71"/>
  <c r="AD454" i="71"/>
  <c r="AD453" i="71"/>
  <c r="AD452" i="71"/>
  <c r="AD447" i="71"/>
  <c r="AD446" i="71"/>
  <c r="AD445" i="71"/>
  <c r="AD444" i="71"/>
  <c r="AD443" i="71"/>
  <c r="AA380" i="71"/>
  <c r="AA379" i="71"/>
  <c r="N338" i="71" l="1"/>
  <c r="N331" i="71"/>
  <c r="AK331" i="71" s="1"/>
  <c r="N314" i="71"/>
  <c r="AF314" i="71" s="1"/>
  <c r="N307" i="71"/>
  <c r="D34" i="67" l="1"/>
  <c r="AA29" i="67"/>
  <c r="R29" i="67"/>
  <c r="M29" i="67"/>
  <c r="D29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AE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Y19" i="67"/>
  <c r="R19" i="67"/>
  <c r="N326" i="71"/>
  <c r="N339" i="71" s="1"/>
  <c r="N312" i="71"/>
  <c r="AK312" i="71" s="1"/>
  <c r="N315" i="71" l="1"/>
  <c r="AF315" i="71" s="1"/>
  <c r="AC474" i="71"/>
  <c r="AC489" i="71" l="1"/>
  <c r="AC488" i="71"/>
  <c r="AM489" i="71" s="1"/>
  <c r="F65" i="68" l="1"/>
  <c r="E65" i="68"/>
  <c r="F62" i="68"/>
  <c r="E62" i="68"/>
  <c r="F61" i="68"/>
  <c r="E61" i="68"/>
  <c r="F58" i="68"/>
  <c r="E58" i="68"/>
  <c r="F57" i="68"/>
  <c r="E57" i="68"/>
  <c r="F55" i="68"/>
  <c r="E55" i="68"/>
  <c r="F54" i="68"/>
  <c r="E54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E6" i="68"/>
  <c r="J37" i="67"/>
  <c r="I37" i="67"/>
  <c r="H37" i="67"/>
  <c r="G37" i="67"/>
  <c r="E37" i="67"/>
  <c r="D37" i="67"/>
  <c r="B37" i="67"/>
  <c r="A37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K27" i="67"/>
  <c r="AJ27" i="67"/>
  <c r="AI27" i="67"/>
  <c r="AH27" i="67"/>
  <c r="AG27" i="67"/>
  <c r="AF27" i="67"/>
  <c r="AK25" i="67"/>
  <c r="AJ25" i="67"/>
  <c r="AI25" i="67"/>
  <c r="AH25" i="67"/>
  <c r="AG25" i="67"/>
  <c r="AF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AD15" i="67"/>
  <c r="AH14" i="67"/>
  <c r="AG14" i="67"/>
  <c r="R13" i="67"/>
  <c r="L13" i="67"/>
  <c r="R12" i="67"/>
  <c r="L12" i="67"/>
  <c r="M4" i="67"/>
  <c r="I210" i="66"/>
  <c r="G210" i="66"/>
  <c r="I209" i="66"/>
  <c r="G209" i="66"/>
  <c r="I208" i="66"/>
  <c r="G208" i="66"/>
  <c r="I207" i="66"/>
  <c r="G207" i="66"/>
  <c r="I205" i="66"/>
  <c r="G205" i="66"/>
  <c r="I204" i="66"/>
  <c r="G204" i="66"/>
  <c r="I201" i="66"/>
  <c r="G201" i="66"/>
  <c r="I200" i="66"/>
  <c r="G200" i="66"/>
  <c r="I199" i="66"/>
  <c r="G199" i="66"/>
  <c r="I198" i="66"/>
  <c r="G198" i="66"/>
  <c r="I197" i="66"/>
  <c r="G197" i="66"/>
  <c r="I196" i="66"/>
  <c r="G196" i="66"/>
  <c r="I195" i="66"/>
  <c r="G195" i="66"/>
  <c r="I194" i="66"/>
  <c r="G194" i="66"/>
  <c r="I193" i="66"/>
  <c r="G193" i="66"/>
  <c r="I192" i="66"/>
  <c r="G192" i="66"/>
  <c r="I190" i="66"/>
  <c r="G190" i="66"/>
  <c r="I189" i="66"/>
  <c r="G189" i="66"/>
  <c r="I188" i="66"/>
  <c r="G188" i="66"/>
  <c r="I187" i="66"/>
  <c r="G187" i="66"/>
  <c r="I186" i="66"/>
  <c r="G186" i="66"/>
  <c r="I185" i="66"/>
  <c r="G185" i="66"/>
  <c r="I184" i="66"/>
  <c r="G184" i="66"/>
  <c r="I183" i="66"/>
  <c r="G183" i="66"/>
  <c r="I182" i="66"/>
  <c r="G182" i="66"/>
  <c r="I181" i="66"/>
  <c r="G181" i="66"/>
  <c r="I180" i="66"/>
  <c r="G180" i="66"/>
  <c r="I177" i="66"/>
  <c r="G177" i="66"/>
  <c r="I176" i="66"/>
  <c r="G176" i="66"/>
  <c r="I175" i="66"/>
  <c r="G175" i="66"/>
  <c r="I174" i="66"/>
  <c r="G174" i="66"/>
  <c r="I170" i="66"/>
  <c r="G170" i="66"/>
  <c r="I169" i="66"/>
  <c r="G169" i="66"/>
  <c r="I167" i="66"/>
  <c r="G167" i="66"/>
  <c r="I166" i="66"/>
  <c r="G166" i="66"/>
  <c r="I165" i="66"/>
  <c r="G165" i="66"/>
  <c r="I163" i="66"/>
  <c r="G163" i="66"/>
  <c r="I162" i="66"/>
  <c r="G162" i="66"/>
  <c r="I161" i="66"/>
  <c r="G161" i="66"/>
  <c r="I160" i="66"/>
  <c r="G160" i="66"/>
  <c r="I159" i="66"/>
  <c r="G159" i="66"/>
  <c r="I158" i="66"/>
  <c r="G158" i="66"/>
  <c r="I156" i="66"/>
  <c r="G156" i="66"/>
  <c r="I155" i="66"/>
  <c r="G155" i="66"/>
  <c r="I154" i="66"/>
  <c r="G154" i="66"/>
  <c r="I153" i="66"/>
  <c r="G153" i="66"/>
  <c r="H148" i="66"/>
  <c r="D148" i="66"/>
  <c r="G147" i="66"/>
  <c r="D147" i="66"/>
  <c r="H146" i="66"/>
  <c r="D146" i="66"/>
  <c r="G145" i="66"/>
  <c r="D145" i="66"/>
  <c r="H144" i="66"/>
  <c r="D144" i="66"/>
  <c r="D143" i="66"/>
  <c r="H142" i="66"/>
  <c r="D142" i="66"/>
  <c r="D141" i="66"/>
  <c r="D138" i="66"/>
  <c r="D137" i="66"/>
  <c r="D136" i="66"/>
  <c r="D135" i="66"/>
  <c r="H134" i="66"/>
  <c r="D134" i="66"/>
  <c r="D133" i="66"/>
  <c r="H132" i="66"/>
  <c r="D132" i="66"/>
  <c r="D131" i="66"/>
  <c r="H127" i="66"/>
  <c r="D127" i="66"/>
  <c r="D126" i="66"/>
  <c r="D124" i="66"/>
  <c r="H123" i="66"/>
  <c r="D123" i="66"/>
  <c r="D122" i="66"/>
  <c r="H121" i="66"/>
  <c r="D121" i="66"/>
  <c r="D120" i="66"/>
  <c r="H119" i="66"/>
  <c r="D119" i="66"/>
  <c r="D118" i="66"/>
  <c r="H117" i="66"/>
  <c r="D117" i="66"/>
  <c r="D116" i="66"/>
  <c r="H115" i="66"/>
  <c r="D115" i="66"/>
  <c r="D114" i="66"/>
  <c r="H113" i="66"/>
  <c r="D113" i="66"/>
  <c r="D112" i="66"/>
  <c r="H111" i="66"/>
  <c r="D111" i="66"/>
  <c r="D110" i="66"/>
  <c r="H109" i="66"/>
  <c r="D109" i="66"/>
  <c r="D108" i="66"/>
  <c r="H105" i="66"/>
  <c r="D105" i="66"/>
  <c r="D104" i="66"/>
  <c r="H103" i="66"/>
  <c r="D103" i="66"/>
  <c r="D102" i="66"/>
  <c r="H101" i="66"/>
  <c r="D101" i="66"/>
  <c r="G100" i="66"/>
  <c r="D100" i="66"/>
  <c r="H99" i="66"/>
  <c r="D99" i="66"/>
  <c r="G98" i="66"/>
  <c r="D98" i="66"/>
  <c r="H94" i="66"/>
  <c r="D94" i="66"/>
  <c r="D93" i="66"/>
  <c r="H92" i="66"/>
  <c r="D92" i="66"/>
  <c r="D91" i="66"/>
  <c r="H90" i="66"/>
  <c r="D90" i="66"/>
  <c r="G89" i="66"/>
  <c r="D89" i="66"/>
  <c r="H86" i="66"/>
  <c r="D86" i="66"/>
  <c r="D85" i="66"/>
  <c r="H84" i="66"/>
  <c r="D84" i="66"/>
  <c r="D83" i="66"/>
  <c r="H82" i="66"/>
  <c r="D82" i="66"/>
  <c r="D81" i="66"/>
  <c r="H80" i="66"/>
  <c r="D80" i="66"/>
  <c r="D79" i="66"/>
  <c r="H78" i="66"/>
  <c r="D78" i="66"/>
  <c r="D77" i="66"/>
  <c r="H76" i="66"/>
  <c r="D76" i="66"/>
  <c r="D75" i="66"/>
  <c r="H70" i="66"/>
  <c r="D70" i="66"/>
  <c r="D69" i="66"/>
  <c r="H68" i="66"/>
  <c r="D68" i="66"/>
  <c r="D67" i="66"/>
  <c r="H63" i="66"/>
  <c r="D63" i="66"/>
  <c r="D62" i="66"/>
  <c r="H61" i="66"/>
  <c r="D61" i="66"/>
  <c r="D60" i="66"/>
  <c r="H59" i="66"/>
  <c r="D59" i="66"/>
  <c r="D58" i="66"/>
  <c r="H57" i="66"/>
  <c r="D57" i="66"/>
  <c r="D56" i="66"/>
  <c r="H55" i="66"/>
  <c r="D55" i="66"/>
  <c r="D54" i="66"/>
  <c r="H53" i="66"/>
  <c r="D53" i="66"/>
  <c r="D52" i="66"/>
  <c r="H49" i="66"/>
  <c r="D49" i="66"/>
  <c r="D48" i="66"/>
  <c r="H47" i="66"/>
  <c r="D47" i="66"/>
  <c r="D46" i="66"/>
  <c r="H45" i="66"/>
  <c r="D45" i="66"/>
  <c r="D44" i="66"/>
  <c r="H43" i="66"/>
  <c r="D43" i="66"/>
  <c r="D42" i="66"/>
  <c r="H41" i="66"/>
  <c r="D41" i="66"/>
  <c r="D40" i="66"/>
  <c r="H39" i="66"/>
  <c r="D39" i="66"/>
  <c r="D38" i="66"/>
  <c r="H37" i="66"/>
  <c r="D37" i="66"/>
  <c r="D36" i="66"/>
  <c r="H32" i="66"/>
  <c r="D32" i="66"/>
  <c r="D31" i="66"/>
  <c r="H30" i="66"/>
  <c r="D30" i="66"/>
  <c r="D29" i="66"/>
  <c r="D27" i="66"/>
  <c r="H26" i="66"/>
  <c r="D26" i="66"/>
  <c r="D25" i="66"/>
  <c r="H24" i="66"/>
  <c r="D24" i="66"/>
  <c r="D23" i="66"/>
  <c r="H22" i="66"/>
  <c r="D22" i="66"/>
  <c r="D21" i="66"/>
  <c r="H20" i="66"/>
  <c r="D20" i="66"/>
  <c r="D19" i="66"/>
  <c r="H18" i="66"/>
  <c r="D18" i="66"/>
  <c r="D17" i="66"/>
  <c r="H16" i="66"/>
  <c r="D16" i="66"/>
  <c r="D15" i="66"/>
  <c r="H14" i="66"/>
  <c r="D14" i="66"/>
  <c r="D13" i="66"/>
  <c r="J37" i="65"/>
  <c r="I37" i="65"/>
  <c r="H37" i="65"/>
  <c r="G37" i="65"/>
  <c r="E37" i="65"/>
  <c r="D37" i="65"/>
  <c r="B37" i="65"/>
  <c r="A37" i="65"/>
  <c r="D34" i="65"/>
  <c r="AK31" i="65"/>
  <c r="AJ31" i="65"/>
  <c r="AI31" i="65"/>
  <c r="AH31" i="65"/>
  <c r="AG31" i="65"/>
  <c r="AF31" i="65"/>
  <c r="AE31" i="65"/>
  <c r="AD31" i="65"/>
  <c r="AC31" i="65"/>
  <c r="AB31" i="65"/>
  <c r="AA31" i="65"/>
  <c r="Z31" i="65"/>
  <c r="Y31" i="65"/>
  <c r="X31" i="65"/>
  <c r="W31" i="65"/>
  <c r="V31" i="65"/>
  <c r="U31" i="65"/>
  <c r="T31" i="65"/>
  <c r="S31" i="65"/>
  <c r="R31" i="65"/>
  <c r="Q31" i="65"/>
  <c r="P31" i="65"/>
  <c r="O31" i="65"/>
  <c r="N31" i="65"/>
  <c r="M31" i="65"/>
  <c r="L31" i="65"/>
  <c r="K31" i="65"/>
  <c r="J31" i="65"/>
  <c r="I31" i="65"/>
  <c r="H31" i="65"/>
  <c r="G31" i="65"/>
  <c r="F31" i="65"/>
  <c r="E31" i="65"/>
  <c r="D31" i="65"/>
  <c r="C31" i="65"/>
  <c r="B31" i="65"/>
  <c r="A31" i="65"/>
  <c r="AA29" i="65"/>
  <c r="R29" i="65"/>
  <c r="M29" i="65"/>
  <c r="D29" i="65"/>
  <c r="AK27" i="65"/>
  <c r="AJ27" i="65"/>
  <c r="AI27" i="65"/>
  <c r="AH27" i="65"/>
  <c r="AG27" i="65"/>
  <c r="AF27" i="65"/>
  <c r="AE27" i="65"/>
  <c r="AD27" i="65"/>
  <c r="AC27" i="65"/>
  <c r="AB27" i="65"/>
  <c r="AA27" i="65"/>
  <c r="Z27" i="65"/>
  <c r="Y27" i="65"/>
  <c r="X27" i="65"/>
  <c r="W27" i="65"/>
  <c r="V27" i="65"/>
  <c r="U27" i="65"/>
  <c r="T27" i="65"/>
  <c r="S27" i="65"/>
  <c r="R27" i="65"/>
  <c r="Q27" i="65"/>
  <c r="P27" i="65"/>
  <c r="O27" i="65"/>
  <c r="N27" i="65"/>
  <c r="AK25" i="65"/>
  <c r="AJ25" i="65"/>
  <c r="AI25" i="65"/>
  <c r="AH25" i="65"/>
  <c r="AG25" i="65"/>
  <c r="AF25" i="65"/>
  <c r="AE25" i="65"/>
  <c r="AB25" i="65"/>
  <c r="AA25" i="65"/>
  <c r="Z25" i="65"/>
  <c r="Y25" i="65"/>
  <c r="X25" i="65"/>
  <c r="W25" i="65"/>
  <c r="V25" i="65"/>
  <c r="U25" i="65"/>
  <c r="T25" i="65"/>
  <c r="S25" i="65"/>
  <c r="R25" i="65"/>
  <c r="Q25" i="65"/>
  <c r="P25" i="65"/>
  <c r="O25" i="65"/>
  <c r="N25" i="65"/>
  <c r="M25" i="65"/>
  <c r="L25" i="65"/>
  <c r="K25" i="65"/>
  <c r="J25" i="65"/>
  <c r="AK22" i="65"/>
  <c r="AJ22" i="65"/>
  <c r="AI22" i="65"/>
  <c r="AH22" i="65"/>
  <c r="AG22" i="65"/>
  <c r="AF22" i="65"/>
  <c r="AE22" i="65"/>
  <c r="AD22" i="65"/>
  <c r="AC22" i="65"/>
  <c r="AB22" i="65"/>
  <c r="AA22" i="65"/>
  <c r="Z22" i="65"/>
  <c r="Y22" i="65"/>
  <c r="X22" i="65"/>
  <c r="W22" i="65"/>
  <c r="V22" i="65"/>
  <c r="U22" i="65"/>
  <c r="T22" i="65"/>
  <c r="S22" i="65"/>
  <c r="R22" i="65"/>
  <c r="Q22" i="65"/>
  <c r="P22" i="65"/>
  <c r="O22" i="65"/>
  <c r="N22" i="65"/>
  <c r="M22" i="65"/>
  <c r="L22" i="65"/>
  <c r="K22" i="65"/>
  <c r="J22" i="65"/>
  <c r="I22" i="65"/>
  <c r="H22" i="65"/>
  <c r="G22" i="65"/>
  <c r="AK20" i="65"/>
  <c r="AJ20" i="65"/>
  <c r="AI20" i="65"/>
  <c r="AH20" i="65"/>
  <c r="AG20" i="65"/>
  <c r="AF20" i="65"/>
  <c r="AE20" i="65"/>
  <c r="AD20" i="65"/>
  <c r="AC20" i="65"/>
  <c r="AB20" i="65"/>
  <c r="AA20" i="65"/>
  <c r="Z20" i="65"/>
  <c r="Y20" i="65"/>
  <c r="X20" i="65"/>
  <c r="W20" i="65"/>
  <c r="V20" i="65"/>
  <c r="U20" i="65"/>
  <c r="T20" i="65"/>
  <c r="S20" i="65"/>
  <c r="R20" i="65"/>
  <c r="I20" i="65"/>
  <c r="H20" i="65"/>
  <c r="G20" i="65"/>
  <c r="F20" i="65"/>
  <c r="E20" i="65"/>
  <c r="D20" i="65"/>
  <c r="C20" i="65"/>
  <c r="B20" i="65"/>
  <c r="A20" i="65"/>
  <c r="AK19" i="65"/>
  <c r="AJ19" i="65"/>
  <c r="AI19" i="65"/>
  <c r="AH19" i="65"/>
  <c r="AG19" i="65"/>
  <c r="AF19" i="65"/>
  <c r="AE19" i="65"/>
  <c r="AD19" i="65"/>
  <c r="AC19" i="65"/>
  <c r="AB19" i="65"/>
  <c r="AA19" i="65"/>
  <c r="Z19" i="65"/>
  <c r="Y19" i="65"/>
  <c r="R19" i="65"/>
  <c r="AJ14" i="65"/>
  <c r="AG14" i="65"/>
  <c r="R13" i="65"/>
  <c r="L13" i="65"/>
  <c r="AE12" i="65"/>
  <c r="R12" i="65"/>
  <c r="L12" i="65"/>
  <c r="AE11" i="65"/>
  <c r="P4" i="65"/>
  <c r="B22" i="69"/>
  <c r="B21" i="69"/>
  <c r="AE15" i="65" s="1"/>
  <c r="B19" i="69"/>
  <c r="AJ14" i="67" s="1"/>
  <c r="B18" i="69"/>
  <c r="B16" i="69"/>
  <c r="B14" i="69"/>
  <c r="R4" i="65" s="1"/>
  <c r="B13" i="69"/>
  <c r="AE12" i="67" s="1"/>
  <c r="B12" i="69"/>
  <c r="B11" i="69"/>
  <c r="B9" i="69"/>
  <c r="AG11" i="67" s="1"/>
  <c r="B8" i="69"/>
  <c r="AE11" i="67" s="1"/>
  <c r="B6" i="69"/>
  <c r="F12" i="43"/>
  <c r="C12" i="43"/>
  <c r="K11" i="43"/>
  <c r="J11" i="43"/>
  <c r="K10" i="43"/>
  <c r="J10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F9" i="40"/>
  <c r="E9" i="40"/>
  <c r="C9" i="40"/>
  <c r="B9" i="40"/>
  <c r="I7" i="40"/>
  <c r="H7" i="40"/>
  <c r="I5" i="40"/>
  <c r="H5" i="40"/>
  <c r="I4" i="40"/>
  <c r="H4" i="40"/>
  <c r="I3" i="40"/>
  <c r="H3" i="40"/>
  <c r="F17" i="39"/>
  <c r="E17" i="39"/>
  <c r="F11" i="39"/>
  <c r="E11" i="39"/>
  <c r="R12" i="38"/>
  <c r="Q12" i="38"/>
  <c r="K12" i="38"/>
  <c r="I7" i="38"/>
  <c r="F7" i="38"/>
  <c r="L12" i="38" s="1"/>
  <c r="E7" i="38"/>
  <c r="D7" i="38"/>
  <c r="J7" i="38" s="1"/>
  <c r="C7" i="38"/>
  <c r="L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M7" i="36"/>
  <c r="L7" i="36"/>
  <c r="G7" i="36"/>
  <c r="O7" i="36" s="1"/>
  <c r="F7" i="36"/>
  <c r="N7" i="36" s="1"/>
  <c r="E7" i="36"/>
  <c r="D7" i="36"/>
  <c r="C7" i="36"/>
  <c r="K7" i="36" s="1"/>
  <c r="B7" i="36"/>
  <c r="J7" i="36" s="1"/>
  <c r="C8" i="35"/>
  <c r="B8" i="35"/>
  <c r="I13" i="33"/>
  <c r="H13" i="33"/>
  <c r="C13" i="33"/>
  <c r="F13" i="33" s="1"/>
  <c r="B13" i="33"/>
  <c r="E13" i="33" s="1"/>
  <c r="H9" i="33"/>
  <c r="F9" i="33"/>
  <c r="C9" i="33"/>
  <c r="I9" i="33" s="1"/>
  <c r="B9" i="33"/>
  <c r="E9" i="33" s="1"/>
  <c r="E6" i="33"/>
  <c r="C6" i="33"/>
  <c r="B6" i="33"/>
  <c r="H6" i="33" s="1"/>
  <c r="F3" i="33"/>
  <c r="E3" i="33"/>
  <c r="C3" i="33"/>
  <c r="I3" i="33" s="1"/>
  <c r="B3" i="33"/>
  <c r="H3" i="33" s="1"/>
  <c r="H19" i="32"/>
  <c r="I8" i="32"/>
  <c r="H8" i="32"/>
  <c r="I4" i="32"/>
  <c r="H4" i="32"/>
  <c r="F7" i="30"/>
  <c r="C7" i="30"/>
  <c r="C9" i="30" s="1"/>
  <c r="B7" i="30"/>
  <c r="E7" i="30" s="1"/>
  <c r="E8" i="28"/>
  <c r="C8" i="28"/>
  <c r="B8" i="28"/>
  <c r="F5" i="28"/>
  <c r="E5" i="28"/>
  <c r="C5" i="28"/>
  <c r="B5" i="28"/>
  <c r="F35" i="27"/>
  <c r="F34" i="27"/>
  <c r="L34" i="27" s="1"/>
  <c r="F33" i="27"/>
  <c r="F32" i="27"/>
  <c r="L32" i="27" s="1"/>
  <c r="L31" i="27"/>
  <c r="F31" i="27"/>
  <c r="F30" i="27"/>
  <c r="L30" i="27" s="1"/>
  <c r="H29" i="27"/>
  <c r="E29" i="27"/>
  <c r="K29" i="27" s="1"/>
  <c r="D29" i="27"/>
  <c r="J29" i="27" s="1"/>
  <c r="C29" i="27"/>
  <c r="I29" i="27" s="1"/>
  <c r="B29" i="27"/>
  <c r="L28" i="27"/>
  <c r="F28" i="27"/>
  <c r="N10" i="27" s="1"/>
  <c r="L27" i="27"/>
  <c r="F27" i="27"/>
  <c r="L26" i="27"/>
  <c r="F26" i="27"/>
  <c r="L25" i="27"/>
  <c r="F25" i="27"/>
  <c r="L24" i="27"/>
  <c r="F24" i="27"/>
  <c r="N6" i="27" s="1"/>
  <c r="I23" i="27"/>
  <c r="E23" i="27"/>
  <c r="K23" i="27" s="1"/>
  <c r="D23" i="27"/>
  <c r="J23" i="27" s="1"/>
  <c r="C23" i="27"/>
  <c r="B23" i="27"/>
  <c r="H23" i="27" s="1"/>
  <c r="L17" i="27"/>
  <c r="F17" i="27"/>
  <c r="N16" i="27"/>
  <c r="L16" i="27"/>
  <c r="F16" i="27"/>
  <c r="F15" i="27"/>
  <c r="L15" i="27" s="1"/>
  <c r="N14" i="27"/>
  <c r="F14" i="27"/>
  <c r="L14" i="27" s="1"/>
  <c r="N13" i="27"/>
  <c r="L13" i="27"/>
  <c r="F13" i="27"/>
  <c r="N12" i="27"/>
  <c r="F12" i="27"/>
  <c r="L12" i="27" s="1"/>
  <c r="K11" i="27"/>
  <c r="E11" i="27"/>
  <c r="D11" i="27"/>
  <c r="J11" i="27" s="1"/>
  <c r="C11" i="27"/>
  <c r="I11" i="27" s="1"/>
  <c r="B11" i="27"/>
  <c r="H11" i="27" s="1"/>
  <c r="F10" i="27"/>
  <c r="L10" i="27" s="1"/>
  <c r="N9" i="27"/>
  <c r="F9" i="27"/>
  <c r="L9" i="27" s="1"/>
  <c r="N8" i="27"/>
  <c r="L8" i="27"/>
  <c r="F8" i="27"/>
  <c r="N7" i="27"/>
  <c r="F7" i="27"/>
  <c r="L7" i="27" s="1"/>
  <c r="L6" i="27"/>
  <c r="F6" i="27"/>
  <c r="K5" i="27"/>
  <c r="J5" i="27"/>
  <c r="E5" i="27"/>
  <c r="D5" i="27"/>
  <c r="C5" i="27"/>
  <c r="I5" i="27" s="1"/>
  <c r="B5" i="27"/>
  <c r="I44" i="50"/>
  <c r="F44" i="50"/>
  <c r="F43" i="50"/>
  <c r="I42" i="50"/>
  <c r="F42" i="50"/>
  <c r="I41" i="50"/>
  <c r="F41" i="50"/>
  <c r="I40" i="50"/>
  <c r="F40" i="50"/>
  <c r="M39" i="50"/>
  <c r="F39" i="50"/>
  <c r="M38" i="50"/>
  <c r="I38" i="50"/>
  <c r="F38" i="50"/>
  <c r="M37" i="50"/>
  <c r="I37" i="50"/>
  <c r="F37" i="50"/>
  <c r="K15" i="50" s="1"/>
  <c r="I36" i="50"/>
  <c r="F36" i="50"/>
  <c r="M35" i="50"/>
  <c r="F35" i="50"/>
  <c r="M34" i="50"/>
  <c r="I34" i="50"/>
  <c r="F34" i="50"/>
  <c r="F33" i="50"/>
  <c r="I32" i="50"/>
  <c r="F32" i="50"/>
  <c r="M32" i="50" s="1"/>
  <c r="F31" i="50"/>
  <c r="M30" i="50"/>
  <c r="I30" i="50"/>
  <c r="F30" i="50"/>
  <c r="M29" i="50"/>
  <c r="I29" i="50"/>
  <c r="F29" i="50"/>
  <c r="F28" i="50"/>
  <c r="M27" i="50"/>
  <c r="F27" i="50"/>
  <c r="I27" i="50" s="1"/>
  <c r="K22" i="50"/>
  <c r="I22" i="50"/>
  <c r="F22" i="50"/>
  <c r="F21" i="50"/>
  <c r="I21" i="50" s="1"/>
  <c r="K20" i="50"/>
  <c r="F20" i="50"/>
  <c r="I20" i="50" s="1"/>
  <c r="I19" i="50"/>
  <c r="F19" i="50"/>
  <c r="F18" i="50"/>
  <c r="I17" i="50"/>
  <c r="F17" i="50"/>
  <c r="M17" i="50" s="1"/>
  <c r="K16" i="50"/>
  <c r="I16" i="50"/>
  <c r="F16" i="50"/>
  <c r="M16" i="50" s="1"/>
  <c r="F15" i="50"/>
  <c r="M14" i="50"/>
  <c r="I14" i="50"/>
  <c r="F14" i="50"/>
  <c r="M13" i="50"/>
  <c r="I13" i="50"/>
  <c r="F13" i="50"/>
  <c r="K12" i="50"/>
  <c r="I12" i="50"/>
  <c r="F12" i="50"/>
  <c r="M12" i="50" s="1"/>
  <c r="F11" i="50"/>
  <c r="K10" i="50"/>
  <c r="I10" i="50"/>
  <c r="F10" i="50"/>
  <c r="M10" i="50" s="1"/>
  <c r="I9" i="50"/>
  <c r="F9" i="50"/>
  <c r="M9" i="50" s="1"/>
  <c r="K8" i="50"/>
  <c r="F8" i="50"/>
  <c r="K7" i="50"/>
  <c r="F7" i="50"/>
  <c r="I6" i="50"/>
  <c r="F6" i="50"/>
  <c r="M6" i="50" s="1"/>
  <c r="K5" i="50"/>
  <c r="I5" i="50"/>
  <c r="F5" i="50"/>
  <c r="M5" i="50" s="1"/>
  <c r="B26" i="26"/>
  <c r="D26" i="26" s="1"/>
  <c r="D14" i="26"/>
  <c r="B14" i="26"/>
  <c r="N7" i="25"/>
  <c r="M7" i="25"/>
  <c r="L7" i="25"/>
  <c r="J7" i="25"/>
  <c r="G7" i="25"/>
  <c r="O7" i="25" s="1"/>
  <c r="F7" i="25"/>
  <c r="E7" i="25"/>
  <c r="D7" i="25"/>
  <c r="C7" i="25"/>
  <c r="K7" i="25" s="1"/>
  <c r="B7" i="25"/>
  <c r="F12" i="24"/>
  <c r="C12" i="24"/>
  <c r="I12" i="24" s="1"/>
  <c r="B12" i="24"/>
  <c r="I9" i="24"/>
  <c r="C9" i="24"/>
  <c r="F9" i="24" s="1"/>
  <c r="B9" i="24"/>
  <c r="F6" i="24"/>
  <c r="E6" i="24"/>
  <c r="C6" i="24"/>
  <c r="I6" i="24" s="1"/>
  <c r="B6" i="24"/>
  <c r="H6" i="24" s="1"/>
  <c r="I3" i="24"/>
  <c r="C3" i="24"/>
  <c r="F3" i="24" s="1"/>
  <c r="B3" i="24"/>
  <c r="L5" i="21"/>
  <c r="K5" i="21"/>
  <c r="J5" i="21"/>
  <c r="E5" i="21"/>
  <c r="D5" i="21"/>
  <c r="C5" i="21"/>
  <c r="B5" i="21"/>
  <c r="I5" i="21" s="1"/>
  <c r="M4" i="21"/>
  <c r="F4" i="21"/>
  <c r="F3" i="21"/>
  <c r="M3" i="21" s="1"/>
  <c r="H13" i="55"/>
  <c r="D13" i="55"/>
  <c r="I13" i="55" s="1"/>
  <c r="C13" i="55"/>
  <c r="B13" i="55"/>
  <c r="G13" i="55" s="1"/>
  <c r="J12" i="55"/>
  <c r="E12" i="55"/>
  <c r="J11" i="55"/>
  <c r="E11" i="55"/>
  <c r="J10" i="55"/>
  <c r="E10" i="55"/>
  <c r="J9" i="55"/>
  <c r="E9" i="55"/>
  <c r="J8" i="55"/>
  <c r="E8" i="55"/>
  <c r="J7" i="55"/>
  <c r="E7" i="55"/>
  <c r="E13" i="55" s="1"/>
  <c r="J13" i="55" s="1"/>
  <c r="F8" i="20"/>
  <c r="E8" i="20"/>
  <c r="C8" i="20"/>
  <c r="I8" i="20" s="1"/>
  <c r="B8" i="20"/>
  <c r="H8" i="20" s="1"/>
  <c r="I7" i="20"/>
  <c r="H7" i="20"/>
  <c r="I6" i="20"/>
  <c r="H6" i="20"/>
  <c r="I5" i="20"/>
  <c r="H5" i="20"/>
  <c r="I4" i="20"/>
  <c r="H4" i="20"/>
  <c r="C10" i="54"/>
  <c r="B10" i="54"/>
  <c r="F7" i="54"/>
  <c r="E7" i="54"/>
  <c r="C7" i="54"/>
  <c r="B7" i="54"/>
  <c r="H7" i="54" s="1"/>
  <c r="C19" i="18"/>
  <c r="G19" i="18" s="1"/>
  <c r="B19" i="18"/>
  <c r="F19" i="18" s="1"/>
  <c r="D18" i="18"/>
  <c r="D17" i="18"/>
  <c r="J16" i="18"/>
  <c r="H16" i="18"/>
  <c r="D16" i="18"/>
  <c r="J15" i="18"/>
  <c r="H15" i="18"/>
  <c r="D15" i="18"/>
  <c r="H14" i="18"/>
  <c r="D14" i="18"/>
  <c r="J14" i="18" s="1"/>
  <c r="D13" i="18"/>
  <c r="J12" i="18"/>
  <c r="H12" i="18"/>
  <c r="D12" i="18"/>
  <c r="C10" i="18"/>
  <c r="G10" i="18" s="1"/>
  <c r="B10" i="18"/>
  <c r="F10" i="18" s="1"/>
  <c r="D9" i="18"/>
  <c r="D8" i="18"/>
  <c r="J7" i="18"/>
  <c r="H7" i="18"/>
  <c r="D7" i="18"/>
  <c r="J6" i="18"/>
  <c r="H6" i="18"/>
  <c r="D6" i="18"/>
  <c r="H5" i="18"/>
  <c r="D5" i="18"/>
  <c r="J5" i="18" s="1"/>
  <c r="E9" i="17"/>
  <c r="D9" i="17"/>
  <c r="C9" i="17"/>
  <c r="B9" i="17"/>
  <c r="N8" i="17"/>
  <c r="L8" i="17"/>
  <c r="F8" i="17"/>
  <c r="N7" i="17"/>
  <c r="L7" i="17"/>
  <c r="F7" i="17"/>
  <c r="L6" i="17"/>
  <c r="F6" i="17"/>
  <c r="N6" i="17" s="1"/>
  <c r="F5" i="17"/>
  <c r="N4" i="17"/>
  <c r="L4" i="17"/>
  <c r="F4" i="17"/>
  <c r="J13" i="56"/>
  <c r="I13" i="56"/>
  <c r="D13" i="56"/>
  <c r="C13" i="56"/>
  <c r="B13" i="56"/>
  <c r="H13" i="56" s="1"/>
  <c r="H6" i="56"/>
  <c r="D6" i="56"/>
  <c r="J6" i="56" s="1"/>
  <c r="C6" i="56"/>
  <c r="I6" i="56" s="1"/>
  <c r="B6" i="56"/>
  <c r="K12" i="14"/>
  <c r="H12" i="14"/>
  <c r="E12" i="14"/>
  <c r="D12" i="14"/>
  <c r="J12" i="14" s="1"/>
  <c r="C12" i="14"/>
  <c r="I12" i="14" s="1"/>
  <c r="B12" i="14"/>
  <c r="L11" i="14"/>
  <c r="F11" i="14"/>
  <c r="N11" i="14" s="1"/>
  <c r="L10" i="14"/>
  <c r="F10" i="14"/>
  <c r="N9" i="14"/>
  <c r="L9" i="14"/>
  <c r="F9" i="14"/>
  <c r="L8" i="14"/>
  <c r="F8" i="14"/>
  <c r="N8" i="14" s="1"/>
  <c r="F7" i="14"/>
  <c r="N6" i="14"/>
  <c r="L6" i="14"/>
  <c r="F6" i="14"/>
  <c r="N5" i="14"/>
  <c r="L5" i="14"/>
  <c r="F5" i="14"/>
  <c r="F12" i="14" s="1"/>
  <c r="J7" i="13"/>
  <c r="I7" i="13"/>
  <c r="F7" i="13"/>
  <c r="L7" i="13" s="1"/>
  <c r="E7" i="13"/>
  <c r="K7" i="13" s="1"/>
  <c r="D7" i="13"/>
  <c r="C7" i="13"/>
  <c r="B7" i="13"/>
  <c r="H7" i="13" s="1"/>
  <c r="L6" i="13"/>
  <c r="F6" i="13"/>
  <c r="F5" i="13"/>
  <c r="L5" i="13" s="1"/>
  <c r="L4" i="13"/>
  <c r="F4" i="13"/>
  <c r="F3" i="13"/>
  <c r="L3" i="13" s="1"/>
  <c r="L7" i="12"/>
  <c r="I7" i="12"/>
  <c r="F7" i="12"/>
  <c r="E7" i="12"/>
  <c r="K7" i="12" s="1"/>
  <c r="D7" i="12"/>
  <c r="J7" i="12" s="1"/>
  <c r="C7" i="12"/>
  <c r="G6" i="12"/>
  <c r="M6" i="12" s="1"/>
  <c r="M5" i="12"/>
  <c r="G5" i="12"/>
  <c r="G4" i="12"/>
  <c r="M4" i="12" s="1"/>
  <c r="M3" i="12"/>
  <c r="G3" i="12"/>
  <c r="G7" i="12" s="1"/>
  <c r="M7" i="12" s="1"/>
  <c r="F19" i="11"/>
  <c r="AJ47" i="9"/>
  <c r="AF47" i="9"/>
  <c r="P47" i="9"/>
  <c r="S46" i="9"/>
  <c r="R46" i="9"/>
  <c r="Q46" i="9"/>
  <c r="N46" i="9"/>
  <c r="M46" i="9"/>
  <c r="I46" i="9"/>
  <c r="H46" i="9"/>
  <c r="G46" i="9"/>
  <c r="F46" i="9"/>
  <c r="P46" i="9" s="1"/>
  <c r="E46" i="9"/>
  <c r="O46" i="9" s="1"/>
  <c r="D46" i="9"/>
  <c r="C46" i="9"/>
  <c r="B46" i="9"/>
  <c r="L46" i="9" s="1"/>
  <c r="S44" i="9"/>
  <c r="P44" i="9"/>
  <c r="O44" i="9"/>
  <c r="L44" i="9"/>
  <c r="I44" i="9"/>
  <c r="H44" i="9"/>
  <c r="R44" i="9" s="1"/>
  <c r="G44" i="9"/>
  <c r="F44" i="9"/>
  <c r="E44" i="9"/>
  <c r="D44" i="9"/>
  <c r="N44" i="9" s="1"/>
  <c r="C44" i="9"/>
  <c r="W17" i="9" s="1"/>
  <c r="B44" i="9"/>
  <c r="J43" i="9"/>
  <c r="T43" i="9" s="1"/>
  <c r="T42" i="9"/>
  <c r="J42" i="9"/>
  <c r="J41" i="9"/>
  <c r="S39" i="9"/>
  <c r="Q39" i="9"/>
  <c r="P39" i="9"/>
  <c r="O39" i="9"/>
  <c r="L39" i="9"/>
  <c r="I39" i="9"/>
  <c r="H39" i="9"/>
  <c r="G39" i="9"/>
  <c r="F39" i="9"/>
  <c r="E39" i="9"/>
  <c r="D39" i="9"/>
  <c r="C39" i="9"/>
  <c r="M39" i="9" s="1"/>
  <c r="B39" i="9"/>
  <c r="J38" i="9"/>
  <c r="T38" i="9" s="1"/>
  <c r="T37" i="9"/>
  <c r="J37" i="9"/>
  <c r="J36" i="9"/>
  <c r="S34" i="9"/>
  <c r="P34" i="9"/>
  <c r="O34" i="9"/>
  <c r="L34" i="9"/>
  <c r="I34" i="9"/>
  <c r="H34" i="9"/>
  <c r="G34" i="9"/>
  <c r="Q34" i="9" s="1"/>
  <c r="F34" i="9"/>
  <c r="F47" i="9" s="1"/>
  <c r="E34" i="9"/>
  <c r="D34" i="9"/>
  <c r="C34" i="9"/>
  <c r="B34" i="9"/>
  <c r="B47" i="9" s="1"/>
  <c r="L47" i="9" s="1"/>
  <c r="J33" i="9"/>
  <c r="T33" i="9" s="1"/>
  <c r="T32" i="9"/>
  <c r="J32" i="9"/>
  <c r="J31" i="9"/>
  <c r="T31" i="9" s="1"/>
  <c r="T30" i="9"/>
  <c r="J30" i="9"/>
  <c r="F23" i="9"/>
  <c r="AJ23" i="9" s="1"/>
  <c r="S22" i="9"/>
  <c r="R22" i="9"/>
  <c r="Q22" i="9"/>
  <c r="N22" i="9"/>
  <c r="M22" i="9"/>
  <c r="I22" i="9"/>
  <c r="H22" i="9"/>
  <c r="G22" i="9"/>
  <c r="F22" i="9"/>
  <c r="E22" i="9"/>
  <c r="D22" i="9"/>
  <c r="C22" i="9"/>
  <c r="B22" i="9"/>
  <c r="S20" i="9"/>
  <c r="Q20" i="9"/>
  <c r="P20" i="9"/>
  <c r="O20" i="9"/>
  <c r="L20" i="9"/>
  <c r="I20" i="9"/>
  <c r="H20" i="9"/>
  <c r="R20" i="9" s="1"/>
  <c r="G20" i="9"/>
  <c r="F20" i="9"/>
  <c r="E20" i="9"/>
  <c r="D20" i="9"/>
  <c r="N20" i="9" s="1"/>
  <c r="C20" i="9"/>
  <c r="AG15" i="9" s="1"/>
  <c r="B20" i="9"/>
  <c r="J19" i="9"/>
  <c r="T19" i="9" s="1"/>
  <c r="T18" i="9"/>
  <c r="J18" i="9"/>
  <c r="AC17" i="9"/>
  <c r="AB17" i="9"/>
  <c r="Z17" i="9"/>
  <c r="Y17" i="9"/>
  <c r="X17" i="9"/>
  <c r="V17" i="9"/>
  <c r="J17" i="9"/>
  <c r="AL15" i="9"/>
  <c r="AH15" i="9"/>
  <c r="R15" i="9"/>
  <c r="Q15" i="9"/>
  <c r="N15" i="9"/>
  <c r="M15" i="9"/>
  <c r="I15" i="9"/>
  <c r="H15" i="9"/>
  <c r="G15" i="9"/>
  <c r="F15" i="9"/>
  <c r="E15" i="9"/>
  <c r="D15" i="9"/>
  <c r="C15" i="9"/>
  <c r="B15" i="9"/>
  <c r="T14" i="9"/>
  <c r="J14" i="9"/>
  <c r="J13" i="9"/>
  <c r="T13" i="9" s="1"/>
  <c r="AC12" i="9"/>
  <c r="AA12" i="9"/>
  <c r="Z12" i="9"/>
  <c r="Y12" i="9"/>
  <c r="W12" i="9"/>
  <c r="V12" i="9"/>
  <c r="T12" i="9"/>
  <c r="J12" i="9"/>
  <c r="AM10" i="9"/>
  <c r="AJ10" i="9"/>
  <c r="AI10" i="9"/>
  <c r="AF10" i="9"/>
  <c r="S10" i="9"/>
  <c r="P10" i="9"/>
  <c r="O10" i="9"/>
  <c r="L10" i="9"/>
  <c r="I10" i="9"/>
  <c r="H10" i="9"/>
  <c r="G10" i="9"/>
  <c r="Q10" i="9" s="1"/>
  <c r="F10" i="9"/>
  <c r="E10" i="9"/>
  <c r="D10" i="9"/>
  <c r="C10" i="9"/>
  <c r="B10" i="9"/>
  <c r="J9" i="9"/>
  <c r="T9" i="9" s="1"/>
  <c r="T8" i="9"/>
  <c r="J8" i="9"/>
  <c r="J7" i="9"/>
  <c r="AC6" i="9"/>
  <c r="AA6" i="9"/>
  <c r="Z6" i="9"/>
  <c r="Y6" i="9"/>
  <c r="W6" i="9"/>
  <c r="V6" i="9"/>
  <c r="T6" i="9"/>
  <c r="J6" i="9"/>
  <c r="G47" i="7"/>
  <c r="D47" i="7"/>
  <c r="AH47" i="7" s="1"/>
  <c r="S46" i="7"/>
  <c r="O46" i="7"/>
  <c r="I46" i="7"/>
  <c r="H46" i="7"/>
  <c r="R46" i="7" s="1"/>
  <c r="G46" i="7"/>
  <c r="Q46" i="7" s="1"/>
  <c r="F46" i="7"/>
  <c r="P46" i="7" s="1"/>
  <c r="E46" i="7"/>
  <c r="D46" i="7"/>
  <c r="N46" i="7" s="1"/>
  <c r="C46" i="7"/>
  <c r="M46" i="7" s="1"/>
  <c r="B46" i="7"/>
  <c r="L46" i="7" s="1"/>
  <c r="S44" i="7"/>
  <c r="R44" i="7"/>
  <c r="O44" i="7"/>
  <c r="N44" i="7"/>
  <c r="L44" i="7"/>
  <c r="I44" i="7"/>
  <c r="AC17" i="7" s="1"/>
  <c r="H44" i="7"/>
  <c r="G44" i="7"/>
  <c r="Q44" i="7" s="1"/>
  <c r="F44" i="7"/>
  <c r="Z17" i="7" s="1"/>
  <c r="E44" i="7"/>
  <c r="Y17" i="7" s="1"/>
  <c r="D44" i="7"/>
  <c r="C44" i="7"/>
  <c r="B44" i="7"/>
  <c r="V17" i="7" s="1"/>
  <c r="T43" i="7"/>
  <c r="J43" i="7"/>
  <c r="T42" i="7"/>
  <c r="J42" i="7"/>
  <c r="J44" i="7" s="1"/>
  <c r="T41" i="7"/>
  <c r="J41" i="7"/>
  <c r="T39" i="7"/>
  <c r="S39" i="7"/>
  <c r="R39" i="7"/>
  <c r="P39" i="7"/>
  <c r="O39" i="7"/>
  <c r="N39" i="7"/>
  <c r="J39" i="7"/>
  <c r="AD12" i="7" s="1"/>
  <c r="I39" i="7"/>
  <c r="H39" i="7"/>
  <c r="G39" i="7"/>
  <c r="F39" i="7"/>
  <c r="Z12" i="7" s="1"/>
  <c r="E39" i="7"/>
  <c r="D39" i="7"/>
  <c r="C39" i="7"/>
  <c r="B39" i="7"/>
  <c r="L39" i="7" s="1"/>
  <c r="T38" i="7"/>
  <c r="J38" i="7"/>
  <c r="J37" i="7"/>
  <c r="T37" i="7" s="1"/>
  <c r="T36" i="7"/>
  <c r="J36" i="7"/>
  <c r="S34" i="7"/>
  <c r="R34" i="7"/>
  <c r="O34" i="7"/>
  <c r="N34" i="7"/>
  <c r="L34" i="7"/>
  <c r="I34" i="7"/>
  <c r="H34" i="7"/>
  <c r="G34" i="7"/>
  <c r="F34" i="7"/>
  <c r="E34" i="7"/>
  <c r="D34" i="7"/>
  <c r="C34" i="7"/>
  <c r="B34" i="7"/>
  <c r="B47" i="7" s="1"/>
  <c r="V22" i="7" s="1"/>
  <c r="T33" i="7"/>
  <c r="J33" i="7"/>
  <c r="T32" i="7"/>
  <c r="J32" i="7"/>
  <c r="T31" i="7"/>
  <c r="J31" i="7"/>
  <c r="T30" i="7"/>
  <c r="J30" i="7"/>
  <c r="J46" i="7" s="1"/>
  <c r="O23" i="7"/>
  <c r="I23" i="7"/>
  <c r="AM23" i="7" s="1"/>
  <c r="F23" i="7"/>
  <c r="AJ23" i="7" s="1"/>
  <c r="E23" i="7"/>
  <c r="AI23" i="7" s="1"/>
  <c r="R22" i="7"/>
  <c r="Q22" i="7"/>
  <c r="P22" i="7"/>
  <c r="M22" i="7"/>
  <c r="L22" i="7"/>
  <c r="I22" i="7"/>
  <c r="H22" i="7"/>
  <c r="G22" i="7"/>
  <c r="F22" i="7"/>
  <c r="E22" i="7"/>
  <c r="D22" i="7"/>
  <c r="X22" i="7" s="1"/>
  <c r="C22" i="7"/>
  <c r="B22" i="7"/>
  <c r="S20" i="7"/>
  <c r="R20" i="7"/>
  <c r="O20" i="7"/>
  <c r="N20" i="7"/>
  <c r="L20" i="7"/>
  <c r="I20" i="7"/>
  <c r="H20" i="7"/>
  <c r="G20" i="7"/>
  <c r="Q20" i="7" s="1"/>
  <c r="F20" i="7"/>
  <c r="P20" i="7" s="1"/>
  <c r="E20" i="7"/>
  <c r="D20" i="7"/>
  <c r="C20" i="7"/>
  <c r="B20" i="7"/>
  <c r="T19" i="7"/>
  <c r="J19" i="7"/>
  <c r="T18" i="7"/>
  <c r="J18" i="7"/>
  <c r="J20" i="7" s="1"/>
  <c r="AB17" i="7"/>
  <c r="X17" i="7"/>
  <c r="J17" i="7"/>
  <c r="AK15" i="7"/>
  <c r="AJ15" i="7"/>
  <c r="AF15" i="7"/>
  <c r="R15" i="7"/>
  <c r="Q15" i="7"/>
  <c r="P15" i="7"/>
  <c r="M15" i="7"/>
  <c r="L15" i="7"/>
  <c r="I15" i="7"/>
  <c r="H15" i="7"/>
  <c r="G15" i="7"/>
  <c r="F15" i="7"/>
  <c r="E15" i="7"/>
  <c r="D15" i="7"/>
  <c r="C15" i="7"/>
  <c r="B15" i="7"/>
  <c r="J14" i="7"/>
  <c r="T14" i="7" s="1"/>
  <c r="T13" i="7"/>
  <c r="J13" i="7"/>
  <c r="AC12" i="7"/>
  <c r="AB12" i="7"/>
  <c r="Y12" i="7"/>
  <c r="X12" i="7"/>
  <c r="V12" i="7"/>
  <c r="T12" i="7"/>
  <c r="J12" i="7"/>
  <c r="AM10" i="7"/>
  <c r="AL10" i="7"/>
  <c r="AI10" i="7"/>
  <c r="AH10" i="7"/>
  <c r="S10" i="7"/>
  <c r="R10" i="7"/>
  <c r="O10" i="7"/>
  <c r="N10" i="7"/>
  <c r="L10" i="7"/>
  <c r="I10" i="7"/>
  <c r="H10" i="7"/>
  <c r="G10" i="7"/>
  <c r="F10" i="7"/>
  <c r="E10" i="7"/>
  <c r="D10" i="7"/>
  <c r="C10" i="7"/>
  <c r="B10" i="7"/>
  <c r="T9" i="7"/>
  <c r="J9" i="7"/>
  <c r="T8" i="7"/>
  <c r="J8" i="7"/>
  <c r="J10" i="7" s="1"/>
  <c r="T7" i="7"/>
  <c r="J7" i="7"/>
  <c r="AC6" i="7"/>
  <c r="AB6" i="7"/>
  <c r="Z6" i="7"/>
  <c r="Y6" i="7"/>
  <c r="X6" i="7"/>
  <c r="V6" i="7"/>
  <c r="T6" i="7"/>
  <c r="J6" i="7"/>
  <c r="J22" i="7" s="1"/>
  <c r="P48" i="5"/>
  <c r="G48" i="5"/>
  <c r="AH48" i="5" s="1"/>
  <c r="D48" i="5"/>
  <c r="M48" i="5" s="1"/>
  <c r="C48" i="5"/>
  <c r="AD48" i="5" s="1"/>
  <c r="M47" i="5"/>
  <c r="H47" i="5"/>
  <c r="Q47" i="5" s="1"/>
  <c r="G47" i="5"/>
  <c r="P47" i="5" s="1"/>
  <c r="F47" i="5"/>
  <c r="O47" i="5" s="1"/>
  <c r="E47" i="5"/>
  <c r="N47" i="5" s="1"/>
  <c r="D47" i="5"/>
  <c r="C47" i="5"/>
  <c r="L47" i="5" s="1"/>
  <c r="B47" i="5"/>
  <c r="K47" i="5" s="1"/>
  <c r="M45" i="5"/>
  <c r="L45" i="5"/>
  <c r="H45" i="5"/>
  <c r="Q45" i="5" s="1"/>
  <c r="G45" i="5"/>
  <c r="P45" i="5" s="1"/>
  <c r="F45" i="5"/>
  <c r="O45" i="5" s="1"/>
  <c r="E45" i="5"/>
  <c r="N45" i="5" s="1"/>
  <c r="D45" i="5"/>
  <c r="V17" i="5" s="1"/>
  <c r="C45" i="5"/>
  <c r="B45" i="5"/>
  <c r="K45" i="5" s="1"/>
  <c r="I44" i="5"/>
  <c r="R44" i="5" s="1"/>
  <c r="R43" i="5"/>
  <c r="I43" i="5"/>
  <c r="I42" i="5"/>
  <c r="R40" i="5"/>
  <c r="I40" i="5"/>
  <c r="AA12" i="5" s="1"/>
  <c r="H40" i="5"/>
  <c r="Q40" i="5" s="1"/>
  <c r="G40" i="5"/>
  <c r="P40" i="5" s="1"/>
  <c r="F40" i="5"/>
  <c r="O40" i="5" s="1"/>
  <c r="E40" i="5"/>
  <c r="D40" i="5"/>
  <c r="M40" i="5" s="1"/>
  <c r="C40" i="5"/>
  <c r="L40" i="5" s="1"/>
  <c r="B40" i="5"/>
  <c r="T12" i="5" s="1"/>
  <c r="R39" i="5"/>
  <c r="I39" i="5"/>
  <c r="I38" i="5"/>
  <c r="R38" i="5" s="1"/>
  <c r="R37" i="5"/>
  <c r="I37" i="5"/>
  <c r="M35" i="5"/>
  <c r="L35" i="5"/>
  <c r="H35" i="5"/>
  <c r="Q35" i="5" s="1"/>
  <c r="G35" i="5"/>
  <c r="Y6" i="5" s="1"/>
  <c r="F35" i="5"/>
  <c r="E35" i="5"/>
  <c r="D35" i="5"/>
  <c r="V6" i="5" s="1"/>
  <c r="C35" i="5"/>
  <c r="U6" i="5" s="1"/>
  <c r="B35" i="5"/>
  <c r="I34" i="5"/>
  <c r="R34" i="5" s="1"/>
  <c r="R33" i="5"/>
  <c r="I33" i="5"/>
  <c r="I32" i="5"/>
  <c r="R32" i="5" s="1"/>
  <c r="R31" i="5"/>
  <c r="I31" i="5"/>
  <c r="Y22" i="5"/>
  <c r="V22" i="5"/>
  <c r="H22" i="5"/>
  <c r="G22" i="5"/>
  <c r="P22" i="5" s="1"/>
  <c r="F22" i="5"/>
  <c r="E22" i="5"/>
  <c r="D22" i="5"/>
  <c r="M22" i="5" s="1"/>
  <c r="C22" i="5"/>
  <c r="B22" i="5"/>
  <c r="K22" i="5" s="1"/>
  <c r="P20" i="5"/>
  <c r="O20" i="5"/>
  <c r="K20" i="5"/>
  <c r="H20" i="5"/>
  <c r="Q20" i="5" s="1"/>
  <c r="G20" i="5"/>
  <c r="F20" i="5"/>
  <c r="E20" i="5"/>
  <c r="N20" i="5" s="1"/>
  <c r="D20" i="5"/>
  <c r="M20" i="5" s="1"/>
  <c r="C20" i="5"/>
  <c r="L20" i="5" s="1"/>
  <c r="B20" i="5"/>
  <c r="I19" i="5"/>
  <c r="R19" i="5" s="1"/>
  <c r="R18" i="5"/>
  <c r="I18" i="5"/>
  <c r="Y17" i="5"/>
  <c r="X17" i="5"/>
  <c r="W17" i="5"/>
  <c r="U17" i="5"/>
  <c r="T17" i="5"/>
  <c r="I17" i="5"/>
  <c r="AG15" i="5"/>
  <c r="AF15" i="5"/>
  <c r="AC15" i="5"/>
  <c r="N15" i="5"/>
  <c r="H15" i="5"/>
  <c r="G15" i="5"/>
  <c r="AH15" i="5" s="1"/>
  <c r="F15" i="5"/>
  <c r="O15" i="5" s="1"/>
  <c r="E15" i="5"/>
  <c r="D15" i="5"/>
  <c r="AE15" i="5" s="1"/>
  <c r="C15" i="5"/>
  <c r="AD15" i="5" s="1"/>
  <c r="B15" i="5"/>
  <c r="K15" i="5" s="1"/>
  <c r="I14" i="5"/>
  <c r="R14" i="5" s="1"/>
  <c r="I13" i="5"/>
  <c r="Z12" i="5"/>
  <c r="Y12" i="5"/>
  <c r="V12" i="5"/>
  <c r="U12" i="5"/>
  <c r="R12" i="5"/>
  <c r="I12" i="5"/>
  <c r="AC10" i="5"/>
  <c r="O10" i="5"/>
  <c r="H10" i="5"/>
  <c r="G10" i="5"/>
  <c r="F10" i="5"/>
  <c r="E10" i="5"/>
  <c r="D10" i="5"/>
  <c r="C10" i="5"/>
  <c r="B10" i="5"/>
  <c r="K10" i="5" s="1"/>
  <c r="I9" i="5"/>
  <c r="R9" i="5" s="1"/>
  <c r="I8" i="5"/>
  <c r="R8" i="5" s="1"/>
  <c r="I7" i="5"/>
  <c r="R7" i="5" s="1"/>
  <c r="Z6" i="5"/>
  <c r="X6" i="5"/>
  <c r="W6" i="5"/>
  <c r="T6" i="5"/>
  <c r="R6" i="5"/>
  <c r="I6" i="5"/>
  <c r="F9" i="52"/>
  <c r="E9" i="52"/>
  <c r="D9" i="52"/>
  <c r="C9" i="52"/>
  <c r="E10" i="4"/>
  <c r="D10" i="4"/>
  <c r="C10" i="4"/>
  <c r="B10" i="4"/>
  <c r="E88" i="62"/>
  <c r="D88" i="62"/>
  <c r="E71" i="62"/>
  <c r="D71" i="62"/>
  <c r="E61" i="62"/>
  <c r="D61" i="62"/>
  <c r="E29" i="62"/>
  <c r="D29" i="62"/>
  <c r="E15" i="62"/>
  <c r="D15" i="62"/>
  <c r="B6" i="62"/>
  <c r="E63" i="61"/>
  <c r="F60" i="68" s="1"/>
  <c r="D63" i="61"/>
  <c r="E62" i="61"/>
  <c r="F59" i="68" s="1"/>
  <c r="D62" i="61"/>
  <c r="E59" i="68" s="1"/>
  <c r="E56" i="61"/>
  <c r="D56" i="61"/>
  <c r="E53" i="68" s="1"/>
  <c r="D54" i="61"/>
  <c r="E51" i="68" s="1"/>
  <c r="E37" i="61"/>
  <c r="D37" i="61"/>
  <c r="E20" i="61"/>
  <c r="F17" i="68" s="1"/>
  <c r="D20" i="61"/>
  <c r="E17" i="68" s="1"/>
  <c r="E16" i="61"/>
  <c r="F13" i="68" s="1"/>
  <c r="D16" i="61"/>
  <c r="E13" i="68" s="1"/>
  <c r="E12" i="61"/>
  <c r="F9" i="68" s="1"/>
  <c r="D12" i="61"/>
  <c r="E9" i="68" s="1"/>
  <c r="E11" i="61"/>
  <c r="D11" i="61"/>
  <c r="B1" i="61"/>
  <c r="E136" i="60"/>
  <c r="I206" i="66" s="1"/>
  <c r="D136" i="60"/>
  <c r="G206" i="66" s="1"/>
  <c r="E133" i="60"/>
  <c r="I203" i="66" s="1"/>
  <c r="D133" i="60"/>
  <c r="G203" i="66" s="1"/>
  <c r="E132" i="60"/>
  <c r="D132" i="60"/>
  <c r="G202" i="66" s="1"/>
  <c r="E121" i="60"/>
  <c r="I191" i="66" s="1"/>
  <c r="D121" i="60"/>
  <c r="G191" i="66" s="1"/>
  <c r="E109" i="60"/>
  <c r="I178" i="66" s="1"/>
  <c r="D109" i="60"/>
  <c r="G178" i="66" s="1"/>
  <c r="E104" i="60"/>
  <c r="I173" i="66" s="1"/>
  <c r="D104" i="60"/>
  <c r="E103" i="60"/>
  <c r="I172" i="66" s="1"/>
  <c r="E99" i="60"/>
  <c r="I168" i="66" s="1"/>
  <c r="D99" i="60"/>
  <c r="G168" i="66" s="1"/>
  <c r="E95" i="60"/>
  <c r="I164" i="66" s="1"/>
  <c r="D95" i="60"/>
  <c r="G164" i="66" s="1"/>
  <c r="E88" i="60"/>
  <c r="I157" i="66" s="1"/>
  <c r="D88" i="60"/>
  <c r="G157" i="66" s="1"/>
  <c r="E83" i="60"/>
  <c r="I152" i="66" s="1"/>
  <c r="D83" i="60"/>
  <c r="F74" i="60"/>
  <c r="F73" i="60"/>
  <c r="F72" i="60"/>
  <c r="G143" i="66" s="1"/>
  <c r="F71" i="60"/>
  <c r="G70" i="60"/>
  <c r="H140" i="66" s="1"/>
  <c r="E70" i="60"/>
  <c r="D140" i="66" s="1"/>
  <c r="D70" i="60"/>
  <c r="D139" i="66" s="1"/>
  <c r="G69" i="60"/>
  <c r="H138" i="66" s="1"/>
  <c r="F69" i="60"/>
  <c r="G137" i="66" s="1"/>
  <c r="G68" i="60"/>
  <c r="H136" i="66" s="1"/>
  <c r="F68" i="60"/>
  <c r="G135" i="66" s="1"/>
  <c r="F67" i="60"/>
  <c r="G133" i="66" s="1"/>
  <c r="F66" i="60"/>
  <c r="G131" i="66" s="1"/>
  <c r="F65" i="60"/>
  <c r="G126" i="66" s="1"/>
  <c r="F64" i="60"/>
  <c r="E64" i="60"/>
  <c r="D125" i="66" s="1"/>
  <c r="D64" i="60"/>
  <c r="F63" i="60"/>
  <c r="G122" i="66" s="1"/>
  <c r="F62" i="60"/>
  <c r="G120" i="66" s="1"/>
  <c r="F61" i="60"/>
  <c r="G118" i="66" s="1"/>
  <c r="F60" i="60"/>
  <c r="G116" i="66" s="1"/>
  <c r="F59" i="60"/>
  <c r="G114" i="66" s="1"/>
  <c r="F58" i="60"/>
  <c r="G112" i="66" s="1"/>
  <c r="F57" i="60"/>
  <c r="G110" i="66" s="1"/>
  <c r="F56" i="60"/>
  <c r="G108" i="66" s="1"/>
  <c r="G55" i="60"/>
  <c r="H107" i="66" s="1"/>
  <c r="F55" i="60"/>
  <c r="G106" i="66" s="1"/>
  <c r="E55" i="60"/>
  <c r="D107" i="66" s="1"/>
  <c r="D55" i="60"/>
  <c r="D106" i="66" s="1"/>
  <c r="F54" i="60"/>
  <c r="G104" i="66" s="1"/>
  <c r="F53" i="60"/>
  <c r="G102" i="66" s="1"/>
  <c r="F52" i="60"/>
  <c r="F51" i="60"/>
  <c r="F50" i="60"/>
  <c r="G93" i="66" s="1"/>
  <c r="F49" i="60"/>
  <c r="G91" i="66" s="1"/>
  <c r="F48" i="60"/>
  <c r="G47" i="60"/>
  <c r="H88" i="66" s="1"/>
  <c r="E47" i="60"/>
  <c r="D88" i="66" s="1"/>
  <c r="D47" i="60"/>
  <c r="D87" i="66" s="1"/>
  <c r="F46" i="60"/>
  <c r="G85" i="66" s="1"/>
  <c r="F45" i="60"/>
  <c r="G83" i="66" s="1"/>
  <c r="F44" i="60"/>
  <c r="G81" i="66" s="1"/>
  <c r="F43" i="60"/>
  <c r="G79" i="66" s="1"/>
  <c r="F42" i="60"/>
  <c r="G77" i="66" s="1"/>
  <c r="F41" i="60"/>
  <c r="G40" i="60"/>
  <c r="H74" i="66" s="1"/>
  <c r="E40" i="60"/>
  <c r="D74" i="66" s="1"/>
  <c r="D40" i="60"/>
  <c r="D73" i="66" s="1"/>
  <c r="E39" i="60"/>
  <c r="D72" i="66" s="1"/>
  <c r="D39" i="60"/>
  <c r="D71" i="66" s="1"/>
  <c r="F38" i="60"/>
  <c r="G69" i="66" s="1"/>
  <c r="F37" i="60"/>
  <c r="G67" i="66" s="1"/>
  <c r="F36" i="60"/>
  <c r="G62" i="66" s="1"/>
  <c r="F35" i="60"/>
  <c r="G60" i="66" s="1"/>
  <c r="F34" i="60"/>
  <c r="G58" i="66" s="1"/>
  <c r="F33" i="60"/>
  <c r="G56" i="66" s="1"/>
  <c r="F32" i="60"/>
  <c r="G54" i="66" s="1"/>
  <c r="F31" i="60"/>
  <c r="G30" i="60"/>
  <c r="H51" i="66" s="1"/>
  <c r="E30" i="60"/>
  <c r="D51" i="66" s="1"/>
  <c r="D30" i="60"/>
  <c r="D50" i="66" s="1"/>
  <c r="F29" i="60"/>
  <c r="G48" i="66" s="1"/>
  <c r="F28" i="60"/>
  <c r="G46" i="66" s="1"/>
  <c r="F27" i="60"/>
  <c r="G44" i="66" s="1"/>
  <c r="F26" i="60"/>
  <c r="G42" i="66" s="1"/>
  <c r="F25" i="60"/>
  <c r="G40" i="66" s="1"/>
  <c r="F24" i="60"/>
  <c r="G38" i="66" s="1"/>
  <c r="F23" i="60"/>
  <c r="G36" i="66" s="1"/>
  <c r="F22" i="60"/>
  <c r="G31" i="66" s="1"/>
  <c r="F21" i="60"/>
  <c r="G29" i="66" s="1"/>
  <c r="G20" i="60"/>
  <c r="H28" i="66" s="1"/>
  <c r="E20" i="60"/>
  <c r="D20" i="60"/>
  <c r="F19" i="60"/>
  <c r="G25" i="66" s="1"/>
  <c r="F18" i="60"/>
  <c r="G23" i="66" s="1"/>
  <c r="F17" i="60"/>
  <c r="G21" i="66" s="1"/>
  <c r="F16" i="60"/>
  <c r="G19" i="66" s="1"/>
  <c r="F15" i="60"/>
  <c r="G17" i="66" s="1"/>
  <c r="F14" i="60"/>
  <c r="G15" i="66" s="1"/>
  <c r="F13" i="60"/>
  <c r="G12" i="60"/>
  <c r="H12" i="66" s="1"/>
  <c r="E12" i="60"/>
  <c r="D12" i="66" s="1"/>
  <c r="D12" i="60"/>
  <c r="G11" i="60"/>
  <c r="Q10" i="60"/>
  <c r="Q9" i="60"/>
  <c r="Q8" i="60"/>
  <c r="Q7" i="60"/>
  <c r="Q6" i="60"/>
  <c r="Q5" i="60"/>
  <c r="B2" i="60"/>
  <c r="AP638" i="71"/>
  <c r="AO638" i="71"/>
  <c r="AP637" i="71"/>
  <c r="AO637" i="71"/>
  <c r="AP611" i="71"/>
  <c r="AO611" i="71"/>
  <c r="AM611" i="71"/>
  <c r="AL611" i="71"/>
  <c r="AP608" i="71"/>
  <c r="AO608" i="71"/>
  <c r="AP607" i="71"/>
  <c r="AO607" i="71"/>
  <c r="AM607" i="71"/>
  <c r="AL607" i="71"/>
  <c r="AM599" i="71"/>
  <c r="AL599" i="71"/>
  <c r="AM588" i="71"/>
  <c r="AL588" i="71"/>
  <c r="AM585" i="71"/>
  <c r="AL585" i="71"/>
  <c r="AP584" i="71"/>
  <c r="AO584" i="71"/>
  <c r="AM584" i="71"/>
  <c r="AL584" i="71"/>
  <c r="X572" i="71"/>
  <c r="N572" i="71"/>
  <c r="AP572" i="71"/>
  <c r="AO572" i="71"/>
  <c r="AP571" i="71"/>
  <c r="AO571" i="71"/>
  <c r="N563" i="71"/>
  <c r="J563" i="71"/>
  <c r="X513" i="71"/>
  <c r="X515" i="71" s="1"/>
  <c r="AP516" i="71" s="1"/>
  <c r="N513" i="71"/>
  <c r="N515" i="71" s="1"/>
  <c r="AO516" i="71" s="1"/>
  <c r="X502" i="71"/>
  <c r="AM503" i="71" s="1"/>
  <c r="N502" i="71"/>
  <c r="AO503" i="71" s="1"/>
  <c r="X500" i="71"/>
  <c r="AP501" i="71" s="1"/>
  <c r="N500" i="71"/>
  <c r="AL501" i="71" s="1"/>
  <c r="AC490" i="71"/>
  <c r="AM491" i="71" s="1"/>
  <c r="AC487" i="71"/>
  <c r="AM488" i="71" s="1"/>
  <c r="AM487" i="71"/>
  <c r="AC486" i="71"/>
  <c r="AM485" i="71"/>
  <c r="AC484" i="71"/>
  <c r="AM484" i="71" s="1"/>
  <c r="AC483" i="71"/>
  <c r="AM483" i="71" s="1"/>
  <c r="AC476" i="71"/>
  <c r="AM476" i="71" s="1"/>
  <c r="AC475" i="71"/>
  <c r="AM475" i="71" s="1"/>
  <c r="AC473" i="71"/>
  <c r="AM473" i="71" s="1"/>
  <c r="AC472" i="71"/>
  <c r="AM472" i="71" s="1"/>
  <c r="AC471" i="71"/>
  <c r="AM471" i="71" s="1"/>
  <c r="AC470" i="71"/>
  <c r="AM456" i="71"/>
  <c r="AO455" i="71"/>
  <c r="AL445" i="71"/>
  <c r="AO453" i="71"/>
  <c r="AM426" i="71"/>
  <c r="AP411" i="71"/>
  <c r="AO411" i="71"/>
  <c r="AM411" i="71"/>
  <c r="AL411" i="71"/>
  <c r="AP407" i="71"/>
  <c r="AO407" i="71"/>
  <c r="AM407" i="71"/>
  <c r="AL407" i="71"/>
  <c r="X399" i="71"/>
  <c r="N399" i="71"/>
  <c r="AO399" i="71" s="1"/>
  <c r="AP398" i="71"/>
  <c r="AO398" i="71"/>
  <c r="AP397" i="71"/>
  <c r="AO397" i="71"/>
  <c r="AM389" i="71"/>
  <c r="AL389" i="71"/>
  <c r="Y389" i="71"/>
  <c r="AP389" i="71" s="1"/>
  <c r="P389" i="71"/>
  <c r="AO389" i="71" s="1"/>
  <c r="T381" i="71"/>
  <c r="AL381" i="71" s="1"/>
  <c r="M381" i="71"/>
  <c r="AK381" i="71" s="1"/>
  <c r="AA378" i="71"/>
  <c r="AO378" i="71" s="1"/>
  <c r="X364" i="71"/>
  <c r="AL364" i="71" s="1"/>
  <c r="AK364" i="71"/>
  <c r="N364" i="71"/>
  <c r="AJ364" i="71" s="1"/>
  <c r="I364" i="71"/>
  <c r="AI364" i="71" s="1"/>
  <c r="AC363" i="71"/>
  <c r="X354" i="71"/>
  <c r="AL354" i="71" s="1"/>
  <c r="AK354" i="71"/>
  <c r="N354" i="71"/>
  <c r="AJ354" i="71" s="1"/>
  <c r="I354" i="71"/>
  <c r="AI354" i="71" s="1"/>
  <c r="AC353" i="71"/>
  <c r="AO353" i="71" s="1"/>
  <c r="AP338" i="71"/>
  <c r="AO338" i="71"/>
  <c r="AN338" i="71"/>
  <c r="AM338" i="71"/>
  <c r="AL338" i="71"/>
  <c r="AK338" i="71"/>
  <c r="AJ338" i="71"/>
  <c r="AI338" i="71"/>
  <c r="AO336" i="71"/>
  <c r="AN336" i="71"/>
  <c r="AK336" i="71"/>
  <c r="AQ335" i="71"/>
  <c r="AQ334" i="71"/>
  <c r="AQ333" i="71"/>
  <c r="AZ309" i="71"/>
  <c r="AO331" i="71"/>
  <c r="AL331" i="71"/>
  <c r="AS309" i="71"/>
  <c r="AF330" i="71"/>
  <c r="AQ330" i="71" s="1"/>
  <c r="AF329" i="71"/>
  <c r="AF328" i="71"/>
  <c r="AM326" i="71"/>
  <c r="AV303" i="71"/>
  <c r="AQ325" i="71"/>
  <c r="AF324" i="71"/>
  <c r="AQ324" i="71" s="1"/>
  <c r="AF323" i="71"/>
  <c r="AQ323" i="71" s="1"/>
  <c r="AF322" i="71"/>
  <c r="AN314" i="71"/>
  <c r="AM314" i="71"/>
  <c r="AJ314" i="71"/>
  <c r="AI314" i="71"/>
  <c r="AO312" i="71"/>
  <c r="AI312" i="71"/>
  <c r="AF311" i="71"/>
  <c r="AQ311" i="71" s="1"/>
  <c r="AF310" i="71"/>
  <c r="AQ310" i="71" s="1"/>
  <c r="AF309" i="71"/>
  <c r="AM307" i="71"/>
  <c r="AP307" i="71"/>
  <c r="BI307" i="71"/>
  <c r="AL307" i="71"/>
  <c r="BE307" i="71"/>
  <c r="AQ306" i="71"/>
  <c r="AF305" i="71"/>
  <c r="AF304" i="71"/>
  <c r="AQ304" i="71" s="1"/>
  <c r="AF303" i="71"/>
  <c r="AC80" i="71"/>
  <c r="X80" i="71"/>
  <c r="S80" i="71"/>
  <c r="N80" i="71"/>
  <c r="AG42" i="71"/>
  <c r="AF42" i="71"/>
  <c r="AE42" i="71"/>
  <c r="AD42" i="71"/>
  <c r="AC42" i="71"/>
  <c r="AB42" i="71"/>
  <c r="AA42" i="71"/>
  <c r="Z42" i="71"/>
  <c r="Y42" i="71"/>
  <c r="X42" i="71"/>
  <c r="W42" i="71"/>
  <c r="V42" i="71"/>
  <c r="U42" i="71"/>
  <c r="T42" i="71"/>
  <c r="S42" i="71"/>
  <c r="R42" i="71"/>
  <c r="Q42" i="71"/>
  <c r="P42" i="71"/>
  <c r="O42" i="71"/>
  <c r="N42" i="71"/>
  <c r="M42" i="71"/>
  <c r="L42" i="71"/>
  <c r="K42" i="71"/>
  <c r="J42" i="71"/>
  <c r="I42" i="71"/>
  <c r="H42" i="71"/>
  <c r="G42" i="71"/>
  <c r="F42" i="71"/>
  <c r="E42" i="71"/>
  <c r="D42" i="71"/>
  <c r="C42" i="71"/>
  <c r="AD40" i="71"/>
  <c r="O40" i="71"/>
  <c r="AG38" i="71"/>
  <c r="AF38" i="71"/>
  <c r="AE38" i="71"/>
  <c r="AD38" i="71"/>
  <c r="AC38" i="71"/>
  <c r="AB38" i="71"/>
  <c r="AA38" i="71"/>
  <c r="Z38" i="71"/>
  <c r="Y38" i="71"/>
  <c r="X38" i="71"/>
  <c r="W38" i="71"/>
  <c r="V38" i="71"/>
  <c r="U38" i="71"/>
  <c r="T38" i="71"/>
  <c r="S38" i="71"/>
  <c r="R38" i="71"/>
  <c r="Q38" i="71"/>
  <c r="P38" i="71"/>
  <c r="AG36" i="71"/>
  <c r="AF36" i="71"/>
  <c r="AE36" i="71"/>
  <c r="AD36" i="71"/>
  <c r="AC36" i="71"/>
  <c r="AB36" i="71"/>
  <c r="AA36" i="71"/>
  <c r="X36" i="71"/>
  <c r="W36" i="71"/>
  <c r="V36" i="71"/>
  <c r="U36" i="71"/>
  <c r="T36" i="71"/>
  <c r="S36" i="71"/>
  <c r="R36" i="71"/>
  <c r="Q36" i="71"/>
  <c r="P36" i="71"/>
  <c r="O36" i="71"/>
  <c r="N36" i="71"/>
  <c r="M36" i="71"/>
  <c r="L36" i="71"/>
  <c r="AG33" i="71"/>
  <c r="AF33" i="71"/>
  <c r="AE33" i="71"/>
  <c r="AD33" i="71"/>
  <c r="AC33" i="71"/>
  <c r="AB33" i="71"/>
  <c r="AA33" i="71"/>
  <c r="Z33" i="71"/>
  <c r="Y33" i="71"/>
  <c r="X33" i="71"/>
  <c r="W33" i="71"/>
  <c r="V33" i="71"/>
  <c r="U33" i="71"/>
  <c r="T33" i="71"/>
  <c r="S33" i="71"/>
  <c r="R33" i="71"/>
  <c r="Q33" i="71"/>
  <c r="P33" i="71"/>
  <c r="O33" i="71"/>
  <c r="N33" i="71"/>
  <c r="M33" i="71"/>
  <c r="L33" i="71"/>
  <c r="K33" i="71"/>
  <c r="J33" i="71"/>
  <c r="I33" i="71"/>
  <c r="H33" i="71"/>
  <c r="G33" i="71"/>
  <c r="F33" i="71"/>
  <c r="E33" i="71"/>
  <c r="D33" i="71"/>
  <c r="C33" i="71"/>
  <c r="AG32" i="71"/>
  <c r="AF32" i="71"/>
  <c r="AE32" i="71"/>
  <c r="AD32" i="71"/>
  <c r="AC32" i="71"/>
  <c r="AB32" i="71"/>
  <c r="AA32" i="71"/>
  <c r="T32" i="71"/>
  <c r="I32" i="71"/>
  <c r="S25" i="71"/>
  <c r="Z24" i="71"/>
  <c r="S24" i="71"/>
  <c r="Z23" i="71"/>
  <c r="S23" i="71"/>
  <c r="AF18" i="71"/>
  <c r="AE18" i="71"/>
  <c r="AD18" i="71"/>
  <c r="AC18" i="71"/>
  <c r="AA18" i="71"/>
  <c r="Z18" i="71"/>
  <c r="X18" i="71"/>
  <c r="W18" i="71"/>
  <c r="V18" i="71"/>
  <c r="U18" i="71"/>
  <c r="S18" i="71"/>
  <c r="R18" i="71"/>
  <c r="AF16" i="71"/>
  <c r="AE16" i="71"/>
  <c r="AD16" i="71"/>
  <c r="AC16" i="71"/>
  <c r="AA16" i="71"/>
  <c r="Z16" i="71"/>
  <c r="X16" i="71"/>
  <c r="W16" i="71"/>
  <c r="V16" i="71"/>
  <c r="U16" i="71"/>
  <c r="S16" i="71"/>
  <c r="R16" i="71"/>
  <c r="AF326" i="71" l="1"/>
  <c r="AF307" i="71"/>
  <c r="AF331" i="71"/>
  <c r="AQ331" i="71" s="1"/>
  <c r="AF338" i="71"/>
  <c r="AQ338" i="71" s="1"/>
  <c r="AQ303" i="71"/>
  <c r="AQ328" i="71"/>
  <c r="AQ309" i="71"/>
  <c r="AF312" i="71"/>
  <c r="AV309" i="71"/>
  <c r="AL475" i="71"/>
  <c r="AP336" i="71"/>
  <c r="AU309" i="71"/>
  <c r="AL444" i="71"/>
  <c r="AL470" i="71"/>
  <c r="AL473" i="71"/>
  <c r="AO483" i="71"/>
  <c r="BD312" i="71"/>
  <c r="BH312" i="71"/>
  <c r="BG312" i="71"/>
  <c r="BC315" i="71"/>
  <c r="AK307" i="71"/>
  <c r="BJ307" i="71"/>
  <c r="AY309" i="71"/>
  <c r="AL476" i="71"/>
  <c r="AO339" i="71"/>
  <c r="AL336" i="71"/>
  <c r="AM312" i="71"/>
  <c r="AN312" i="71"/>
  <c r="AP331" i="71"/>
  <c r="AL399" i="71"/>
  <c r="AL447" i="71"/>
  <c r="AM501" i="71"/>
  <c r="AL503" i="71"/>
  <c r="AL514" i="71"/>
  <c r="AO326" i="71"/>
  <c r="AL471" i="71"/>
  <c r="AO501" i="71"/>
  <c r="AM514" i="71"/>
  <c r="AU303" i="71"/>
  <c r="AK326" i="71"/>
  <c r="AQ336" i="71"/>
  <c r="AC354" i="71"/>
  <c r="AO354" i="71" s="1"/>
  <c r="AO363" i="71"/>
  <c r="AM363" i="71"/>
  <c r="AO314" i="71"/>
  <c r="BF339" i="71"/>
  <c r="AL326" i="71"/>
  <c r="AP339" i="71"/>
  <c r="AP326" i="71"/>
  <c r="AZ303" i="71"/>
  <c r="AM331" i="71"/>
  <c r="AW309" i="71"/>
  <c r="AI331" i="71"/>
  <c r="AJ336" i="71"/>
  <c r="AM353" i="71"/>
  <c r="AM399" i="71"/>
  <c r="AP399" i="71"/>
  <c r="AO379" i="71"/>
  <c r="AM379" i="71"/>
  <c r="AY303" i="71"/>
  <c r="BF315" i="71"/>
  <c r="AQ329" i="71"/>
  <c r="AO470" i="71"/>
  <c r="AM470" i="71"/>
  <c r="BF307" i="71"/>
  <c r="AM336" i="71"/>
  <c r="AA381" i="71"/>
  <c r="AM381" i="71" s="1"/>
  <c r="AO307" i="71"/>
  <c r="AJ312" i="71"/>
  <c r="AM378" i="71"/>
  <c r="AM453" i="71"/>
  <c r="BG307" i="71"/>
  <c r="BG315" i="71"/>
  <c r="AQ322" i="71"/>
  <c r="AN331" i="71"/>
  <c r="AX309" i="71"/>
  <c r="I202" i="66"/>
  <c r="I19" i="32"/>
  <c r="P10" i="5"/>
  <c r="G23" i="5"/>
  <c r="AH23" i="5" s="1"/>
  <c r="AH10" i="5"/>
  <c r="K40" i="5"/>
  <c r="AA17" i="9"/>
  <c r="Q44" i="9"/>
  <c r="G47" i="9"/>
  <c r="Q47" i="9" s="1"/>
  <c r="L12" i="14"/>
  <c r="N12" i="14"/>
  <c r="AQ305" i="71"/>
  <c r="BH307" i="71"/>
  <c r="BH315" i="71"/>
  <c r="AN307" i="71"/>
  <c r="AL314" i="71"/>
  <c r="AI336" i="71"/>
  <c r="AL516" i="71"/>
  <c r="G173" i="66"/>
  <c r="D103" i="60"/>
  <c r="G172" i="66" s="1"/>
  <c r="AE10" i="5"/>
  <c r="D23" i="5"/>
  <c r="AE23" i="5" s="1"/>
  <c r="M10" i="5"/>
  <c r="I15" i="5"/>
  <c r="M44" i="7"/>
  <c r="W17" i="7"/>
  <c r="AI339" i="71"/>
  <c r="AS303" i="71"/>
  <c r="AI326" i="71"/>
  <c r="AW303" i="71"/>
  <c r="AM339" i="71"/>
  <c r="AO444" i="71"/>
  <c r="AM444" i="71"/>
  <c r="AO446" i="71"/>
  <c r="AM446" i="71"/>
  <c r="AO452" i="71"/>
  <c r="AM452" i="71"/>
  <c r="AL443" i="71"/>
  <c r="H10" i="66"/>
  <c r="G13" i="66"/>
  <c r="F12" i="60"/>
  <c r="D28" i="66"/>
  <c r="E11" i="60"/>
  <c r="G124" i="66"/>
  <c r="F70" i="60"/>
  <c r="G139" i="66" s="1"/>
  <c r="G141" i="66"/>
  <c r="E60" i="68"/>
  <c r="J12" i="43"/>
  <c r="U22" i="5"/>
  <c r="L22" i="5"/>
  <c r="M23" i="5"/>
  <c r="AN10" i="7"/>
  <c r="T10" i="7"/>
  <c r="M20" i="7"/>
  <c r="AG15" i="7"/>
  <c r="C47" i="7"/>
  <c r="M34" i="7"/>
  <c r="W6" i="7"/>
  <c r="M47" i="7"/>
  <c r="Q47" i="7"/>
  <c r="Q34" i="7"/>
  <c r="AA6" i="7"/>
  <c r="P23" i="9"/>
  <c r="H9" i="24"/>
  <c r="E9" i="24"/>
  <c r="M28" i="50"/>
  <c r="I28" i="50"/>
  <c r="K6" i="50"/>
  <c r="BC307" i="71"/>
  <c r="AJ331" i="71"/>
  <c r="AT309" i="71"/>
  <c r="F8" i="68"/>
  <c r="E19" i="61"/>
  <c r="C23" i="5"/>
  <c r="AD23" i="5" s="1"/>
  <c r="L10" i="5"/>
  <c r="AD10" i="5"/>
  <c r="R13" i="5"/>
  <c r="R15" i="5"/>
  <c r="Q15" i="5"/>
  <c r="AI15" i="5"/>
  <c r="AK47" i="7"/>
  <c r="AA22" i="7"/>
  <c r="S47" i="9"/>
  <c r="M44" i="9"/>
  <c r="BD307" i="71"/>
  <c r="BD315" i="71"/>
  <c r="AJ307" i="71"/>
  <c r="AI307" i="71"/>
  <c r="AP314" i="71"/>
  <c r="AM455" i="71"/>
  <c r="Q10" i="5"/>
  <c r="Q23" i="5"/>
  <c r="H23" i="5"/>
  <c r="AI23" i="5" s="1"/>
  <c r="AI10" i="5"/>
  <c r="X12" i="5"/>
  <c r="M15" i="5"/>
  <c r="AF47" i="7"/>
  <c r="BF312" i="71"/>
  <c r="AL312" i="71"/>
  <c r="BJ312" i="71"/>
  <c r="AP312" i="71"/>
  <c r="BC312" i="71"/>
  <c r="AL446" i="71"/>
  <c r="D11" i="66"/>
  <c r="D11" i="60"/>
  <c r="F20" i="60"/>
  <c r="G27" i="66" s="1"/>
  <c r="G75" i="66"/>
  <c r="F40" i="60"/>
  <c r="F47" i="60"/>
  <c r="G87" i="66" s="1"/>
  <c r="G64" i="60"/>
  <c r="Q22" i="5"/>
  <c r="P23" i="5"/>
  <c r="AE48" i="5"/>
  <c r="AA17" i="7"/>
  <c r="AK15" i="9"/>
  <c r="G23" i="9"/>
  <c r="AK23" i="9" s="1"/>
  <c r="M20" i="9"/>
  <c r="E10" i="54"/>
  <c r="H10" i="54"/>
  <c r="AJ326" i="71"/>
  <c r="AT303" i="71"/>
  <c r="AN326" i="71"/>
  <c r="AX303" i="71"/>
  <c r="AN339" i="71"/>
  <c r="AC364" i="71"/>
  <c r="AO443" i="71"/>
  <c r="AM443" i="71"/>
  <c r="AO445" i="71"/>
  <c r="AM445" i="71"/>
  <c r="AM447" i="71"/>
  <c r="AM516" i="71"/>
  <c r="I45" i="5"/>
  <c r="R45" i="5" s="1"/>
  <c r="R42" i="5"/>
  <c r="N22" i="7"/>
  <c r="J18" i="18"/>
  <c r="H18" i="18"/>
  <c r="I7" i="54"/>
  <c r="F10" i="54"/>
  <c r="I10" i="54"/>
  <c r="BE312" i="71"/>
  <c r="BI315" i="71"/>
  <c r="BI312" i="71"/>
  <c r="AK314" i="71"/>
  <c r="AO380" i="71"/>
  <c r="AM380" i="71"/>
  <c r="AO454" i="71"/>
  <c r="AM454" i="71"/>
  <c r="AM486" i="71"/>
  <c r="AL472" i="71"/>
  <c r="E8" i="68"/>
  <c r="D19" i="61"/>
  <c r="W12" i="5"/>
  <c r="N40" i="5"/>
  <c r="D23" i="7"/>
  <c r="AH23" i="7" s="1"/>
  <c r="AH15" i="7"/>
  <c r="N23" i="7"/>
  <c r="H23" i="7"/>
  <c r="AL15" i="7"/>
  <c r="N15" i="7"/>
  <c r="F47" i="7"/>
  <c r="AI15" i="9"/>
  <c r="O15" i="9"/>
  <c r="AM15" i="9"/>
  <c r="S15" i="9"/>
  <c r="E12" i="24"/>
  <c r="H12" i="24"/>
  <c r="I15" i="50"/>
  <c r="M15" i="50"/>
  <c r="I31" i="50"/>
  <c r="M31" i="50"/>
  <c r="K9" i="50"/>
  <c r="F11" i="27"/>
  <c r="I9" i="30"/>
  <c r="F9" i="30"/>
  <c r="AP503" i="71"/>
  <c r="E34" i="68"/>
  <c r="E10" i="39"/>
  <c r="Z17" i="5"/>
  <c r="P35" i="5"/>
  <c r="H48" i="5"/>
  <c r="AI48" i="5" s="1"/>
  <c r="AF10" i="7"/>
  <c r="P23" i="7"/>
  <c r="AJ10" i="7"/>
  <c r="P10" i="7"/>
  <c r="T15" i="7"/>
  <c r="AI15" i="7"/>
  <c r="O15" i="7"/>
  <c r="AM15" i="7"/>
  <c r="S15" i="7"/>
  <c r="AD17" i="7"/>
  <c r="T17" i="7"/>
  <c r="T20" i="7"/>
  <c r="O22" i="7"/>
  <c r="S22" i="7"/>
  <c r="B23" i="7"/>
  <c r="AF23" i="7" s="1"/>
  <c r="S23" i="7"/>
  <c r="T34" i="7"/>
  <c r="M39" i="7"/>
  <c r="W12" i="7"/>
  <c r="Q39" i="7"/>
  <c r="AA12" i="7"/>
  <c r="T44" i="7"/>
  <c r="N23" i="9"/>
  <c r="AH10" i="9"/>
  <c r="D23" i="9"/>
  <c r="AH23" i="9" s="1"/>
  <c r="N10" i="9"/>
  <c r="R23" i="9"/>
  <c r="AL10" i="9"/>
  <c r="H23" i="9"/>
  <c r="AL23" i="9" s="1"/>
  <c r="R10" i="9"/>
  <c r="J20" i="9"/>
  <c r="T20" i="9" s="1"/>
  <c r="AD17" i="9"/>
  <c r="J22" i="9"/>
  <c r="T17" i="9"/>
  <c r="M47" i="9"/>
  <c r="J39" i="9"/>
  <c r="AD12" i="9" s="1"/>
  <c r="T36" i="9"/>
  <c r="J46" i="9"/>
  <c r="T46" i="9" s="1"/>
  <c r="T39" i="9"/>
  <c r="J8" i="18"/>
  <c r="H8" i="18"/>
  <c r="D10" i="18"/>
  <c r="L13" i="55"/>
  <c r="F5" i="21"/>
  <c r="E3" i="24"/>
  <c r="H3" i="24"/>
  <c r="G52" i="66"/>
  <c r="F30" i="60"/>
  <c r="G50" i="66" s="1"/>
  <c r="F34" i="68"/>
  <c r="F10" i="39"/>
  <c r="E54" i="61"/>
  <c r="F51" i="68" s="1"/>
  <c r="D66" i="61"/>
  <c r="E63" i="68" s="1"/>
  <c r="I22" i="5"/>
  <c r="I10" i="5"/>
  <c r="K23" i="5"/>
  <c r="B23" i="5"/>
  <c r="AC23" i="5" s="1"/>
  <c r="F23" i="5"/>
  <c r="AG23" i="5" s="1"/>
  <c r="AG10" i="5"/>
  <c r="I20" i="5"/>
  <c r="R20" i="5" s="1"/>
  <c r="AA17" i="5"/>
  <c r="R17" i="5"/>
  <c r="X22" i="5"/>
  <c r="O22" i="5"/>
  <c r="I47" i="5"/>
  <c r="R47" i="5" s="1"/>
  <c r="L48" i="5"/>
  <c r="T22" i="7"/>
  <c r="M23" i="7"/>
  <c r="AG10" i="7"/>
  <c r="C23" i="7"/>
  <c r="AG23" i="7" s="1"/>
  <c r="M10" i="7"/>
  <c r="Q23" i="7"/>
  <c r="AK10" i="7"/>
  <c r="G23" i="7"/>
  <c r="AK23" i="7" s="1"/>
  <c r="Q10" i="7"/>
  <c r="T46" i="7"/>
  <c r="L47" i="7"/>
  <c r="J34" i="7"/>
  <c r="P34" i="7"/>
  <c r="P44" i="7"/>
  <c r="E23" i="9"/>
  <c r="AI23" i="9" s="1"/>
  <c r="I23" i="9"/>
  <c r="AM23" i="9" s="1"/>
  <c r="J34" i="9"/>
  <c r="T34" i="9" s="1"/>
  <c r="N47" i="9"/>
  <c r="N34" i="9"/>
  <c r="X6" i="9"/>
  <c r="D47" i="9"/>
  <c r="R47" i="9"/>
  <c r="R34" i="9"/>
  <c r="AB6" i="9"/>
  <c r="J44" i="9"/>
  <c r="T44" i="9" s="1"/>
  <c r="T41" i="9"/>
  <c r="H47" i="9"/>
  <c r="J9" i="18"/>
  <c r="H9" i="18"/>
  <c r="J17" i="18"/>
  <c r="H17" i="18"/>
  <c r="D19" i="18"/>
  <c r="M8" i="50"/>
  <c r="I8" i="50"/>
  <c r="M33" i="50"/>
  <c r="K11" i="50"/>
  <c r="I33" i="50"/>
  <c r="N17" i="27"/>
  <c r="L35" i="27"/>
  <c r="G152" i="66"/>
  <c r="F53" i="68"/>
  <c r="K12" i="43"/>
  <c r="E66" i="61"/>
  <c r="F63" i="68" s="1"/>
  <c r="N10" i="5"/>
  <c r="AF10" i="5"/>
  <c r="L15" i="5"/>
  <c r="P15" i="5"/>
  <c r="N22" i="5"/>
  <c r="E23" i="5"/>
  <c r="AF23" i="5" s="1"/>
  <c r="I35" i="5"/>
  <c r="AA6" i="5" s="1"/>
  <c r="N35" i="5"/>
  <c r="R35" i="5"/>
  <c r="E48" i="5"/>
  <c r="AF48" i="5" s="1"/>
  <c r="J15" i="7"/>
  <c r="AN15" i="7" s="1"/>
  <c r="N47" i="7"/>
  <c r="H47" i="7"/>
  <c r="AL47" i="7" s="1"/>
  <c r="J10" i="9"/>
  <c r="T7" i="9"/>
  <c r="AF15" i="9"/>
  <c r="L15" i="9"/>
  <c r="AJ15" i="9"/>
  <c r="P15" i="9"/>
  <c r="J15" i="9"/>
  <c r="AN15" i="9" s="1"/>
  <c r="Y22" i="9"/>
  <c r="O22" i="9"/>
  <c r="B23" i="9"/>
  <c r="C47" i="9"/>
  <c r="N5" i="17"/>
  <c r="L5" i="17"/>
  <c r="M11" i="50"/>
  <c r="I11" i="50"/>
  <c r="M18" i="50"/>
  <c r="I18" i="50"/>
  <c r="F23" i="27"/>
  <c r="I5" i="28"/>
  <c r="F8" i="28"/>
  <c r="I8" i="28"/>
  <c r="F6" i="33"/>
  <c r="I6" i="33"/>
  <c r="K35" i="5"/>
  <c r="O35" i="5"/>
  <c r="B48" i="5"/>
  <c r="AC48" i="5" s="1"/>
  <c r="F48" i="5"/>
  <c r="AG48" i="5" s="1"/>
  <c r="E47" i="7"/>
  <c r="AI47" i="7" s="1"/>
  <c r="S47" i="7"/>
  <c r="I47" i="7"/>
  <c r="AM47" i="7" s="1"/>
  <c r="AG10" i="9"/>
  <c r="Q23" i="9"/>
  <c r="AK10" i="9"/>
  <c r="M10" i="9"/>
  <c r="V22" i="9"/>
  <c r="L22" i="9"/>
  <c r="Z22" i="9"/>
  <c r="P22" i="9"/>
  <c r="C23" i="9"/>
  <c r="AG23" i="9" s="1"/>
  <c r="M34" i="9"/>
  <c r="N39" i="9"/>
  <c r="X12" i="9"/>
  <c r="R39" i="9"/>
  <c r="AB12" i="9"/>
  <c r="N7" i="14"/>
  <c r="L7" i="14"/>
  <c r="F9" i="17"/>
  <c r="J13" i="18"/>
  <c r="H13" i="18"/>
  <c r="M7" i="50"/>
  <c r="I7" i="50"/>
  <c r="AJ11" i="67"/>
  <c r="AI11" i="65"/>
  <c r="AI11" i="67"/>
  <c r="AH11" i="65"/>
  <c r="AH11" i="67"/>
  <c r="AJ11" i="65"/>
  <c r="AJ12" i="67"/>
  <c r="U4" i="67"/>
  <c r="AI12" i="65"/>
  <c r="T4" i="65"/>
  <c r="AI12" i="67"/>
  <c r="T4" i="67"/>
  <c r="AH12" i="65"/>
  <c r="S4" i="65"/>
  <c r="AJ12" i="65"/>
  <c r="AH12" i="67"/>
  <c r="S4" i="67"/>
  <c r="AG12" i="65"/>
  <c r="AG12" i="67"/>
  <c r="U4" i="65"/>
  <c r="AG11" i="65"/>
  <c r="R4" i="67"/>
  <c r="E47" i="9"/>
  <c r="AI47" i="9" s="1"/>
  <c r="I47" i="9"/>
  <c r="AM47" i="9" s="1"/>
  <c r="N5" i="27"/>
  <c r="H5" i="27"/>
  <c r="F5" i="27"/>
  <c r="B9" i="30"/>
  <c r="H9" i="30" s="1"/>
  <c r="M4" i="65"/>
  <c r="L4" i="67"/>
  <c r="L4" i="65"/>
  <c r="AG15" i="67"/>
  <c r="AJ15" i="65"/>
  <c r="AJ15" i="67"/>
  <c r="AI15" i="65"/>
  <c r="AH15" i="65"/>
  <c r="AI15" i="67"/>
  <c r="AG15" i="65"/>
  <c r="AH15" i="67"/>
  <c r="M36" i="50"/>
  <c r="K14" i="50"/>
  <c r="I39" i="50"/>
  <c r="K17" i="50"/>
  <c r="K19" i="50"/>
  <c r="I43" i="50"/>
  <c r="K21" i="50"/>
  <c r="F29" i="27"/>
  <c r="N15" i="27"/>
  <c r="L33" i="27"/>
  <c r="H5" i="28"/>
  <c r="H8" i="28"/>
  <c r="E9" i="30"/>
  <c r="H7" i="38"/>
  <c r="K7" i="38"/>
  <c r="I35" i="50"/>
  <c r="K13" i="50"/>
  <c r="M40" i="50"/>
  <c r="K18" i="50"/>
  <c r="AE14" i="67"/>
  <c r="AD14" i="65"/>
  <c r="AD14" i="67"/>
  <c r="G2" i="66"/>
  <c r="E2" i="68"/>
  <c r="AE14" i="65"/>
  <c r="AH14" i="65"/>
  <c r="AD15" i="65"/>
  <c r="O4" i="67"/>
  <c r="AD11" i="67"/>
  <c r="AD12" i="67"/>
  <c r="AI14" i="67"/>
  <c r="AE15" i="67"/>
  <c r="O4" i="65"/>
  <c r="AD11" i="65"/>
  <c r="AD12" i="65"/>
  <c r="AI14" i="65"/>
  <c r="P4" i="67"/>
  <c r="AQ326" i="71" l="1"/>
  <c r="AF339" i="71"/>
  <c r="BA314" i="71" s="1"/>
  <c r="AQ312" i="71"/>
  <c r="AO381" i="71"/>
  <c r="AI315" i="71"/>
  <c r="BA309" i="71"/>
  <c r="BI339" i="71"/>
  <c r="AM354" i="71"/>
  <c r="AN315" i="71"/>
  <c r="AY314" i="71"/>
  <c r="AK339" i="71"/>
  <c r="BE339" i="71"/>
  <c r="BJ339" i="71"/>
  <c r="AZ314" i="71"/>
  <c r="AM315" i="71"/>
  <c r="AL339" i="71"/>
  <c r="AV314" i="71"/>
  <c r="BK312" i="71"/>
  <c r="AL315" i="71"/>
  <c r="AJ315" i="71"/>
  <c r="AU314" i="71"/>
  <c r="L23" i="27"/>
  <c r="P23" i="27"/>
  <c r="G11" i="66"/>
  <c r="F11" i="60"/>
  <c r="T15" i="9"/>
  <c r="R47" i="7"/>
  <c r="J19" i="18"/>
  <c r="H19" i="18"/>
  <c r="E16" i="68"/>
  <c r="D34" i="61"/>
  <c r="D9" i="66"/>
  <c r="D10" i="60"/>
  <c r="AQ314" i="71"/>
  <c r="BG339" i="71"/>
  <c r="AW314" i="71"/>
  <c r="P5" i="27"/>
  <c r="L5" i="27"/>
  <c r="M23" i="9"/>
  <c r="O47" i="7"/>
  <c r="AC22" i="9"/>
  <c r="AL47" i="9"/>
  <c r="AB22" i="9"/>
  <c r="J47" i="7"/>
  <c r="AD6" i="7"/>
  <c r="T22" i="5"/>
  <c r="R22" i="5"/>
  <c r="L23" i="7"/>
  <c r="W22" i="5"/>
  <c r="P11" i="27"/>
  <c r="L11" i="27"/>
  <c r="O23" i="9"/>
  <c r="BE315" i="71"/>
  <c r="AK315" i="71"/>
  <c r="AB22" i="7"/>
  <c r="O48" i="5"/>
  <c r="AM364" i="71"/>
  <c r="AO364" i="71"/>
  <c r="Z22" i="5"/>
  <c r="BJ315" i="71"/>
  <c r="AP315" i="71"/>
  <c r="L23" i="5"/>
  <c r="D10" i="66"/>
  <c r="E10" i="60"/>
  <c r="BA303" i="71"/>
  <c r="N48" i="5"/>
  <c r="O47" i="9"/>
  <c r="BK307" i="71"/>
  <c r="AQ307" i="71"/>
  <c r="AF23" i="9"/>
  <c r="L23" i="9"/>
  <c r="I23" i="5"/>
  <c r="AJ10" i="5"/>
  <c r="N23" i="5"/>
  <c r="AJ47" i="7"/>
  <c r="Z22" i="7"/>
  <c r="BD339" i="71"/>
  <c r="AT314" i="71"/>
  <c r="P29" i="27"/>
  <c r="L29" i="27"/>
  <c r="N11" i="27"/>
  <c r="N9" i="17"/>
  <c r="L9" i="17"/>
  <c r="AH47" i="9"/>
  <c r="X22" i="9"/>
  <c r="J47" i="9"/>
  <c r="AD22" i="9" s="1"/>
  <c r="AD6" i="9"/>
  <c r="O23" i="5"/>
  <c r="R10" i="5"/>
  <c r="J10" i="18"/>
  <c r="H10" i="18"/>
  <c r="Y22" i="7"/>
  <c r="BH339" i="71"/>
  <c r="AX314" i="71"/>
  <c r="F39" i="60"/>
  <c r="G71" i="66" s="1"/>
  <c r="G73" i="66"/>
  <c r="P47" i="7"/>
  <c r="AG47" i="9"/>
  <c r="W22" i="9"/>
  <c r="J23" i="9"/>
  <c r="T10" i="9"/>
  <c r="AN10" i="9"/>
  <c r="I48" i="5"/>
  <c r="O5" i="21"/>
  <c r="M5" i="21"/>
  <c r="T22" i="9"/>
  <c r="AC22" i="7"/>
  <c r="Q48" i="5"/>
  <c r="S23" i="9"/>
  <c r="AL23" i="7"/>
  <c r="R23" i="7"/>
  <c r="AO315" i="71"/>
  <c r="K48" i="5"/>
  <c r="AJ339" i="71"/>
  <c r="H125" i="66"/>
  <c r="G39" i="60"/>
  <c r="F16" i="68"/>
  <c r="E34" i="61"/>
  <c r="AG47" i="7"/>
  <c r="W22" i="7"/>
  <c r="J23" i="7"/>
  <c r="BC339" i="71"/>
  <c r="AS314" i="71"/>
  <c r="AJ15" i="5"/>
  <c r="AK47" i="9"/>
  <c r="AA22" i="9"/>
  <c r="AN23" i="9" l="1"/>
  <c r="T23" i="9"/>
  <c r="G9" i="66"/>
  <c r="F10" i="60"/>
  <c r="AJ48" i="5"/>
  <c r="R48" i="5"/>
  <c r="BK339" i="71"/>
  <c r="AQ339" i="71"/>
  <c r="AA22" i="5"/>
  <c r="AJ23" i="5"/>
  <c r="R23" i="5"/>
  <c r="D8" i="66"/>
  <c r="E75" i="60"/>
  <c r="D7" i="66"/>
  <c r="D75" i="60"/>
  <c r="E31" i="68"/>
  <c r="D55" i="61"/>
  <c r="T47" i="7"/>
  <c r="AN47" i="7"/>
  <c r="AD22" i="7"/>
  <c r="AN23" i="7"/>
  <c r="T23" i="7"/>
  <c r="F31" i="68"/>
  <c r="E55" i="61"/>
  <c r="H72" i="66"/>
  <c r="G10" i="60"/>
  <c r="AN47" i="9"/>
  <c r="T47" i="9"/>
  <c r="BK315" i="71"/>
  <c r="AQ315" i="71"/>
  <c r="E52" i="68" l="1"/>
  <c r="AO631" i="71"/>
  <c r="D67" i="61"/>
  <c r="E64" i="68" s="1"/>
  <c r="D41" i="62"/>
  <c r="D89" i="62" s="1"/>
  <c r="D93" i="62" s="1"/>
  <c r="D99" i="62" s="1"/>
  <c r="D59" i="61"/>
  <c r="J4" i="43"/>
  <c r="F52" i="68"/>
  <c r="K4" i="43"/>
  <c r="AP631" i="71"/>
  <c r="E59" i="61"/>
  <c r="E41" i="62"/>
  <c r="E89" i="62" s="1"/>
  <c r="E93" i="62" s="1"/>
  <c r="E99" i="62" s="1"/>
  <c r="E67" i="61"/>
  <c r="F64" i="68" s="1"/>
  <c r="G7" i="66"/>
  <c r="F75" i="60"/>
  <c r="D102" i="60"/>
  <c r="H8" i="66"/>
  <c r="E102" i="60"/>
  <c r="G75" i="60"/>
  <c r="F56" i="68" l="1"/>
  <c r="E69" i="61"/>
  <c r="F66" i="68" s="1"/>
  <c r="I171" i="66"/>
  <c r="E82" i="60"/>
  <c r="AO456" i="71"/>
  <c r="M41" i="50"/>
  <c r="E56" i="68"/>
  <c r="D69" i="61"/>
  <c r="E66" i="68" s="1"/>
  <c r="G171" i="66"/>
  <c r="M19" i="50"/>
  <c r="D82" i="60"/>
  <c r="AO447" i="71"/>
  <c r="I151" i="66" l="1"/>
  <c r="E81" i="60"/>
  <c r="G151" i="66"/>
  <c r="D81" i="60"/>
  <c r="I150" i="66" l="1"/>
  <c r="E141" i="60"/>
  <c r="G150" i="66"/>
  <c r="D141" i="60"/>
</calcChain>
</file>

<file path=xl/comments1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E6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D8, D9, D10</t>
        </r>
      </text>
    </comment>
    <comment ref="B7" authorId="0">
      <text>
        <r>
          <rPr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E12" authorId="0">
      <text>
        <r>
          <rPr>
            <sz val="8"/>
            <color indexed="81"/>
            <rFont val="Tahoma"/>
            <family val="2"/>
            <charset val="238"/>
          </rPr>
          <t xml:space="preserve">Clasification of economic activities in sheet "SK NACE". </t>
        </r>
        <r>
          <rPr>
            <b/>
            <sz val="8"/>
            <color indexed="81"/>
            <rFont val="Tahoma"/>
            <family val="2"/>
            <charset val="238"/>
          </rPr>
          <t>Use values from column A (without dots)</t>
        </r>
      </text>
    </comment>
    <comment ref="E15" authorId="0">
      <text>
        <r>
          <rPr>
            <sz val="8"/>
            <color indexed="81"/>
            <rFont val="Tahoma"/>
            <family val="2"/>
            <charset val="238"/>
          </rPr>
          <t>select type of report with "</t>
        </r>
        <r>
          <rPr>
            <b/>
            <sz val="8"/>
            <color indexed="81"/>
            <rFont val="Tahoma"/>
            <family val="2"/>
            <charset val="238"/>
          </rPr>
          <t>X</t>
        </r>
        <r>
          <rPr>
            <sz val="8"/>
            <color indexed="81"/>
            <rFont val="Tahoma"/>
            <family val="2"/>
            <charset val="238"/>
          </rPr>
          <t xml:space="preserve">"
in cells </t>
        </r>
        <r>
          <rPr>
            <b/>
            <sz val="8"/>
            <color indexed="81"/>
            <rFont val="Tahoma"/>
            <family val="2"/>
            <charset val="238"/>
          </rPr>
          <t>D17, D18</t>
        </r>
      </text>
    </comment>
    <comment ref="B17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B2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Enter full date ONLY in this cell</t>
        </r>
      </text>
    </comment>
    <comment ref="F25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date on which the FS are prepared </t>
        </r>
      </text>
    </comment>
    <comment ref="F27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leave blank if not approved yet</t>
        </r>
      </text>
    </comment>
    <comment ref="F35" authorId="0">
      <text>
        <r>
          <rPr>
            <b/>
            <sz val="8"/>
            <color indexed="81"/>
            <rFont val="Tahoma"/>
            <family val="2"/>
            <charset val="238"/>
          </rPr>
          <t>Barbora Soukupova:</t>
        </r>
        <r>
          <rPr>
            <sz val="8"/>
            <color indexed="81"/>
            <rFont val="Tahoma"/>
            <family val="2"/>
            <charset val="238"/>
          </rPr>
          <t xml:space="preserve">
Academical degree + Full name</t>
        </r>
      </text>
    </comment>
    <comment ref="F39" authorId="0">
      <text>
        <r>
          <rPr>
            <b/>
            <sz val="8"/>
            <color indexed="81"/>
            <rFont val="Tahoma"/>
            <family val="2"/>
            <charset val="238"/>
          </rPr>
          <t>Barbora Soukupova:</t>
        </r>
        <r>
          <rPr>
            <sz val="8"/>
            <color indexed="81"/>
            <rFont val="Tahoma"/>
            <family val="2"/>
            <charset val="238"/>
          </rPr>
          <t xml:space="preserve">
Academical degree + Full name</t>
        </r>
      </text>
    </comment>
  </commentList>
</comments>
</file>

<file path=xl/sharedStrings.xml><?xml version="1.0" encoding="utf-8"?>
<sst xmlns="http://schemas.openxmlformats.org/spreadsheetml/2006/main" count="3814" uniqueCount="1679">
  <si>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</si>
  <si>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</si>
  <si>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</si>
  <si>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</si>
  <si>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</si>
  <si>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</si>
  <si>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</si>
  <si>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</si>
  <si>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</si>
  <si>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</si>
  <si>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</si>
  <si>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</si>
  <si>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</si>
  <si>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</si>
  <si>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</si>
  <si>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</si>
  <si>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</si>
  <si>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</si>
  <si>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</si>
  <si>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</si>
  <si>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</si>
  <si>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</si>
  <si>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</si>
  <si>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</si>
  <si>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</si>
  <si>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</si>
  <si>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</si>
  <si>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</si>
  <si>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</si>
  <si>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</si>
  <si>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</si>
  <si>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</si>
  <si>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</si>
  <si>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</si>
  <si>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</si>
  <si>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</si>
  <si>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</si>
  <si>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</si>
  <si>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</si>
  <si>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</si>
  <si>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</si>
  <si>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</si>
  <si>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</si>
  <si>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</si>
  <si>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</si>
  <si>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</si>
  <si>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</si>
  <si>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</si>
  <si>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</si>
  <si>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</si>
  <si>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</si>
  <si>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</si>
  <si>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</si>
  <si>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</si>
  <si>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</si>
  <si>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</si>
  <si>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</si>
  <si>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</si>
  <si>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</si>
  <si>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</si>
  <si>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</si>
  <si>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</si>
  <si>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</si>
  <si>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</si>
  <si>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</si>
  <si>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</si>
  <si>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</si>
  <si>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</si>
  <si>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</si>
  <si>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</si>
  <si>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</si>
  <si>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</si>
  <si>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</si>
  <si>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</si>
  <si>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</si>
  <si>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</si>
  <si>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</si>
  <si>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</si>
  <si>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</si>
  <si>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</si>
  <si>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</si>
  <si>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</si>
  <si>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</si>
  <si>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</si>
  <si>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</si>
  <si>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</si>
  <si>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</si>
  <si>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</si>
  <si>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</si>
  <si>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</si>
  <si>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</si>
  <si>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</si>
  <si>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</si>
  <si>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</si>
  <si>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</si>
  <si>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</si>
  <si>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</si>
  <si>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</si>
  <si>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</si>
  <si>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</si>
  <si>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</si>
  <si>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</si>
  <si>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</si>
  <si>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</si>
  <si>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</si>
  <si>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</si>
  <si>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</si>
  <si>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</si>
  <si>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</si>
  <si>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</si>
  <si>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</si>
  <si>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</si>
  <si>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</si>
  <si>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</si>
  <si>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</si>
  <si>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</si>
  <si>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</si>
  <si>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</si>
  <si>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</si>
  <si>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</si>
  <si>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</si>
  <si>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</si>
  <si>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</si>
  <si>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</si>
  <si>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</si>
  <si>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</si>
  <si>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</si>
  <si>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</si>
  <si>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</si>
  <si>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</si>
  <si>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</si>
  <si>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</si>
  <si>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</si>
  <si>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</si>
  <si>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</si>
  <si>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</si>
  <si>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</si>
  <si>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</si>
  <si>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</si>
  <si>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</si>
  <si>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</si>
  <si>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</si>
  <si>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</si>
  <si>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</si>
  <si>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</si>
  <si>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</si>
  <si>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</si>
  <si>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</si>
  <si>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</si>
  <si>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</si>
  <si>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</si>
  <si>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</si>
  <si>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</si>
  <si>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</si>
  <si>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</si>
  <si>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</si>
  <si>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</si>
  <si>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</si>
  <si>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</si>
  <si>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</si>
  <si>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</si>
  <si>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</si>
  <si>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</si>
  <si>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</si>
  <si>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</si>
  <si>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</si>
  <si>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</si>
  <si>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</si>
  <si>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</si>
  <si>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</si>
  <si>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</si>
  <si>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</si>
  <si>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</si>
  <si>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</si>
  <si>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</si>
  <si>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</si>
  <si>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</si>
  <si>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</si>
  <si>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</si>
  <si>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</si>
  <si>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</si>
  <si>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</si>
  <si>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</si>
  <si>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</si>
  <si>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</si>
  <si>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</si>
  <si>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</si>
  <si>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</si>
  <si>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</si>
  <si>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</si>
  <si>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</si>
  <si>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</si>
  <si>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</si>
  <si>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</si>
  <si>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</si>
  <si>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</si>
  <si>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</si>
  <si>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</si>
  <si>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</si>
  <si>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</si>
  <si>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</si>
  <si>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</si>
  <si>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</si>
  <si>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</si>
  <si>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</si>
  <si>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</si>
  <si>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</si>
  <si>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</si>
  <si>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</si>
  <si>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</si>
  <si>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</si>
  <si>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</si>
  <si>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</si>
  <si>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</si>
  <si>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</si>
  <si>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</si>
  <si>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</si>
  <si>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</si>
  <si>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</si>
  <si>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</si>
  <si>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</si>
  <si>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</si>
  <si>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</si>
  <si>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</si>
  <si>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</si>
  <si>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</si>
  <si>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</si>
  <si>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</si>
  <si>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</si>
  <si>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</si>
  <si>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</si>
  <si>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</si>
  <si>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</si>
  <si>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</si>
  <si>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</si>
  <si>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</si>
  <si>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</si>
  <si>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</si>
  <si>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</si>
  <si>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</si>
  <si>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</si>
  <si>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</si>
  <si>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</si>
  <si>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</si>
  <si>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</si>
  <si>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</si>
  <si>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</si>
  <si>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</si>
  <si>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</si>
  <si>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</si>
  <si>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</si>
  <si>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</si>
  <si>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</si>
  <si>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</si>
  <si>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</si>
  <si>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</si>
  <si>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</si>
  <si>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</si>
  <si>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</si>
  <si>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</si>
  <si>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</si>
  <si>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</si>
  <si>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</si>
  <si>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</si>
  <si>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</si>
  <si>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</si>
  <si>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</si>
  <si>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</si>
  <si>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</si>
  <si>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</si>
  <si>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</si>
  <si>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</si>
  <si>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</si>
  <si>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</si>
  <si>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</si>
  <si>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</si>
  <si>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</si>
  <si>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</si>
  <si>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</si>
  <si>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</si>
  <si>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</si>
  <si>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</si>
  <si>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</si>
  <si>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</si>
  <si>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</si>
  <si>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</si>
  <si>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</si>
  <si>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</si>
  <si>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</si>
  <si>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</si>
  <si>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</si>
  <si>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</si>
  <si>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</si>
  <si>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</si>
  <si>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</si>
  <si>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</si>
  <si>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</si>
  <si>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</si>
  <si>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</si>
  <si>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</si>
  <si>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</si>
  <si>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</si>
  <si>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</si>
  <si>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</si>
  <si>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</si>
  <si>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</si>
  <si>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</si>
  <si>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</si>
  <si>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</si>
  <si>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</si>
  <si>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</si>
  <si>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</si>
  <si>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</si>
  <si>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</si>
  <si>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</si>
  <si>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</si>
  <si>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</si>
  <si>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</si>
  <si>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</si>
  <si>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</si>
  <si>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</si>
  <si>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</si>
  <si>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</si>
  <si>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</si>
  <si>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</si>
  <si>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</si>
  <si>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</si>
  <si>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</si>
  <si>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</si>
  <si>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</si>
  <si>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</si>
  <si>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</si>
  <si>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</si>
  <si>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</si>
  <si>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</si>
  <si>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</si>
  <si>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</si>
  <si>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</si>
  <si>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</si>
  <si>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</si>
  <si>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</si>
  <si>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</si>
  <si>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</si>
  <si>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</si>
  <si>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</si>
  <si>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</si>
  <si>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</si>
  <si>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</si>
  <si>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</si>
  <si>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</si>
  <si>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</si>
  <si>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</si>
  <si>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</si>
  <si>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</si>
  <si>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</si>
  <si>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</si>
  <si>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</si>
  <si>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</si>
  <si>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</si>
  <si>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</si>
  <si>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</si>
  <si>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</si>
  <si>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</si>
  <si>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</si>
  <si>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</si>
  <si>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</si>
  <si>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</si>
  <si>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</si>
  <si>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</si>
  <si>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</si>
  <si>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</si>
  <si>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</si>
  <si>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</si>
  <si>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</si>
  <si>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</si>
  <si>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</si>
  <si>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</si>
  <si>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</si>
  <si>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</si>
  <si>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</si>
  <si>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</si>
  <si>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</si>
  <si>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</si>
  <si>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</si>
  <si>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</si>
  <si>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</si>
  <si>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</si>
  <si>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</si>
  <si>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</si>
  <si>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</si>
  <si>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</si>
  <si>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</si>
  <si>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</si>
  <si>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</si>
  <si>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</si>
  <si>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</si>
  <si>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</si>
  <si>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</si>
  <si>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</si>
  <si>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</si>
  <si>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</si>
  <si>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</si>
  <si>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</si>
  <si>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</si>
  <si>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</si>
  <si>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</si>
  <si>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</si>
  <si>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</si>
  <si>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</si>
  <si>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</si>
  <si>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</si>
  <si>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</si>
  <si>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</si>
  <si>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</si>
  <si>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</si>
  <si>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</si>
  <si>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</si>
  <si>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</si>
  <si>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</si>
  <si>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</si>
  <si>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</si>
  <si>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</si>
  <si>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</si>
  <si>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</si>
  <si>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</si>
  <si>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</si>
  <si>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</si>
  <si>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</si>
  <si>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</si>
  <si>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</si>
  <si>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</si>
  <si>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</si>
  <si>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</si>
  <si>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</si>
  <si>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</si>
  <si>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</si>
  <si>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</si>
  <si>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</si>
  <si>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</si>
  <si>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</si>
  <si>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</si>
  <si>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</si>
  <si>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</si>
  <si>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</si>
  <si>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</si>
  <si>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</si>
  <si>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</si>
  <si>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</si>
  <si>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</si>
  <si>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</si>
  <si>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</si>
  <si>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</si>
  <si>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</si>
  <si>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</si>
  <si>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</si>
  <si>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</si>
  <si>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</si>
  <si>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</si>
  <si>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</si>
  <si>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</si>
  <si>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</si>
  <si>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</si>
  <si>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</si>
  <si>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</si>
  <si>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</si>
  <si>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</si>
  <si>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</si>
  <si>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</si>
  <si>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</si>
  <si>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</si>
  <si>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</si>
  <si>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</si>
  <si>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</si>
  <si>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</si>
  <si>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</si>
  <si>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</si>
  <si>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</si>
  <si>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</si>
  <si>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</si>
  <si>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</si>
  <si>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</si>
  <si>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</si>
  <si>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</si>
  <si>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</si>
  <si>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</si>
  <si>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</si>
  <si>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</si>
  <si>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</si>
  <si>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</si>
  <si>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</si>
  <si>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</si>
  <si>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</si>
  <si>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</si>
  <si>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</si>
  <si>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</si>
  <si>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</si>
  <si>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</si>
  <si>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</si>
  <si>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</si>
  <si>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</si>
  <si>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</si>
  <si>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</si>
  <si>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</si>
  <si>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</si>
  <si>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</si>
  <si>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</si>
  <si>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</si>
  <si>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</si>
  <si>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</si>
  <si>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</si>
  <si>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</si>
  <si>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</si>
  <si>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</si>
  <si>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</si>
  <si>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</si>
  <si>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</si>
  <si>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</si>
  <si>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</si>
  <si>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</si>
  <si>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</si>
  <si>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</si>
  <si>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</si>
  <si>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</si>
  <si>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</si>
  <si>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</si>
  <si>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</si>
  <si>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</si>
  <si>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</si>
  <si>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</si>
  <si>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</si>
  <si>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</si>
  <si>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</si>
  <si>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</si>
  <si>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</si>
  <si>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</si>
  <si>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</si>
  <si>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</si>
  <si>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</si>
  <si>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</si>
  <si>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</si>
  <si>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</si>
  <si>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</si>
  <si>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</si>
  <si>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</si>
  <si>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</si>
  <si>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</si>
  <si>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</si>
  <si>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</si>
  <si>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</si>
  <si>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</si>
  <si>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</si>
  <si>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</si>
  <si>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</si>
  <si>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</si>
  <si>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</si>
  <si>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</si>
  <si>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</si>
  <si>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</si>
  <si>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</si>
  <si>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</si>
  <si>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</si>
  <si>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</si>
  <si>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</si>
  <si>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</si>
  <si>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</si>
  <si>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</si>
  <si>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</si>
  <si>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</si>
  <si>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</si>
  <si>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</si>
  <si>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</si>
  <si>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</si>
  <si>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</si>
  <si>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</si>
  <si>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</si>
  <si>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</si>
  <si>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</si>
  <si>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</si>
  <si>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</si>
  <si>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</si>
  <si>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</si>
  <si>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</si>
  <si>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</si>
  <si>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</si>
  <si>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</si>
  <si>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</si>
  <si>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</si>
  <si>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</si>
  <si>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</si>
  <si>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</si>
  <si>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</si>
  <si>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</si>
  <si>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</si>
  <si>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</si>
  <si>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</si>
  <si>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</si>
  <si>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</si>
  <si>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</si>
  <si>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</si>
  <si>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</si>
  <si>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</si>
  <si>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</si>
  <si>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</si>
  <si>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</si>
  <si>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</si>
  <si>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</si>
  <si>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</si>
  <si>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</si>
  <si>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</si>
  <si>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</si>
  <si>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</si>
  <si>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</si>
  <si>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</si>
  <si>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</si>
  <si>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</si>
  <si>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</si>
  <si>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</si>
  <si>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</si>
  <si>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</si>
  <si>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</si>
  <si>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</si>
  <si>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</si>
  <si>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</si>
  <si>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</si>
  <si>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</si>
  <si>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</si>
  <si>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</si>
  <si>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</si>
  <si>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</si>
  <si>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</si>
  <si>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</si>
  <si>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</si>
  <si>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</si>
  <si>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</si>
  <si>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</si>
  <si>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</si>
  <si>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</si>
  <si>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</si>
  <si>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</si>
  <si>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</si>
  <si>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</si>
  <si>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</si>
  <si>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</si>
  <si>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</si>
  <si>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</si>
  <si>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</si>
  <si>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</si>
  <si>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</si>
  <si>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</si>
  <si>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</si>
  <si>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</si>
  <si>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</si>
  <si>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</si>
  <si>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</si>
  <si>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</si>
  <si>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</si>
  <si>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</si>
  <si>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</si>
  <si>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</si>
  <si>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</si>
  <si>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</si>
  <si>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</si>
  <si>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</si>
  <si>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</si>
  <si>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</si>
  <si>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</si>
  <si>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</si>
  <si>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</si>
  <si>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</si>
  <si>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</si>
  <si>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</si>
  <si>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</si>
  <si>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</si>
  <si>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</si>
  <si>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</si>
  <si>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</si>
  <si>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</si>
  <si>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</si>
  <si>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</si>
  <si>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</si>
  <si>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</si>
  <si>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</si>
  <si>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</si>
  <si>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</si>
  <si>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</si>
  <si>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</si>
  <si>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</si>
  <si>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</si>
  <si>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</si>
  <si>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</si>
  <si>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</si>
  <si>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</si>
  <si>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</si>
  <si>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</si>
  <si>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</si>
  <si>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</si>
  <si>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</si>
  <si>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</si>
  <si>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</si>
  <si>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</si>
  <si>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</si>
  <si>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</si>
  <si>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</si>
  <si>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</si>
  <si>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</si>
  <si>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</si>
  <si>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</si>
  <si>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</si>
  <si>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</si>
  <si>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</si>
  <si>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</si>
  <si>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</si>
  <si>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</si>
  <si>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</si>
  <si>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</si>
  <si>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</si>
  <si>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</si>
  <si>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</si>
  <si>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</si>
  <si>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</si>
  <si>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</si>
  <si>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</si>
  <si>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</si>
  <si>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</si>
  <si>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</si>
  <si>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</si>
  <si>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</si>
  <si>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</si>
  <si>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</si>
  <si>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</si>
  <si>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</si>
  <si>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</si>
  <si>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</si>
  <si>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</si>
  <si>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</si>
  <si>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</si>
  <si>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</si>
  <si>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</si>
  <si>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</si>
  <si>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</si>
  <si>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</si>
  <si>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</si>
  <si>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</si>
  <si>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</si>
  <si>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</si>
  <si>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</si>
  <si>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</si>
  <si>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</si>
  <si>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</si>
  <si>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</si>
  <si>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</si>
  <si>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</si>
  <si>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</si>
  <si>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</si>
  <si>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</si>
  <si>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</si>
  <si>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</si>
  <si>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</si>
  <si>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</si>
  <si>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</si>
  <si>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</si>
  <si>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</si>
  <si>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</si>
  <si>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</si>
  <si>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</si>
  <si>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</si>
  <si>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</si>
  <si>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</si>
  <si>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</si>
  <si>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</si>
  <si>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</si>
  <si>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</si>
  <si>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</si>
  <si>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</si>
  <si>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</si>
  <si>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</si>
  <si>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</si>
  <si>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</si>
  <si>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</si>
  <si>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</si>
  <si>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</si>
  <si>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</si>
  <si>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</si>
  <si>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</si>
  <si>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</si>
  <si>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</si>
  <si>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</si>
  <si>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</si>
  <si>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</si>
  <si>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</si>
  <si>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</si>
  <si>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</si>
  <si>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</si>
  <si>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</si>
  <si>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</si>
  <si>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</si>
  <si>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</si>
  <si>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</si>
  <si>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</si>
  <si>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</si>
  <si>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</si>
  <si>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</si>
  <si>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</si>
  <si>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</si>
  <si>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</si>
  <si>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</si>
  <si>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</si>
  <si>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</si>
  <si>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</si>
  <si>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</si>
  <si>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</si>
  <si>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</si>
  <si>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</si>
  <si>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</si>
  <si>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</si>
  <si>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</si>
  <si>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</si>
  <si>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</si>
  <si>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</si>
  <si>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</si>
  <si>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</si>
  <si>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</si>
  <si>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</si>
  <si>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</si>
  <si>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</si>
  <si>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</si>
  <si>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</si>
  <si>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</si>
  <si>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</si>
  <si>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</si>
  <si>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</si>
  <si>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</si>
  <si>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</si>
  <si>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</si>
  <si>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</si>
  <si>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</si>
  <si>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</si>
  <si>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</si>
  <si>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</si>
  <si>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</si>
  <si>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</si>
  <si>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</si>
  <si>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</si>
  <si>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</si>
  <si>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</si>
  <si>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</si>
  <si>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</si>
  <si>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</si>
  <si>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</si>
  <si>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</si>
  <si>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</si>
  <si>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</si>
  <si>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</si>
  <si>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</si>
  <si>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</si>
  <si>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</si>
  <si>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</si>
  <si>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</si>
  <si>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</si>
  <si>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</si>
  <si>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</si>
  <si>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</si>
  <si>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</si>
  <si>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</si>
  <si>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</si>
  <si>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</si>
  <si>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</si>
  <si>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</si>
  <si>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</si>
  <si>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</si>
  <si>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</si>
  <si>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</si>
  <si>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</si>
  <si>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</si>
  <si>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</si>
  <si>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</si>
  <si>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</si>
  <si>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</si>
  <si>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</si>
  <si>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</si>
  <si>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</si>
  <si>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</si>
  <si>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</si>
  <si>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</si>
  <si>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</si>
  <si>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</si>
  <si>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</si>
  <si>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</si>
  <si>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</si>
  <si>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</si>
  <si>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</si>
  <si>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</si>
  <si>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</si>
  <si>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</si>
  <si>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</si>
  <si>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</si>
  <si>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</si>
  <si>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</si>
  <si>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</si>
  <si>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</si>
  <si>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</si>
  <si>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</si>
  <si>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</si>
  <si>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</si>
  <si>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</si>
  <si>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</si>
  <si>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</si>
  <si>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</si>
  <si>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</si>
  <si>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</si>
  <si>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</si>
  <si>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</si>
  <si>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</si>
  <si>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</si>
  <si>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</si>
  <si>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</si>
  <si>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</si>
  <si>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</si>
  <si>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</si>
  <si>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</si>
  <si>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</si>
  <si>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</si>
  <si>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</si>
  <si>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</si>
  <si>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</si>
  <si>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</si>
  <si>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</si>
  <si>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</si>
  <si>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</si>
  <si>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</si>
  <si>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</si>
  <si>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</si>
  <si>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</si>
  <si>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</si>
  <si>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</si>
  <si>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</si>
  <si>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</si>
  <si>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</si>
  <si>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</si>
  <si>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</si>
  <si>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</si>
  <si>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</si>
  <si>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</si>
  <si>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</si>
  <si>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</si>
  <si>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</si>
  <si>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</si>
  <si>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</si>
  <si>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</si>
  <si>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</si>
  <si>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</si>
  <si>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</si>
  <si>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</si>
  <si>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</si>
  <si>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</si>
  <si>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</si>
  <si>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</si>
  <si>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</si>
  <si>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</si>
  <si>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</si>
  <si>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</si>
  <si>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</si>
  <si>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</si>
  <si>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</si>
  <si>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</si>
  <si>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</si>
  <si>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</si>
  <si>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</si>
  <si>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</si>
  <si>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</si>
  <si>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</si>
  <si>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</si>
  <si>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</si>
  <si>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</si>
  <si>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</si>
  <si>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</si>
  <si>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</si>
  <si>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</si>
  <si>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</si>
  <si>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</si>
  <si>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</si>
  <si>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Prehľad o peňažných tokoch</t>
  </si>
  <si>
    <t>(v EUR)</t>
  </si>
  <si>
    <t>Označe-nie</t>
  </si>
  <si>
    <t>Text</t>
  </si>
  <si>
    <t>Účtovné obdobie</t>
  </si>
  <si>
    <t>bežné</t>
  </si>
  <si>
    <t>predchádzajúce</t>
  </si>
  <si>
    <t>Z/S</t>
  </si>
  <si>
    <t>Výsledok hospodárenia z bežnej činnosti pred zdanením daňou z príjmov</t>
  </si>
  <si>
    <t>A.1.</t>
  </si>
  <si>
    <t>Nepeňažné operácie ovplyvňujúce hospodársky výsledok z bežnej činnosti</t>
  </si>
  <si>
    <t>A.1.1.</t>
  </si>
  <si>
    <t>Odpisy dlhodobého nehmotného majetku a dlhodobého hmotného majetku</t>
  </si>
  <si>
    <t>A.1.2.</t>
  </si>
  <si>
    <t>Zostatková hodnota dlhodobého nehmotného a hmotného majetku účtovaná pri vyradení (s výnimkou predaja)</t>
  </si>
  <si>
    <t>A.1.3.</t>
  </si>
  <si>
    <t>Odpis opravnej položky k nadobutnutému majetku</t>
  </si>
  <si>
    <t>A.1.4.</t>
  </si>
  <si>
    <t>Zmena stavu dlhodobých rezerv</t>
  </si>
  <si>
    <t>A.1.5.</t>
  </si>
  <si>
    <t>Zmena stavu opravných položiek</t>
  </si>
  <si>
    <t>A.1.6.</t>
  </si>
  <si>
    <t>Zmena stavu položiek časového rozlíšenia nákladov a výnosov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</si>
  <si>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</si>
  <si>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</si>
  <si>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</si>
  <si>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</si>
  <si>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</si>
  <si>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</si>
  <si>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</si>
  <si>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Kurzový zisk vyčíslený k peňažným prostriedkom a peňažným ekvivalentom ku dňu účt. závierky</t>
  </si>
  <si>
    <t>A.1.11.</t>
  </si>
  <si>
    <t>Kurzová strata vyčíslená k peňažným prostriedkom a peňažným ekvivalentom ku dňu účt. závierky</t>
  </si>
  <si>
    <t>A.1.12.</t>
  </si>
  <si>
    <t>Výsledok z predaja dlhodobého majetku s výnimkou majetku, ktorý sa považuje za peňažný ekvivalent</t>
  </si>
  <si>
    <t>A.1.13.</t>
  </si>
  <si>
    <t>Ostatné položky nepeňažného charakteru</t>
  </si>
  <si>
    <t>A.2.</t>
  </si>
  <si>
    <t>Vplyv zmien stavu pracovného kapitálu</t>
  </si>
  <si>
    <t>A.2.1.</t>
  </si>
  <si>
    <t>Zmena stavu pohľadávok z prevádzkovej činnosti</t>
  </si>
  <si>
    <t>A.2.2.</t>
  </si>
  <si>
    <t>Zmena stavu záväzkov z prevádzkovej činnosti</t>
  </si>
  <si>
    <t>A.2.3.</t>
  </si>
  <si>
    <t>Zmena stavu zásob</t>
  </si>
  <si>
    <t>A.2.4.</t>
  </si>
  <si>
    <t>Zmena stavu krátkodobého finančného majetku s výnimkou majetku, ktorý je súčasťou peň. prostriedkov</t>
  </si>
  <si>
    <t>A.3.</t>
  </si>
  <si>
    <t>Prijaté úroky, s výnimkou tých, ktoré sa začleňujú do investičných činností</t>
  </si>
  <si>
    <t>A.4.</t>
  </si>
  <si>
    <t>Výdavky na zaplatené úroky, s výnimkou tých, ktoré sa začleňujú do finančných činností</t>
  </si>
  <si>
    <t>A.5.</t>
  </si>
  <si>
    <t>Príjmy z dividend a iných podielov na zisku, s výnimkou tých, ktoré sa začleňujú do investičných činností</t>
  </si>
  <si>
    <t>A.6.</t>
  </si>
  <si>
    <t>Výdavky na vyplatené dividendy a iné podiely na zisku, s výnimkou tých, ktoré sa začleňujú do fin.činností</t>
  </si>
  <si>
    <t>A.7.</t>
  </si>
  <si>
    <t>Výdavky na daň z príjmov účtovnej jednotky, s výnimkou tých, ktoré sa začleňujú do inv.alebo fin.činností</t>
  </si>
  <si>
    <t>A.8.</t>
  </si>
  <si>
    <t>Príjmy mimoriadneho charakteru vzťahujúce sa na prevádzkovú činnosť</t>
  </si>
  <si>
    <t>A.9.</t>
  </si>
  <si>
    <t>Výdavky mimoriadneho charakteru vzťahujúce sa na prevádzkovú činnosť</t>
  </si>
  <si>
    <t>Čisté peňažné toky z prevádzkovej činnosti</t>
  </si>
  <si>
    <t>Výdavky na obstaranie dlhodobého nehmotného majetku</t>
  </si>
  <si>
    <t>B.2.</t>
  </si>
  <si>
    <t>Výdavky na obstaranie dlhodobého hmotného majetku</t>
  </si>
  <si>
    <t>B.3.</t>
  </si>
  <si>
    <t>Výdavky na obstaranie dlhodobých cenných papierov a podielov v iných účtovných jednotkách</t>
  </si>
  <si>
    <t>B.4.</t>
  </si>
  <si>
    <t>Príjmy z predaja dlhodobého nehmotného majetku</t>
  </si>
  <si>
    <t>B.5.</t>
  </si>
  <si>
    <t>Príjmy z predaja dlhodobého hmotného majetku</t>
  </si>
  <si>
    <t>B.6.</t>
  </si>
  <si>
    <t>Príjmy z predaja dlhodobých cenných papierov a podielov v iných účtovných jednotkách</t>
  </si>
  <si>
    <t>B.7.</t>
  </si>
  <si>
    <t>Výdavky na dlhodobé pôžičky poskytnuté účtovnou jednotkou inej účtovnej jednotke v skupine</t>
  </si>
  <si>
    <t xml:space="preserve">B.8. </t>
  </si>
  <si>
    <t>Príjmy zo splácania dlhodobých pôžičiek poskytnutých účtovnou jednotkou inej účtovnej jednotke v skupine</t>
  </si>
  <si>
    <t>B.9.</t>
  </si>
  <si>
    <t>Výdavky na dlhodobé pôžičky poskytnuté účtovnou jednotkou tretím osobám</t>
  </si>
  <si>
    <t>B.10.</t>
  </si>
  <si>
    <t>Príjmy zo splácania dlhodobých pôžičiek poskytnutých účtovnou jednotkou tretím osobám</t>
  </si>
  <si>
    <t>B.11</t>
  </si>
  <si>
    <t>Prijaté úroky, s výnimkou tých, ktoré sa začleňujú do prevádzkových činností</t>
  </si>
  <si>
    <t>B.12.</t>
  </si>
  <si>
    <t>Príjmy z dividend a iných podielov na zisku, s výnimkou tých, ktoré sa začleňujú do prevádzkových činností</t>
  </si>
  <si>
    <t>B.13.</t>
  </si>
  <si>
    <t>Výdavky súvisiace s derivátmi s výnimkou, ak sú určené na predaj alebo na obchodovanie</t>
  </si>
  <si>
    <t>B.14.</t>
  </si>
  <si>
    <t>Príjmy súvisiace s derivátmi s výnimkou, ak sú určené na predaj alebo na obchodovanie</t>
  </si>
  <si>
    <t>B.15.</t>
  </si>
  <si>
    <r>
      <t>Výdavky na daň z príjmov účtovnej jednotky, ak je ju</t>
    </r>
    <r>
      <rPr>
        <sz val="14"/>
        <color indexed="12"/>
        <rFont val="Arial CE"/>
        <family val="2"/>
        <charset val="238"/>
      </rPr>
      <t xml:space="preserve"> </t>
    </r>
    <r>
      <rPr>
        <sz val="14"/>
        <rFont val="Arial CE"/>
        <family val="2"/>
        <charset val="238"/>
      </rPr>
      <t>možné začleniť do investičných činností</t>
    </r>
  </si>
  <si>
    <t>B.16.</t>
  </si>
  <si>
    <t>Príjmy mimoriadneho charakteru vzťahujúce sa na investičnú činnosť</t>
  </si>
  <si>
    <t>B.17.</t>
  </si>
  <si>
    <t>Výdavky mimoriadneho charakteru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</si>
  <si>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</si>
  <si>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</si>
  <si>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</si>
  <si>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</si>
  <si>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Čisté peňažné toky z investičnej činnosti</t>
  </si>
  <si>
    <t>Peňažné toky vo vlastnom imaní</t>
  </si>
  <si>
    <t>C.1.1.</t>
  </si>
  <si>
    <t>Príjmy z upísaných akcií a obchodných podielov</t>
  </si>
  <si>
    <t>C.1.2.</t>
  </si>
  <si>
    <t>Príjmy z ďalších vkladov do vlastného imania spoločníkmi alebo fyzickou osobou</t>
  </si>
  <si>
    <t>C.1.3.</t>
  </si>
  <si>
    <t>Prijaté peňažné dary</t>
  </si>
  <si>
    <t>C.1.4.</t>
  </si>
  <si>
    <t>Príjmy z úhrady straty spoločníkmi</t>
  </si>
  <si>
    <t>C.1.5</t>
  </si>
  <si>
    <t>Výdavky na obstaranie alebo spätné odkúpenie vlastných akcií a vlastných podielov</t>
  </si>
  <si>
    <t>C.1.6.</t>
  </si>
  <si>
    <t>Výdavky spojené so znížením fondov vytvorených účtovnou jednotkou</t>
  </si>
  <si>
    <t>C.1.7.</t>
  </si>
  <si>
    <t>Výdavky na vyplatenie podielu na vlastnom imaní spoločníkmi účtovnej jednotky a fyzickou osobou</t>
  </si>
  <si>
    <t>C.1.8.</t>
  </si>
  <si>
    <t>Výdavky z iných dôvodov, ktoré súvisia so znížením vlastného imania</t>
  </si>
  <si>
    <t>C.2.</t>
  </si>
  <si>
    <t>Peňažné toky vznikajúce z dlhodobých záväzkov a krátkodobých záväzkov z finančnej činnosti</t>
  </si>
  <si>
    <t>C.2.1.</t>
  </si>
  <si>
    <t>Príjmy z emisie dlhodobých cenných papierov</t>
  </si>
  <si>
    <t>C.2.2.</t>
  </si>
  <si>
    <t>Výdavky na úhradu záväzkov z dlhodobých cenných papierov</t>
  </si>
  <si>
    <t>C.2.3.</t>
  </si>
  <si>
    <t>Príjmy z úverov, ktoré účtovnej jednotke poskytla banka s výnimkou úverov poskytnutých na hlavnú činnosť</t>
  </si>
  <si>
    <t>C.2.4.</t>
  </si>
  <si>
    <t>Výdavky na splácanie úverov s výnimkou úverov poskytnutých na hlavnú činnosť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</si>
  <si>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</si>
  <si>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</si>
  <si>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</si>
  <si>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</si>
  <si>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</si>
  <si>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 ktorý je predmetom zmluvy o kúpe prenajatej veci</t>
  </si>
  <si>
    <t>C.2.8.</t>
  </si>
  <si>
    <t>Príjmy z ostatných dlhodobých a krátkodobých záväzkov vyplývajúcich z finančnej činnosti</t>
  </si>
  <si>
    <t>C.2.9.</t>
  </si>
  <si>
    <t>Výdavky na splácanie ostatných dlhodobých a krátkodobých záväzkov z finančnej činnosti</t>
  </si>
  <si>
    <t>C.3.</t>
  </si>
  <si>
    <t>Výdavky na zaplatené úroky, s výnimkou tých, ktoré sa začleňujú do prevádzkových činností</t>
  </si>
  <si>
    <t>C.4.</t>
  </si>
  <si>
    <t>Výdavky na vyplatené dividendy a iné podiely na zisku, s výnimkou tých, ktoré sa začleňujú do prev.činností</t>
  </si>
  <si>
    <t>C.5.</t>
  </si>
  <si>
    <t>Výdavky súvisiace s derivátmi s výnimkou, ak sú určené na predaj alebo na obchodovanie alebo na inv.činnosť</t>
  </si>
  <si>
    <t>C.6.</t>
  </si>
  <si>
    <t>Príjmy súvisiace s derivátmi s výnimkou, ak sú určené na predaj alebo na obchodovanie alebo na inv.činnosť</t>
  </si>
  <si>
    <t>C.7.</t>
  </si>
  <si>
    <t>Výdavky na daň z príjmov účtovnej jednotky, ak ich možno začleniť 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</si>
  <si>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</si>
  <si>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</si>
  <si>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</si>
  <si>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</si>
  <si>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Čisté peňažné toky z finančnej činnosti</t>
  </si>
  <si>
    <t>Čisté zvýšenie alebo čisté zníženie peňažných prostriedkov</t>
  </si>
  <si>
    <t>Stav peňažných prostriedkov a peňažných ekvivalentov na začiatku účtovného obdobia</t>
  </si>
  <si>
    <t>Stav peňažných prostriedkov a peňažných ekvivalentov na konci účtovného obdobia</t>
  </si>
  <si>
    <t>Kurzové rozdiely vyčíslené k peňažným prostriedkom a peňažným ekvivalentom ku dňu účtovnej závierke</t>
  </si>
  <si>
    <t>Zostatok peňažných prostriedkov a peňažných ekvivalentov na konci účtovného obdobia</t>
  </si>
  <si>
    <t>Musi byt NULA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</si>
  <si>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</si>
  <si>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</si>
  <si>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</si>
  <si>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</si>
  <si>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</si>
  <si>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za rok končiaci: 31.12.2012</t>
  </si>
  <si>
    <t>UVPOD1v11_1</t>
  </si>
  <si>
    <t>Súvaha Úč POD 1 - 01</t>
  </si>
  <si>
    <t>SÚVAHA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</si>
  <si>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</si>
  <si>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</si>
  <si>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</si>
  <si>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</si>
  <si>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</si>
  <si>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</si>
  <si>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</si>
  <si>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</si>
  <si>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</si>
  <si>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</si>
  <si>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</si>
  <si>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</si>
  <si>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</si>
  <si>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</si>
  <si>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</si>
  <si>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</si>
  <si>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</si>
  <si>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</si>
  <si>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</si>
  <si>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</si>
  <si>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</si>
  <si>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</si>
  <si>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</si>
  <si>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</si>
  <si>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</si>
  <si>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</si>
  <si>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</si>
  <si>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</si>
  <si>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</si>
  <si>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</si>
  <si>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</si>
  <si>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</si>
  <si>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</si>
  <si>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</si>
  <si>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</si>
  <si>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</si>
  <si>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</si>
  <si>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</si>
  <si>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</si>
  <si>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</si>
  <si>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</si>
  <si>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</si>
  <si>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</si>
  <si>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</si>
  <si>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</si>
  <si>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</si>
  <si>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</si>
  <si>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</si>
  <si>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</si>
  <si>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</si>
  <si>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</si>
  <si>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</si>
  <si>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</si>
  <si>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</si>
  <si>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</si>
  <si>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</si>
  <si>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</si>
  <si>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</si>
  <si>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</si>
  <si>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</si>
  <si>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</si>
  <si>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</si>
  <si>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</si>
  <si>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</si>
  <si>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</si>
  <si>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</si>
  <si>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</si>
  <si>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</si>
  <si>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</si>
  <si>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</si>
  <si>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</si>
  <si>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</si>
  <si>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</si>
  <si>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</si>
  <si>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</si>
  <si>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</si>
  <si>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</si>
  <si>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</si>
  <si>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</si>
  <si>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</si>
  <si>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</si>
  <si>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</si>
  <si>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</si>
  <si>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</si>
  <si>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</si>
  <si>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</si>
  <si>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</si>
  <si>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</si>
  <si>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</si>
  <si>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</si>
  <si>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</si>
  <si>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</si>
  <si>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</si>
  <si>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</si>
  <si>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</si>
  <si>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</si>
  <si>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</si>
  <si>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</si>
  <si>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</si>
  <si>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</si>
  <si>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</si>
  <si>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</si>
  <si>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</si>
  <si>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</si>
  <si>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</si>
  <si>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</si>
  <si>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</si>
  <si>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</si>
  <si>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</si>
  <si>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</si>
  <si>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</si>
  <si>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</si>
  <si>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</si>
  <si>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</si>
  <si>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</si>
  <si>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</si>
  <si>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</si>
  <si>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</si>
  <si>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</si>
  <si>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</si>
  <si>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</si>
  <si>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</si>
  <si>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</si>
  <si>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</si>
  <si>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</si>
  <si>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</si>
  <si>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</si>
  <si>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</si>
  <si>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</si>
  <si>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</si>
  <si>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</si>
  <si>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</si>
  <si>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</si>
  <si>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</si>
  <si>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</si>
  <si>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</si>
  <si>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</si>
  <si>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</si>
  <si>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</si>
  <si>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</si>
  <si>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</si>
  <si>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</si>
  <si>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</si>
  <si>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</si>
  <si>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</si>
  <si>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</si>
  <si>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</si>
  <si>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</si>
  <si>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</si>
  <si>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</si>
  <si>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</si>
  <si>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</si>
  <si>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</si>
  <si>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</si>
  <si>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</si>
  <si>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</si>
  <si>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</si>
  <si>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</si>
  <si>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</si>
  <si>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</si>
  <si>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</si>
  <si>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</si>
  <si>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</si>
  <si>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</si>
  <si>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</si>
  <si>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</si>
  <si>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</si>
  <si>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</si>
  <si>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</si>
  <si>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Dlhodobý
nehmotný majetok
súčet (r. 004 až
010)</t>
  </si>
  <si>
    <t>Neobežný majetok
r. 003 + r. 011
+ r. 021</t>
  </si>
  <si>
    <t>SPOLU MAJETOK
r. 002 + r. 030
+ r. 061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</si>
  <si>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</si>
  <si>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</si>
  <si>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</si>
  <si>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</si>
  <si>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</si>
  <si>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</si>
  <si>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</si>
  <si>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</si>
  <si>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</si>
  <si>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</si>
  <si>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</si>
  <si>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</si>
  <si>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</si>
  <si>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</si>
  <si>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</si>
  <si>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</si>
  <si>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</si>
  <si>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</si>
  <si>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</si>
  <si>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</si>
  <si>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</si>
  <si>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</si>
  <si>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</si>
  <si>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</si>
  <si>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</si>
  <si>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</si>
  <si>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</si>
  <si>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</si>
  <si>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</si>
  <si>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</si>
  <si>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</si>
  <si>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</si>
  <si>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</si>
  <si>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</si>
  <si>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</si>
  <si>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</si>
  <si>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</si>
  <si>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</si>
  <si>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</si>
  <si>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</si>
  <si>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</si>
  <si>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</si>
  <si>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</si>
  <si>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</si>
  <si>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</si>
  <si>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</si>
  <si>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</si>
  <si>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</si>
  <si>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</si>
  <si>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</si>
  <si>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</si>
  <si>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</si>
  <si>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</si>
  <si>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</si>
  <si>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</si>
  <si>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</si>
  <si>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</si>
  <si>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</si>
  <si>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</si>
  <si>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</si>
  <si>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</si>
  <si>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</si>
  <si>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</si>
  <si>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</si>
  <si>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</si>
  <si>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</si>
  <si>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</si>
  <si>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</si>
  <si>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</si>
  <si>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e-mail :</t>
  </si>
  <si>
    <t>Fax number :</t>
  </si>
  <si>
    <t>Name :</t>
  </si>
  <si>
    <t>or a person that is the accounting entity :</t>
  </si>
  <si>
    <t>Phone number :</t>
  </si>
  <si>
    <t>Name of statutory representative</t>
  </si>
  <si>
    <t>Phone area code :</t>
  </si>
  <si>
    <t>for preparing of financial statements :</t>
  </si>
  <si>
    <t>City</t>
  </si>
  <si>
    <t>Person responsible</t>
  </si>
  <si>
    <t>ZIP</t>
  </si>
  <si>
    <t>for accounting :</t>
  </si>
  <si>
    <t>Street No.</t>
  </si>
  <si>
    <t>Entity address:</t>
  </si>
  <si>
    <t>Approved on:</t>
  </si>
  <si>
    <t>INO ("IČO") :</t>
  </si>
  <si>
    <t>Prepared on:</t>
  </si>
  <si>
    <t>DIČ :</t>
  </si>
  <si>
    <t>Year:</t>
  </si>
  <si>
    <t>Month :</t>
  </si>
  <si>
    <t>Report :</t>
  </si>
  <si>
    <t>End of period</t>
  </si>
  <si>
    <t>approved</t>
  </si>
  <si>
    <t>Start of period</t>
  </si>
  <si>
    <t>prepared</t>
  </si>
  <si>
    <t>Previous period :</t>
  </si>
  <si>
    <t>Type of delivery :</t>
  </si>
  <si>
    <t>End - year</t>
  </si>
  <si>
    <t>End - date</t>
  </si>
  <si>
    <t>Year :</t>
  </si>
  <si>
    <t>extraordinary</t>
  </si>
  <si>
    <t>ordinary</t>
  </si>
  <si>
    <t>Curent period :</t>
  </si>
  <si>
    <t>CLIENT</t>
  </si>
  <si>
    <t>Input data for statutory reports</t>
  </si>
  <si>
    <t>Informácie o počte zamestnancov</t>
  </si>
  <si>
    <t>Informácie o štruktúre spoločníkov/akcionárov ku dňu, ku ktorému sa zostavuje účtovná závierka a o štruktúre spoločníkov/akcionárov do dňa jej zmeny v priebehu účtovného obdobia</t>
  </si>
  <si>
    <t>2.1</t>
  </si>
  <si>
    <r>
      <t>3.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VŠEOBECNÉ ÚČTOVNÉ ZÁSADY A METÓDY</t>
    </r>
  </si>
  <si>
    <r>
      <t>2.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u/>
        <sz val="10"/>
        <color theme="1"/>
        <rFont val="Arial"/>
        <family val="2"/>
        <charset val="238"/>
      </rPr>
      <t>ZÁKLADNÉ VÝCHODISKÁ PRE ZOSTAVENIE ÚČTOVNEJ ZÁVIERKY</t>
    </r>
  </si>
  <si>
    <r>
      <t>1.      </t>
    </r>
    <r>
      <rPr>
        <b/>
        <u/>
        <sz val="10"/>
        <color theme="1"/>
        <rFont val="Arial"/>
        <family val="2"/>
        <charset val="238"/>
      </rPr>
      <t>POPIS SPOLOČNOSTI</t>
    </r>
  </si>
  <si>
    <t>a)    Dlhodobý nehmotný majetok</t>
  </si>
  <si>
    <t>Nakupovaný dlhodobý nehmotný majetok sa oceňuje v obstarávacích cenách, ktoré obsahujú cenu obstarania a náklady súvisiace s jeho obstaraním.</t>
  </si>
  <si>
    <t>Odpisovanie</t>
  </si>
  <si>
    <t>Dlhodobý nehmotný majetok sa odpisuje do nákladov počas predpokladanej doby životnosti príslušného majetku. Predpokladaná  doba používania, metóda odpisovania a odpisová  sadzba sú  stanovené pre jednotlivé skupiny dlhodobého nehmotného majetku  nasledovne:</t>
  </si>
  <si>
    <t>Predpokladaná doba používania</t>
  </si>
  <si>
    <t>Ročná odpisová sadzba</t>
  </si>
  <si>
    <t>-</t>
  </si>
  <si>
    <t>Metóda     odpisovania</t>
  </si>
  <si>
    <t>V prípade prechodného zníženia úžitkovej hodnoty dlhodobého nehmotného majetku sa tvorí opravná položka vo výške rozdielu jeho zistenej úžitkovej hodnoty a zostatkovej hodnoty.</t>
  </si>
  <si>
    <t>b)    Dlhodobý hmotný majetok</t>
  </si>
  <si>
    <t>Nakupovaný dlhodobý hmotný majetok sa oceňuje v obstarávacích cenách, ktoré zahŕňajú cenu obstarania, náklady na dopravu, clo a ďalšie náklady súvisiace s obstaraním.</t>
  </si>
  <si>
    <t>Náklady na technické zhodnotenie dlhodobého hmotného majetku zvyšujú jeho obstarávaciu cenu. Opravy a údržba sa účtujú do nákladov.</t>
  </si>
  <si>
    <t>Stroje, prístroje a zariadenia</t>
  </si>
  <si>
    <t>Dopravné prostriedky</t>
  </si>
  <si>
    <t>Inventár</t>
  </si>
  <si>
    <t>Iný dlhodobý hmotný majetok</t>
  </si>
  <si>
    <t>Dlhodobý hmotný majetok sa odpisuje do nákladov počas predpokladanej doby životnosti príslušného majetku. Predpokladaná doba používania, metóda odpisovania a odpisová sadzba sú stanovené pre jednotlivé skupiny dlhodobého hmotného majetku  nasledovne:</t>
  </si>
  <si>
    <t>V prípade prechodného zníženia úžitkovej hodnoty dlhodobého hmotného majetku sa tvorí opravná položka vo výške rozdielu jeho zistenej úžitkovej hodnoty a zostatkovej hodnoty.</t>
  </si>
  <si>
    <t xml:space="preserve">V prípade prechodného zníženia úžitkovej hodnoty zásob sa tvorí  opravná položka. </t>
  </si>
  <si>
    <t>d)    Zásoby</t>
  </si>
  <si>
    <t>c)    Finančný majetok</t>
  </si>
  <si>
    <t>Náklady budúcich období a príjmy budúcich období sa oceňujú ich menovitou hodnotou, pričom sa vykazujú vo výške, ktorá je potrebná na dodržanie zásady vecnej a časovej súvislosti s účtovným obdobím.</t>
  </si>
  <si>
    <t>Dlhodobé, krátkodobé úvery sa vykazujú v menovitej hodnote. Za krátkodobý úver sa považuje aj časť dlhodobých úverov, ktorá je splatná do jedného roka od súvahového dňa.</t>
  </si>
  <si>
    <t>Rezervy sú záväzky s neurčitým časovým vymedzením alebo výškou, tvoria sa na krytie  známych rizík alebo strát z podnikania. Oceňujú sa v očakávanej výške záväzku.</t>
  </si>
  <si>
    <t>Výdavky budúcich období a výnosy budúcich období sa oceňujú ich menovitou hodnotou, pričom sa vykazujú vo výške, ktorá je potrebná na dodržanie zásady vecnej a časovej súvislosti s účtovným obdobím.</t>
  </si>
  <si>
    <t>Transakcie v cudzej mene sa prepočítavajú na eurá referenčným výmenným kurzom určeným a vyhláseným Európskou centrálnou bankou alebo Národnou bankou Slovenska v deň predchádzajúci dňu uskutočnenia účtovného prípadu.</t>
  </si>
  <si>
    <t>Peňažné aktíva a pasíva vyjadrené v cudzej mene sa prepočítavajú kurzom platným ku dňu zostavenia účtovnej závierky. Vzniknuté kurzové rozdiely sa vykazujú vo výkaze ziskov a strát.</t>
  </si>
  <si>
    <t xml:space="preserve">Kúpa a predaj cudzej meny sa prepočítava na euro kurzom, za ktorý boli tieto hodnoty nakúpené alebo predané.  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</si>
  <si>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</si>
  <si>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>dočasné rozdiely medzi účtovnou hodnotou majetku a účtovnou hodnotou záväzkov vykázanou v súvahe a ich daňovou základňou,</t>
  </si>
  <si>
    <t>možnosť previesť nevyužité daňové odpočty a iné daňové nároky do budúcich období.</t>
  </si>
  <si>
    <t>O odloženom daňovom záväzku účtuje spoločnosť vždy, o pohľadávke účtuje, ak je realizovateľná.</t>
  </si>
  <si>
    <r>
      <t>4.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DLHODOBÝ MAJETOK</t>
    </r>
  </si>
  <si>
    <t>Informácie o opravných položkách k zásobám</t>
  </si>
  <si>
    <t xml:space="preserve">Zúčtovanie OP z dôvodu zániku opodstat-
nenosti
</t>
  </si>
  <si>
    <r>
      <t xml:space="preserve">5.      </t>
    </r>
    <r>
      <rPr>
        <b/>
        <u/>
        <sz val="10"/>
        <color theme="1"/>
        <rFont val="Arial"/>
        <family val="2"/>
        <charset val="238"/>
      </rPr>
      <t>ZÁSOBY</t>
    </r>
  </si>
  <si>
    <t>Informácie o vývoji opravnej položky k pohľadávkam</t>
  </si>
  <si>
    <t>Informácie o vekovej štruktúre pohľadávok</t>
  </si>
  <si>
    <t>16.2</t>
  </si>
  <si>
    <t>Informácie o krátkodobom finančnom majetku</t>
  </si>
  <si>
    <t>Informácie o významných položkách časového rozlíšenia</t>
  </si>
  <si>
    <t>Informácie o rozdelení účtovného zisku alebo o vysporiadaní účtovnej straty</t>
  </si>
  <si>
    <t>24.2.</t>
  </si>
  <si>
    <t>Informácie o zmenách vlastného imania</t>
  </si>
  <si>
    <t>24.3</t>
  </si>
  <si>
    <t>24.4</t>
  </si>
  <si>
    <t>Informácie o rezervách</t>
  </si>
  <si>
    <t>25.1</t>
  </si>
  <si>
    <t>25.2</t>
  </si>
  <si>
    <t>Informácie o záväzkoch</t>
  </si>
  <si>
    <t>Informácie o záväzkoch zo sociálneho fondu</t>
  </si>
  <si>
    <t>Revenues from merchandise (604,607)</t>
  </si>
  <si>
    <t>Tržby</t>
  </si>
  <si>
    <t>Informácie o tržbách</t>
  </si>
  <si>
    <t>Informácie o čistom obrate</t>
  </si>
  <si>
    <t>Náklady</t>
  </si>
  <si>
    <t>Informácie o nákladoch</t>
  </si>
  <si>
    <t>Dane z príjmov</t>
  </si>
  <si>
    <t>Informácie o daniach z príjmov</t>
  </si>
  <si>
    <t>Daň v %</t>
  </si>
  <si>
    <t>Informácie o ekonomických vzťahoch medzi účtovnou jednotkou a spriaznenými osobami</t>
  </si>
  <si>
    <t>46.1</t>
  </si>
  <si>
    <t>strana</t>
  </si>
  <si>
    <r>
      <t xml:space="preserve">Please </t>
    </r>
    <r>
      <rPr>
        <b/>
        <i/>
        <sz val="8"/>
        <color indexed="10"/>
        <rFont val="Arial"/>
        <family val="2"/>
      </rPr>
      <t>read</t>
    </r>
    <r>
      <rPr>
        <i/>
        <sz val="8"/>
        <color indexed="10"/>
        <rFont val="Arial"/>
        <family val="2"/>
      </rPr>
      <t xml:space="preserve"> carefully comments for writing data in </t>
    </r>
    <r>
      <rPr>
        <b/>
        <i/>
        <sz val="8"/>
        <color indexed="10"/>
        <rFont val="Arial"/>
        <family val="2"/>
      </rPr>
      <t>correct</t>
    </r>
    <r>
      <rPr>
        <i/>
        <sz val="8"/>
        <color indexed="10"/>
        <rFont val="Arial"/>
        <family val="2"/>
      </rPr>
      <t xml:space="preserve"> format</t>
    </r>
  </si>
  <si>
    <r>
      <t xml:space="preserve">Name of entity </t>
    </r>
    <r>
      <rPr>
        <b/>
        <sz val="8"/>
        <rFont val="Arial"/>
        <family val="2"/>
        <charset val="238"/>
      </rPr>
      <t>(including legal form)</t>
    </r>
    <r>
      <rPr>
        <b/>
        <sz val="8"/>
        <rFont val="Arial"/>
        <family val="2"/>
      </rPr>
      <t xml:space="preserve"> :</t>
    </r>
  </si>
  <si>
    <t>Metóda odpisovania</t>
  </si>
  <si>
    <t>#</t>
  </si>
  <si>
    <r>
      <t>KONTROLA SUC</t>
    </r>
    <r>
      <rPr>
        <sz val="8"/>
        <color theme="1"/>
        <rFont val="Arial"/>
        <family val="2"/>
        <charset val="238"/>
      </rPr>
      <t>T</t>
    </r>
    <r>
      <rPr>
        <b/>
        <sz val="8"/>
        <color theme="1"/>
        <rFont val="Arial"/>
        <family val="2"/>
        <charset val="238"/>
      </rPr>
      <t>OV</t>
    </r>
  </si>
  <si>
    <t>Informácie o dlhodobom hmotnom majetku</t>
  </si>
  <si>
    <t>5.1</t>
  </si>
  <si>
    <t>Pestovateľ-  ské celky 
trvalých porastov</t>
  </si>
  <si>
    <t>5.2</t>
  </si>
  <si>
    <t xml:space="preserve">Poznámky Úč POD 3 - 04 </t>
  </si>
  <si>
    <t>POZNÁMKY</t>
  </si>
  <si>
    <t xml:space="preserve">individuálnej účtovnej závierky </t>
  </si>
  <si>
    <t>v</t>
  </si>
  <si>
    <t>eurocentoch</t>
  </si>
  <si>
    <t>v celých eurách *)</t>
  </si>
  <si>
    <t>Za obdobie od</t>
  </si>
  <si>
    <t xml:space="preserve">Bezprostredne predchádzajúce obdobie od </t>
  </si>
  <si>
    <t>mesiac</t>
  </si>
  <si>
    <t>rok</t>
  </si>
  <si>
    <t>Dátum vzniku účtovnej  jednotky</t>
  </si>
  <si>
    <t>Účtovná závierka *)</t>
  </si>
  <si>
    <t>priebežná</t>
  </si>
  <si>
    <t xml:space="preserve">IČO </t>
  </si>
  <si>
    <t xml:space="preserve">Kód SK NACE </t>
  </si>
  <si>
    <t>Názov obce</t>
  </si>
  <si>
    <t>Číslo faxu</t>
  </si>
  <si>
    <t xml:space="preserve"> /</t>
  </si>
  <si>
    <t>*)  Vyznačuje sa krížikom  X</t>
  </si>
  <si>
    <t>46.2</t>
  </si>
  <si>
    <t>VITANA, a.s.</t>
  </si>
  <si>
    <t>Konatel</t>
  </si>
  <si>
    <t>Konatel:</t>
  </si>
  <si>
    <t>Jerzy Gregorz Zalopa</t>
  </si>
  <si>
    <t>rovnomerne</t>
  </si>
  <si>
    <t>Finančné náklady</t>
  </si>
  <si>
    <t>Poistenie</t>
  </si>
  <si>
    <t>Ostatné náklady</t>
  </si>
  <si>
    <t xml:space="preserve">Náklady budúcich období krátkodobé,  z toho: </t>
  </si>
  <si>
    <t>Dobropis z titulu finančného lízingu</t>
  </si>
  <si>
    <t>Nevyčerpané dovolenky</t>
  </si>
  <si>
    <t>Letáky</t>
  </si>
  <si>
    <t>Dopravné</t>
  </si>
  <si>
    <t>Nevyfakt. dodávky tovaru</t>
  </si>
  <si>
    <t>Bonusy pre odberatelov</t>
  </si>
  <si>
    <t>Ostatní</t>
  </si>
  <si>
    <t>Kompletácia,skladovanie</t>
  </si>
  <si>
    <t>Nevyf.dodávky tovaru</t>
  </si>
  <si>
    <t>Rieber &amp; Son ASA</t>
  </si>
  <si>
    <t>01 - Nákup služieb</t>
  </si>
  <si>
    <t>Frödinge Mejeri AB</t>
  </si>
  <si>
    <t>01 - Nákup tovaru</t>
  </si>
  <si>
    <t>03 - Predaj služieb</t>
  </si>
  <si>
    <t>02 - Predaj tovaru</t>
  </si>
  <si>
    <t>BS '046 gross</t>
  </si>
  <si>
    <t>BS 106+103</t>
  </si>
  <si>
    <t>BS '031 gross</t>
  </si>
  <si>
    <t>BS '089</t>
  </si>
  <si>
    <t>BS '030 korekce</t>
  </si>
  <si>
    <t>BS '061 - BS 121</t>
  </si>
  <si>
    <t>TB ucet '042</t>
  </si>
  <si>
    <t>Marketingové  služby</t>
  </si>
  <si>
    <t>prepravné tovaru</t>
  </si>
  <si>
    <t>Nájomné áut</t>
  </si>
  <si>
    <t>Služby výpočetnej techniky</t>
  </si>
  <si>
    <t>Nájomné</t>
  </si>
  <si>
    <t>Opravy a údržba</t>
  </si>
  <si>
    <t>Telekomunikácie</t>
  </si>
  <si>
    <t>Cestovné</t>
  </si>
  <si>
    <t>Školenie</t>
  </si>
  <si>
    <t>Ostatné služby</t>
  </si>
  <si>
    <t>Osobné náklady</t>
  </si>
  <si>
    <t>Manká a škody</t>
  </si>
  <si>
    <t>Zmluvné pokuty a penále</t>
  </si>
  <si>
    <t>Odpis pohladávok</t>
  </si>
  <si>
    <t>Opravná položka k pohladávkám</t>
  </si>
  <si>
    <t>Ostatné</t>
  </si>
  <si>
    <t>Bankové poplatky</t>
  </si>
  <si>
    <t>Nákladové úroky</t>
  </si>
  <si>
    <t>Poistné</t>
  </si>
  <si>
    <t>Ostatné finančné náklady</t>
  </si>
  <si>
    <t>Mimoriadné náklady</t>
  </si>
  <si>
    <t>Orkla ASA</t>
  </si>
  <si>
    <t>Orkla SSC</t>
  </si>
  <si>
    <t>Domáce</t>
  </si>
  <si>
    <t>Spoločnosť  nie je v žiadnom podniku neobmedzene ručiacim spoločníkom.</t>
  </si>
  <si>
    <t>Členovia štatutárnych orgánov k 31. decembru 2013:</t>
  </si>
  <si>
    <t xml:space="preserve">Účtovné zásady a metódy, ktoré spoločnosť používala pri zostavení účtovnej závierky za rok 2013 a 2012 sú nasledovné: </t>
  </si>
  <si>
    <t xml:space="preserve">Dlhodobý hmotný majetok získaný bezodplatne sa oceňuje reprodukčnou obstarávacou cenou a účtuje sa v prospech účtu ostatných kapitálových fondov. </t>
  </si>
  <si>
    <t>Krátkodobý finančný majetok tvoria ceniny, peniaze v hotovosti a na bankových účtoch.</t>
  </si>
  <si>
    <t>Nakupované zásoby sú ocenené obstarávacími cenami s použitím metódy váženého aritmetického priemeru. Obstarávacia cena zásob zahŕňa cenu obstarania a náklady súvisiace s ich obstaraním (náklady na prepravu, clo, provízie, atď.). Prijaté zľavy, diskonty, rabaty znižujú obstarávaciu cenu zásob.</t>
  </si>
  <si>
    <t xml:space="preserve">Zásoby vytvorené vlastnou činnosťou sa oceňujú vlastnými nákladmi. Vlastné náklady zahŕňajú priame materiálové a mzdové náklady a nepriame výrobné náklady. </t>
  </si>
  <si>
    <t>Pohľadávky sa oceňujú menovitou hodnotou. Postúpené pohľadávky a pohľadávky nadobudnuté vkladom do základného imania sa oceňujú obstarávacou cenou. Ocenenie pochybných pohľadávok sa upravuje na ich realizovateľnú hodnotu opravnými  položkami.</t>
  </si>
  <si>
    <t xml:space="preserve">Dlhodobé i krátkodobé záväzky sa vykazujú v menovitých hodnotách. </t>
  </si>
  <si>
    <t xml:space="preserve">Vlastné imanie sa skladá zo základného imania, zákonného rezervného fondu a výsledku hospodárenia v schvaľovacom konaní. </t>
  </si>
  <si>
    <t xml:space="preserve"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 </t>
  </si>
  <si>
    <t>Spoločnosť vytvára rezervný fond v súlade s § 124 Obchodného zákoníka.</t>
  </si>
  <si>
    <t>Majetok obstaraný formou operatívneho lízingu sa účtuje do nákladov počas doby trvania lízingovej zmluvy. Nájomné za majetok obstaraný formou operatívneho lízingu sa účtuje do nákladov rovnomerne počas doby trvania  zmluvy o prenájme.</t>
  </si>
  <si>
    <t>Náklad na daň z príjmov sa počíta pomocou platnej daňovej sadzby z účtovného zisku upraveného o trvalé alebo dočasne daňovo neuznateľné náklady a nezdaňované výnosy. Odložené dane (odložená daňová pohľadávka a odložený daňový záväzok)  sa vzťahujú na</t>
  </si>
  <si>
    <t>Ocenenie nadbytočných, zastaraných a nízkoobrátkových zásob sa znižuje na nižšiu úžitkovú hodnotu prostredníctvom opravných položiek. Opravnú položku stanovilo vedenie spoločnosti na základe interných pravidiel spoločnosti, ktoré vychádzajú z minimálnej doby trvanlivosti tovaru a porovnania výšky zásoby s predajnou prognózou.</t>
  </si>
  <si>
    <t>Základné imanie spoločnosti je zložené z jedného podielu plne upísaného a splateného, s nominálnou hodnotou 17 928 036 EUR.</t>
  </si>
  <si>
    <t xml:space="preserve">Informácie o odloženej daňovej pohľadávke </t>
  </si>
  <si>
    <t xml:space="preserve">Spoločnosť uskutočnila v priebehu účtovného obdobia transakcie s nasledujúcimi spriaznenými stranami:
• Rieber &amp; Son ASA, Nórsko
• VITANA, a.s., Česká republika
• Frödinge Mejeri AB, Švédsko
</t>
  </si>
  <si>
    <t xml:space="preserve">Prehľad o peňažných tokoch bol spracovaný nepriamou metódou. </t>
  </si>
  <si>
    <t xml:space="preserve">V roku 2013 a 2012 neboli konateľom a riadiacim pracovníkom poskytnuté žiadne pôžičky, záruky alebo zálohy. </t>
  </si>
  <si>
    <t>Po 31. decembri 2013 nenastali také udalosti, ktoré majú významný vplyv na verné zobrazenie skutočností uvádzaných v tejto účtovnej závierke.</t>
  </si>
  <si>
    <t>e)    Pohľadávky</t>
  </si>
  <si>
    <t>f)    Náklady budúcich období a príjmy budúcich období</t>
  </si>
  <si>
    <t xml:space="preserve">g)    Záväzky </t>
  </si>
  <si>
    <t xml:space="preserve">h)    Rezervy </t>
  </si>
  <si>
    <t>i)    Výdavky budúcich období a výnosy budúcich období</t>
  </si>
  <si>
    <t>j)    Vlastné imanie</t>
  </si>
  <si>
    <t>k)    Transakcie v cudzích menách</t>
  </si>
  <si>
    <t>l)    Výnosy</t>
  </si>
  <si>
    <t>m)   Operatívny lízing</t>
  </si>
  <si>
    <t>n)   Daň z príjmu</t>
  </si>
  <si>
    <t>a)   Dlhodobý hmotný majetok</t>
  </si>
  <si>
    <r>
      <t xml:space="preserve">6.      </t>
    </r>
    <r>
      <rPr>
        <b/>
        <u/>
        <sz val="10"/>
        <color theme="1"/>
        <rFont val="Arial"/>
        <family val="2"/>
        <charset val="238"/>
      </rPr>
      <t>POHĽADÁVKY</t>
    </r>
  </si>
  <si>
    <r>
      <t xml:space="preserve">7.      </t>
    </r>
    <r>
      <rPr>
        <b/>
        <u/>
        <sz val="10"/>
        <color theme="1"/>
        <rFont val="Arial"/>
        <family val="2"/>
        <charset val="238"/>
      </rPr>
      <t>FINANČNÉ ÚČTY</t>
    </r>
  </si>
  <si>
    <r>
      <t xml:space="preserve">8.      </t>
    </r>
    <r>
      <rPr>
        <b/>
        <u/>
        <sz val="10"/>
        <color theme="1"/>
        <rFont val="Arial"/>
        <family val="2"/>
        <charset val="238"/>
      </rPr>
      <t>ČASOVÉ ROZLÍŠENIE</t>
    </r>
  </si>
  <si>
    <r>
      <t xml:space="preserve">9.      </t>
    </r>
    <r>
      <rPr>
        <b/>
        <u/>
        <sz val="10"/>
        <color theme="1"/>
        <rFont val="Arial"/>
        <family val="2"/>
        <charset val="238"/>
      </rPr>
      <t>VLASTNÉ IMANIE</t>
    </r>
  </si>
  <si>
    <r>
      <t xml:space="preserve">10.      </t>
    </r>
    <r>
      <rPr>
        <b/>
        <u/>
        <sz val="10"/>
        <color theme="1"/>
        <rFont val="Arial"/>
        <family val="2"/>
        <charset val="238"/>
      </rPr>
      <t>REZERVY</t>
    </r>
  </si>
  <si>
    <r>
      <t xml:space="preserve">11.      </t>
    </r>
    <r>
      <rPr>
        <b/>
        <u/>
        <sz val="10"/>
        <color theme="1"/>
        <rFont val="Arial"/>
        <family val="2"/>
        <charset val="238"/>
      </rPr>
      <t>ZÁVÄZKY</t>
    </r>
  </si>
  <si>
    <r>
      <t>12.     </t>
    </r>
    <r>
      <rPr>
        <b/>
        <u/>
        <sz val="10"/>
        <color theme="1"/>
        <rFont val="Arial"/>
        <family val="2"/>
        <charset val="238"/>
      </rPr>
      <t>ODLOŽENÁ DAŇ Z PRÍJMOV</t>
    </r>
  </si>
  <si>
    <r>
      <t>13.     </t>
    </r>
    <r>
      <rPr>
        <b/>
        <u/>
        <sz val="10"/>
        <color theme="1"/>
        <rFont val="Arial"/>
        <family val="2"/>
        <charset val="238"/>
      </rPr>
      <t>LÍZING (SPOLOČNOSŤ JE NÁJOMCOM)</t>
    </r>
  </si>
  <si>
    <r>
      <t>14.     </t>
    </r>
    <r>
      <rPr>
        <b/>
        <u/>
        <sz val="10"/>
        <color theme="1"/>
        <rFont val="Arial"/>
        <family val="2"/>
        <charset val="238"/>
      </rPr>
      <t>VÝNOSY A NÁKLADY</t>
    </r>
  </si>
  <si>
    <r>
      <t>15.     </t>
    </r>
    <r>
      <rPr>
        <b/>
        <u/>
        <sz val="10"/>
        <color theme="1"/>
        <rFont val="Arial"/>
        <family val="2"/>
        <charset val="238"/>
      </rPr>
      <t>INFORMÁCIE O SPRIAZNENÝCH OSOBÁCH</t>
    </r>
  </si>
  <si>
    <r>
      <t>16.     </t>
    </r>
    <r>
      <rPr>
        <b/>
        <u/>
        <sz val="10"/>
        <color theme="1"/>
        <rFont val="Arial"/>
        <family val="2"/>
        <charset val="238"/>
      </rPr>
      <t xml:space="preserve">PREHĽAD O PEŇAŽNÝCH TOKOCH </t>
    </r>
  </si>
  <si>
    <r>
      <t>17.     </t>
    </r>
    <r>
      <rPr>
        <b/>
        <u/>
        <sz val="10"/>
        <color theme="1"/>
        <rFont val="Arial"/>
        <family val="2"/>
        <charset val="238"/>
      </rPr>
      <t>VÝZNAMNÉ UDALOSTI, KTORÉ NASTALI PO DNI, KU KTORÉMU SA ZOSTAVUJE ÚČTOVNÁ ZÁVIERKA</t>
    </r>
  </si>
  <si>
    <t>Majetok prenajatý spoločnosťou formou operatívneho lízingu k 31. decembru 2013 a 31. decembru 2012:</t>
  </si>
  <si>
    <t>Popis</t>
  </si>
  <si>
    <t>Osobné automobily</t>
  </si>
  <si>
    <t>Doba leasingu</t>
  </si>
  <si>
    <t>Výška nájomného v roku 2013</t>
  </si>
  <si>
    <t>Výška nájomného v roku 2012</t>
  </si>
  <si>
    <t>2 - 5 rokov</t>
  </si>
  <si>
    <t>Spriaznená osoba</t>
  </si>
  <si>
    <t>Bezprostredne predcházajúce účtovné obdobie</t>
  </si>
  <si>
    <t>Záväzky z obchodného styku</t>
  </si>
  <si>
    <t>VIATANA, a.s.</t>
  </si>
  <si>
    <t>ORKLA ASA</t>
  </si>
  <si>
    <t>ORKLA SSC</t>
  </si>
  <si>
    <t>Ostatné záväzky</t>
  </si>
  <si>
    <t>Spolu záväzky</t>
  </si>
  <si>
    <t>Vybraná pasíva vyplývajúce z transakcií so spriaznenými osobami.</t>
  </si>
  <si>
    <t>Vedenie spoločnosti navrhuje preúčtovať stratu za rok 2013 vo výške 615 541 EUR na účet neuhradenej straty minulých rokov.</t>
  </si>
  <si>
    <t>V</t>
  </si>
  <si>
    <t>I</t>
  </si>
  <si>
    <t>T</t>
  </si>
  <si>
    <t>A</t>
  </si>
  <si>
    <t>N</t>
  </si>
  <si>
    <t>S</t>
  </si>
  <si>
    <t>L</t>
  </si>
  <si>
    <t>O</t>
  </si>
  <si>
    <t>E</t>
  </si>
  <si>
    <t>K</t>
  </si>
  <si>
    <t>,</t>
  </si>
  <si>
    <t>s</t>
  </si>
  <si>
    <t>r</t>
  </si>
  <si>
    <t>o</t>
  </si>
  <si>
    <t>M</t>
  </si>
  <si>
    <t>e</t>
  </si>
  <si>
    <t>i</t>
  </si>
  <si>
    <t>l</t>
  </si>
  <si>
    <t>P</t>
  </si>
  <si>
    <t>z</t>
  </si>
  <si>
    <t>n</t>
  </si>
  <si>
    <t>Spoločnosť nemá organizačnú zložku v zahraničí.</t>
  </si>
  <si>
    <t>Účtovná závierka bola zostavená podľa Zákona č. 431/2002 Z.z. o účtovníctve v znení neskorších predpisov za predpokladu nepretržitého trvania jej činnosti a je zostavená ako riadna účtovná závierka.</t>
  </si>
  <si>
    <t>Účtovná závierka spoločnosti za predchádzajúce účtovné obdobie k 31. decembru 2012 bola schválená valným zhromaždením spoločnosti dňa 24. mája 2013.</t>
  </si>
  <si>
    <t>Dlhodobý nehmotný majetok vytvorený vlastnou činnosťou sa oceňuje vlastnými nákladmi, ktoré zahrňujú priame materiálové a mzdové náklady a výrobné režijné náklady.</t>
  </si>
  <si>
    <t xml:space="preserve">Dlhodobý hmotný majetok vytvorený vlastnou činnosťou sa oceňuje vlastnými nákladmi, ktoré zahrňujú priame materiálové a mzdové náklady a výrobné režijné náklady. </t>
  </si>
  <si>
    <t>K pochybným pohľadávkam boli v roku 2013 a 2012 vytvorené opravné položky na základe interných pravidiel spoločnosti. 
K pohľadávkam po splatnosti viac ako 365 dní je vytvorená 100% opravná položka, k pohľadávkam po splatnosti v rozmedzí 
od 121 do 365 dní je vytvorená 50% opravná položka a k pohľadávkam po splatnosti v rozmedzí od 61 do 120 dní je vytvorená 15% opravná položka.</t>
  </si>
  <si>
    <t>Záväzky voči spriazneným osobám (viz poznámka 15).</t>
  </si>
  <si>
    <t>zostavenej k 31. 12. 2013</t>
  </si>
  <si>
    <t>Spoločnosť je súčasťou skupiny ORKLA Foods Norge AS. Materskou spoločnosťou spoločnosti je VITANA, a.s. a materskou spoločnosťou celej skupiny je ORKLA Foods Norge AS. Konsolidovanú účtovnú závierku za najväčšiu skupinu podnikov zostavuje spoločnosť ORKLA Foods Norge AS, táto účtovná závierka je k nahliadnutiu v sídle uvedenej spoločnosti  ORKLA Foods Norge AS,  0217 OPPEGÅRD, 1411, KOLBOTN, oestegt. 58, Lienga 8, Norské království.</t>
  </si>
  <si>
    <t xml:space="preserve">VITANA SLOVENSKO, s.r.o. (ďalej len „spoločnosť”) je spoločnosť s ručením obmedzeným, ktorá vznikla dňa 18. mája 1993. Dňa 11. júna 1993 bola zapísaná do Obchodného registra vedenom na Okresnom súde Bratislava I, oddiel Sro, vložka 57737/B. Spoločnosť sídli  v Pezinku,  Meisslova 5, Slovenská republika, identifikačné číslo 31 352 316. 
V roku 2013 neboli uskutočnené žiadne významné zmeny v zápise do Obchodného registra.
Hlavným predmetom činnosti je:
1.     Nákup surovín
2.     Kúpa tovaru za účelom jeho predaja konečnému spotrebiteľovi (maloobchod) potravín a potravinárskych výrobkov v rozsahu 
        voľnej živnosti
3.     Kúpa tovaru za účelom jeho predaja iným prevádzkovateľom živnosti (veľkoobchod) potravín a potravinárskych výrobkov 
        v rozsahu voľnej živnosti
4.     Úprava potravín a potravinárskych výrobkov (sušenie zeleniny, praženie kávy, leštenie ryže)
5.     Balenie potravín
6.     Skladovanie s výnimkou tovarov uvedených v § 3 zák. č. 144/98 Z.z.
</t>
  </si>
  <si>
    <t>Pohľadávky voči spriazneným osobám (poznámka 15).</t>
  </si>
  <si>
    <t>Podľa zákona o daniach z príjmov môže spoločnosť previesť daňovú stratu do nasledujúcich štyroch rokov. Výška daňovej straty z rokov 2011 - 2013, ktorá nebola v roku 2013 uplatnená  a bude prevedená do ďalších rokov, bola 928 604 EUR k 31. decembru 2013.</t>
  </si>
  <si>
    <t>Z dôvodov neistoty ohľadne budúcich zdaniteľných ziskov Spoločnosť nezaúčtovala odloženú daňovú pohľadávku vo výške                              225 242 EUR.</t>
  </si>
  <si>
    <t>Spoločnosť uskutočnila v priebehu účtovného obdobia transakcie s nasledujúcimi spriaznenými stranami:
Rieber &amp; Son ASA, Nórsko
VITANA, a.s., Česká republika
Frödinge Mejeri AB, Švédsko
Orkla Shared Services
ORKLA ASA, Nórsko</t>
  </si>
  <si>
    <t>možnosti umorovať daňovú stratu v budúcnosti, pod ktorou sa rozumie možnosť odpočítať daňovú stratu od základu dane             v budúcnosti,</t>
  </si>
  <si>
    <t>V roku 2013 a 2012 spoločnosť z dôvodu nedobytnosti, zamietnutím konkurzu a vyrovnaním či neuspokojením pohľadávok                  v konkurznom riadení, atď. odpísala do nákladov pohľadávky vo výške 0 EUR a 18 209 EUR.</t>
  </si>
  <si>
    <t>Valné zhromaždenie spoločnosti konané dňa 25. mája 2013 a 28. júna 2012 schválilo preúčtovanie straty za rok 2012 a 2011            vo výške 821 752 EUR a 464 484 EUR na účet neuhradenej straty minulých rokov.</t>
  </si>
  <si>
    <t>Martin Drews</t>
  </si>
  <si>
    <t>Radim Vlček</t>
  </si>
  <si>
    <t>Jerzy Grzegorz Zalopa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</si>
</sst>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#,##0;\-#,##0;&quot;&quot;"/>
    <numFmt numFmtId="169" formatCode="[&lt;=9999999]###\ ##\ ##;##\ ##\ ##\ ##"/>
    <numFmt numFmtId="170" formatCode="[$-41B]mmmmm;@"/>
    <numFmt numFmtId="171" formatCode="_*\ #,##0__;_(* \-#,##0__;_(&quot;&quot;_);_(@_)"/>
    <numFmt numFmtId="172" formatCode="d/m/yyyy;@"/>
    <numFmt numFmtId="173" formatCode="00"/>
    <numFmt numFmtId="174" formatCode="dd\.mm\.yyyy"/>
    <numFmt numFmtId="175" formatCode="0;\-0;;@"/>
  </numFmts>
  <fonts count="95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sz val="10"/>
      <name val="Arial CE"/>
      <family val="2"/>
      <charset val="238"/>
    </font>
    <font>
      <b/>
      <sz val="26"/>
      <name val="Arial CE"/>
      <family val="2"/>
      <charset val="238"/>
    </font>
    <font>
      <sz val="14"/>
      <name val="Arial CE"/>
      <family val="2"/>
      <charset val="238"/>
    </font>
    <font>
      <sz val="20"/>
      <color rgb="FFFF0000"/>
      <name val="Arial CE"/>
      <family val="2"/>
      <charset val="238"/>
    </font>
    <font>
      <sz val="12"/>
      <name val="Arial CE"/>
      <family val="2"/>
      <charset val="238"/>
    </font>
    <font>
      <b/>
      <sz val="2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8"/>
      <name val="Arial CE"/>
      <family val="2"/>
      <charset val="238"/>
    </font>
    <font>
      <b/>
      <i/>
      <sz val="14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sz val="13"/>
      <name val="Arial CE"/>
      <family val="2"/>
      <charset val="238"/>
    </font>
    <font>
      <sz val="14"/>
      <color indexed="12"/>
      <name val="Arial CE"/>
      <family val="2"/>
      <charset val="238"/>
    </font>
    <font>
      <b/>
      <sz val="14"/>
      <color indexed="12"/>
      <name val="Arial CE"/>
      <family val="2"/>
      <charset val="238"/>
    </font>
    <font>
      <i/>
      <sz val="11"/>
      <name val="Arial CE"/>
      <family val="2"/>
      <charset val="238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7"/>
      <color theme="1"/>
      <name val="Times New Roman"/>
      <family val="1"/>
      <charset val="238"/>
    </font>
    <font>
      <b/>
      <i/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i/>
      <sz val="8"/>
      <color indexed="10"/>
      <name val="Arial"/>
      <family val="2"/>
    </font>
    <font>
      <b/>
      <i/>
      <sz val="8"/>
      <color indexed="10"/>
      <name val="Arial"/>
      <family val="2"/>
    </font>
    <font>
      <b/>
      <sz val="8"/>
      <name val="Tahoma"/>
      <family val="2"/>
      <charset val="238"/>
    </font>
    <font>
      <sz val="8"/>
      <name val="Tahoma"/>
      <family val="2"/>
      <charset val="238"/>
    </font>
    <font>
      <sz val="9"/>
      <color theme="1"/>
      <name val="Arial"/>
      <family val="2"/>
      <charset val="238"/>
    </font>
    <font>
      <u/>
      <sz val="11"/>
      <color theme="1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4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ck">
        <color rgb="FF999999"/>
      </top>
      <bottom style="medium">
        <color indexed="64"/>
      </bottom>
      <diagonal/>
    </border>
  </borders>
  <cellStyleXfs count="16">
    <xf numFmtId="0" fontId="0" fillId="0" borderId="0"/>
    <xf numFmtId="9" fontId="17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16" fillId="0" borderId="0"/>
    <xf numFmtId="0" fontId="29" fillId="0" borderId="0"/>
    <xf numFmtId="0" fontId="35" fillId="0" borderId="0"/>
    <xf numFmtId="0" fontId="36" fillId="0" borderId="0"/>
    <xf numFmtId="0" fontId="29" fillId="0" borderId="0"/>
    <xf numFmtId="0" fontId="75" fillId="0" borderId="0"/>
    <xf numFmtId="0" fontId="29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9" fillId="0" borderId="0"/>
    <xf numFmtId="164" fontId="25" fillId="0" borderId="0" applyFont="0" applyFill="0" applyBorder="0" applyAlignment="0" applyProtection="0"/>
    <xf numFmtId="0" fontId="29" fillId="0" borderId="0"/>
    <xf numFmtId="0" fontId="94" fillId="0" borderId="0" applyNumberFormat="0" applyFill="0" applyBorder="0" applyAlignment="0" applyProtection="0">
      <alignment vertical="top"/>
      <protection locked="0"/>
    </xf>
  </cellStyleXfs>
  <cellXfs count="1449">
    <xf numFmtId="0" fontId="0" fillId="0" borderId="0" xfId="0"/>
    <xf numFmtId="0" fontId="18" fillId="0" borderId="0" xfId="0" applyFont="1" applyAlignment="1">
      <alignment horizontal="left"/>
    </xf>
    <xf numFmtId="0" fontId="19" fillId="0" borderId="0" xfId="0" applyFont="1"/>
    <xf numFmtId="0" fontId="18" fillId="0" borderId="0" xfId="0" applyFont="1" applyAlignment="1">
      <alignment horizontal="justify"/>
    </xf>
    <xf numFmtId="0" fontId="0" fillId="0" borderId="0" xfId="0" applyAlignment="1">
      <alignment wrapText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justify"/>
    </xf>
    <xf numFmtId="0" fontId="0" fillId="0" borderId="43" xfId="0" applyBorder="1" applyAlignment="1">
      <alignment horizontal="center"/>
    </xf>
    <xf numFmtId="0" fontId="0" fillId="0" borderId="43" xfId="0" applyBorder="1"/>
    <xf numFmtId="0" fontId="20" fillId="0" borderId="0" xfId="0" applyFont="1"/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vertical="center" wrapText="1"/>
    </xf>
    <xf numFmtId="3" fontId="22" fillId="0" borderId="4" xfId="0" applyNumberFormat="1" applyFont="1" applyBorder="1" applyAlignment="1">
      <alignment horizontal="right" vertical="center" wrapText="1"/>
    </xf>
    <xf numFmtId="0" fontId="22" fillId="0" borderId="5" xfId="0" applyFont="1" applyBorder="1" applyAlignment="1">
      <alignment vertical="center" wrapText="1"/>
    </xf>
    <xf numFmtId="3" fontId="22" fillId="0" borderId="6" xfId="0" applyNumberFormat="1" applyFont="1" applyBorder="1" applyAlignment="1">
      <alignment horizontal="right" vertical="center" wrapText="1"/>
    </xf>
    <xf numFmtId="0" fontId="22" fillId="0" borderId="7" xfId="0" applyFont="1" applyBorder="1" applyAlignment="1">
      <alignment vertical="center" wrapText="1"/>
    </xf>
    <xf numFmtId="3" fontId="22" fillId="0" borderId="8" xfId="0" applyNumberFormat="1" applyFont="1" applyBorder="1" applyAlignment="1">
      <alignment horizontal="right" vertical="center" wrapText="1"/>
    </xf>
    <xf numFmtId="0" fontId="22" fillId="0" borderId="0" xfId="0" applyFont="1"/>
    <xf numFmtId="0" fontId="21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1" fillId="0" borderId="8" xfId="0" applyFont="1" applyBorder="1" applyAlignment="1">
      <alignment horizontal="center" vertical="center" wrapText="1"/>
    </xf>
    <xf numFmtId="3" fontId="22" fillId="0" borderId="13" xfId="0" applyNumberFormat="1" applyFont="1" applyBorder="1" applyAlignment="1">
      <alignment horizontal="right" vertical="center" wrapText="1"/>
    </xf>
    <xf numFmtId="9" fontId="22" fillId="0" borderId="13" xfId="1" applyFont="1" applyBorder="1" applyAlignment="1">
      <alignment horizontal="right" vertical="center" wrapText="1"/>
    </xf>
    <xf numFmtId="9" fontId="22" fillId="0" borderId="6" xfId="1" applyFont="1" applyBorder="1" applyAlignment="1">
      <alignment horizontal="right" vertical="center" wrapText="1"/>
    </xf>
    <xf numFmtId="0" fontId="21" fillId="0" borderId="7" xfId="0" applyFont="1" applyBorder="1" applyAlignment="1">
      <alignment vertical="center" wrapText="1"/>
    </xf>
    <xf numFmtId="3" fontId="22" fillId="0" borderId="14" xfId="0" applyNumberFormat="1" applyFont="1" applyBorder="1" applyAlignment="1">
      <alignment horizontal="right" vertical="center" wrapText="1"/>
    </xf>
    <xf numFmtId="9" fontId="22" fillId="0" borderId="14" xfId="0" applyNumberFormat="1" applyFont="1" applyBorder="1" applyAlignment="1">
      <alignment horizontal="right" vertical="center" wrapText="1"/>
    </xf>
    <xf numFmtId="9" fontId="22" fillId="0" borderId="14" xfId="1" applyFont="1" applyBorder="1" applyAlignment="1">
      <alignment horizontal="right" vertical="center" wrapText="1"/>
    </xf>
    <xf numFmtId="9" fontId="22" fillId="0" borderId="8" xfId="1" applyFont="1" applyBorder="1" applyAlignment="1">
      <alignment horizontal="right" vertical="center" wrapText="1"/>
    </xf>
    <xf numFmtId="0" fontId="21" fillId="0" borderId="7" xfId="0" applyFont="1" applyBorder="1" applyAlignment="1">
      <alignment horizontal="center" vertical="center" wrapText="1"/>
    </xf>
    <xf numFmtId="0" fontId="22" fillId="0" borderId="13" xfId="0" applyFont="1" applyBorder="1" applyAlignment="1">
      <alignment vertical="center" wrapText="1"/>
    </xf>
    <xf numFmtId="9" fontId="22" fillId="0" borderId="13" xfId="1" applyNumberFormat="1" applyFont="1" applyBorder="1" applyAlignment="1">
      <alignment horizontal="right" vertical="center" wrapText="1"/>
    </xf>
    <xf numFmtId="9" fontId="22" fillId="0" borderId="6" xfId="1" applyNumberFormat="1" applyFont="1" applyBorder="1" applyAlignment="1">
      <alignment horizontal="right" vertical="center" wrapText="1"/>
    </xf>
    <xf numFmtId="0" fontId="22" fillId="0" borderId="14" xfId="0" applyFont="1" applyBorder="1" applyAlignment="1">
      <alignment horizontal="center" vertical="center" wrapText="1"/>
    </xf>
    <xf numFmtId="9" fontId="22" fillId="0" borderId="14" xfId="1" applyNumberFormat="1" applyFont="1" applyBorder="1" applyAlignment="1">
      <alignment horizontal="right" vertical="center" wrapText="1"/>
    </xf>
    <xf numFmtId="9" fontId="22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21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21" fillId="0" borderId="12" xfId="0" applyFont="1" applyBorder="1" applyAlignment="1">
      <alignment horizontal="center" vertical="center" wrapText="1"/>
    </xf>
    <xf numFmtId="0" fontId="22" fillId="0" borderId="15" xfId="0" applyFont="1" applyBorder="1" applyAlignment="1">
      <alignment vertical="center" wrapText="1"/>
    </xf>
    <xf numFmtId="0" fontId="22" fillId="0" borderId="11" xfId="0" applyFont="1" applyBorder="1" applyAlignment="1">
      <alignment vertical="center" wrapText="1"/>
    </xf>
    <xf numFmtId="0" fontId="22" fillId="0" borderId="10" xfId="0" applyFont="1" applyBorder="1" applyAlignment="1">
      <alignment vertical="center" wrapText="1"/>
    </xf>
    <xf numFmtId="0" fontId="21" fillId="0" borderId="5" xfId="0" applyFont="1" applyBorder="1" applyAlignment="1">
      <alignment vertical="center" wrapText="1"/>
    </xf>
    <xf numFmtId="3" fontId="22" fillId="0" borderId="16" xfId="0" applyNumberFormat="1" applyFont="1" applyBorder="1" applyAlignment="1">
      <alignment horizontal="right" vertical="center" wrapText="1"/>
    </xf>
    <xf numFmtId="3" fontId="22" fillId="0" borderId="17" xfId="0" applyNumberFormat="1" applyFont="1" applyBorder="1" applyAlignment="1">
      <alignment horizontal="right" vertical="center" wrapText="1"/>
    </xf>
    <xf numFmtId="3" fontId="22" fillId="0" borderId="18" xfId="0" applyNumberFormat="1" applyFont="1" applyBorder="1" applyAlignment="1">
      <alignment horizontal="right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1" fillId="0" borderId="2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21" fillId="0" borderId="15" xfId="0" applyFont="1" applyBorder="1" applyAlignment="1">
      <alignment vertical="center"/>
    </xf>
    <xf numFmtId="0" fontId="21" fillId="0" borderId="11" xfId="0" applyFont="1" applyBorder="1" applyAlignment="1">
      <alignment vertical="center" wrapText="1"/>
    </xf>
    <xf numFmtId="0" fontId="21" fillId="0" borderId="10" xfId="0" applyFont="1" applyBorder="1" applyAlignment="1">
      <alignment vertical="center" wrapText="1"/>
    </xf>
    <xf numFmtId="9" fontId="22" fillId="0" borderId="13" xfId="1" applyFont="1" applyBorder="1" applyAlignment="1">
      <alignment horizontal="center" vertical="center" wrapText="1"/>
    </xf>
    <xf numFmtId="9" fontId="22" fillId="0" borderId="14" xfId="1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3" fontId="21" fillId="0" borderId="14" xfId="0" applyNumberFormat="1" applyFont="1" applyBorder="1" applyAlignment="1">
      <alignment horizontal="right" vertical="center" wrapText="1"/>
    </xf>
    <xf numFmtId="0" fontId="21" fillId="0" borderId="32" xfId="0" applyFont="1" applyBorder="1" applyAlignment="1">
      <alignment horizontal="center" vertical="center" wrapText="1"/>
    </xf>
    <xf numFmtId="3" fontId="21" fillId="0" borderId="8" xfId="0" applyNumberFormat="1" applyFont="1" applyBorder="1" applyAlignment="1">
      <alignment horizontal="right" vertical="center" wrapText="1"/>
    </xf>
    <xf numFmtId="0" fontId="22" fillId="0" borderId="14" xfId="0" applyFont="1" applyBorder="1" applyAlignment="1">
      <alignment horizontal="right" vertical="center" wrapText="1"/>
    </xf>
    <xf numFmtId="0" fontId="22" fillId="0" borderId="13" xfId="0" applyFont="1" applyBorder="1" applyAlignment="1">
      <alignment horizontal="center" vertical="center" wrapText="1"/>
    </xf>
    <xf numFmtId="0" fontId="21" fillId="0" borderId="0" xfId="0" applyFont="1" applyAlignment="1">
      <alignment horizontal="justify"/>
    </xf>
    <xf numFmtId="0" fontId="21" fillId="0" borderId="15" xfId="0" applyFont="1" applyBorder="1" applyAlignment="1">
      <alignment vertical="center" wrapText="1"/>
    </xf>
    <xf numFmtId="3" fontId="22" fillId="0" borderId="13" xfId="0" applyNumberFormat="1" applyFont="1" applyBorder="1" applyAlignment="1">
      <alignment horizontal="right" vertical="center" wrapText="1" indent="1"/>
    </xf>
    <xf numFmtId="3" fontId="22" fillId="0" borderId="6" xfId="0" applyNumberFormat="1" applyFont="1" applyBorder="1" applyAlignment="1">
      <alignment horizontal="right" vertical="center" wrapText="1" indent="1"/>
    </xf>
    <xf numFmtId="3" fontId="21" fillId="0" borderId="14" xfId="0" applyNumberFormat="1" applyFont="1" applyBorder="1" applyAlignment="1">
      <alignment horizontal="right" vertical="center" wrapText="1" indent="1"/>
    </xf>
    <xf numFmtId="3" fontId="21" fillId="0" borderId="8" xfId="0" applyNumberFormat="1" applyFont="1" applyBorder="1" applyAlignment="1">
      <alignment horizontal="right" vertical="center" wrapText="1" indent="1"/>
    </xf>
    <xf numFmtId="0" fontId="21" fillId="0" borderId="1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2" fillId="0" borderId="5" xfId="0" applyFont="1" applyBorder="1" applyAlignment="1">
      <alignment vertical="center"/>
    </xf>
    <xf numFmtId="0" fontId="21" fillId="0" borderId="7" xfId="0" applyFont="1" applyBorder="1" applyAlignment="1">
      <alignment vertical="center"/>
    </xf>
    <xf numFmtId="0" fontId="21" fillId="0" borderId="32" xfId="0" applyFont="1" applyBorder="1" applyAlignment="1">
      <alignment vertical="center" wrapText="1"/>
    </xf>
    <xf numFmtId="0" fontId="22" fillId="0" borderId="3" xfId="0" applyFont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3" fontId="22" fillId="0" borderId="4" xfId="0" applyNumberFormat="1" applyFont="1" applyBorder="1" applyAlignment="1">
      <alignment horizontal="right" vertical="center"/>
    </xf>
    <xf numFmtId="3" fontId="22" fillId="0" borderId="8" xfId="0" applyNumberFormat="1" applyFont="1" applyBorder="1" applyAlignment="1">
      <alignment horizontal="right" vertical="center"/>
    </xf>
    <xf numFmtId="3" fontId="22" fillId="0" borderId="13" xfId="0" applyNumberFormat="1" applyFont="1" applyBorder="1" applyAlignment="1">
      <alignment horizontal="right" vertical="center"/>
    </xf>
    <xf numFmtId="3" fontId="22" fillId="0" borderId="6" xfId="0" applyNumberFormat="1" applyFont="1" applyBorder="1" applyAlignment="1">
      <alignment horizontal="right" vertical="center"/>
    </xf>
    <xf numFmtId="3" fontId="21" fillId="0" borderId="14" xfId="0" applyNumberFormat="1" applyFont="1" applyBorder="1" applyAlignment="1">
      <alignment horizontal="right" vertical="center"/>
    </xf>
    <xf numFmtId="3" fontId="21" fillId="0" borderId="8" xfId="0" applyNumberFormat="1" applyFont="1" applyBorder="1" applyAlignment="1">
      <alignment horizontal="right" vertical="center"/>
    </xf>
    <xf numFmtId="0" fontId="21" fillId="0" borderId="10" xfId="0" applyFont="1" applyBorder="1" applyAlignment="1">
      <alignment vertical="center"/>
    </xf>
    <xf numFmtId="0" fontId="21" fillId="0" borderId="32" xfId="0" applyFont="1" applyBorder="1" applyAlignment="1">
      <alignment horizontal="center" vertical="center"/>
    </xf>
    <xf numFmtId="3" fontId="22" fillId="0" borderId="14" xfId="0" applyNumberFormat="1" applyFont="1" applyBorder="1" applyAlignment="1">
      <alignment horizontal="right" vertical="center"/>
    </xf>
    <xf numFmtId="0" fontId="21" fillId="0" borderId="7" xfId="0" applyFont="1" applyBorder="1" applyAlignment="1">
      <alignment horizontal="left" vertical="center" wrapText="1"/>
    </xf>
    <xf numFmtId="0" fontId="21" fillId="0" borderId="11" xfId="0" applyFont="1" applyBorder="1" applyAlignment="1">
      <alignment vertical="center"/>
    </xf>
    <xf numFmtId="0" fontId="21" fillId="0" borderId="8" xfId="0" applyFont="1" applyBorder="1" applyAlignment="1">
      <alignment horizontal="center" vertical="center"/>
    </xf>
    <xf numFmtId="0" fontId="22" fillId="0" borderId="8" xfId="0" applyFont="1" applyBorder="1" applyAlignment="1">
      <alignment horizontal="right" vertical="center"/>
    </xf>
    <xf numFmtId="0" fontId="22" fillId="0" borderId="30" xfId="0" applyFont="1" applyBorder="1" applyAlignment="1">
      <alignment vertical="center" wrapText="1"/>
    </xf>
    <xf numFmtId="0" fontId="22" fillId="0" borderId="46" xfId="0" applyFont="1" applyBorder="1" applyAlignment="1">
      <alignment vertical="center" wrapText="1"/>
    </xf>
    <xf numFmtId="0" fontId="21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right" vertical="center"/>
    </xf>
    <xf numFmtId="0" fontId="22" fillId="0" borderId="6" xfId="0" applyFont="1" applyBorder="1" applyAlignment="1">
      <alignment horizontal="right" vertical="center"/>
    </xf>
    <xf numFmtId="0" fontId="22" fillId="0" borderId="14" xfId="0" applyFont="1" applyBorder="1" applyAlignment="1">
      <alignment horizontal="right" vertical="center"/>
    </xf>
    <xf numFmtId="0" fontId="22" fillId="0" borderId="0" xfId="0" applyFont="1" applyBorder="1" applyAlignment="1">
      <alignment vertical="center" wrapText="1"/>
    </xf>
    <xf numFmtId="0" fontId="22" fillId="0" borderId="0" xfId="0" applyFont="1" applyBorder="1" applyAlignment="1">
      <alignment horizontal="right" vertical="center"/>
    </xf>
    <xf numFmtId="0" fontId="22" fillId="0" borderId="48" xfId="0" applyFont="1" applyBorder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25" xfId="0" applyFont="1" applyBorder="1" applyAlignment="1">
      <alignment vertical="center"/>
    </xf>
    <xf numFmtId="0" fontId="21" fillId="0" borderId="33" xfId="0" applyFont="1" applyBorder="1" applyAlignment="1">
      <alignment vertical="center"/>
    </xf>
    <xf numFmtId="0" fontId="21" fillId="0" borderId="20" xfId="0" applyFont="1" applyBorder="1" applyAlignment="1">
      <alignment horizontal="center" vertical="center" wrapText="1"/>
    </xf>
    <xf numFmtId="0" fontId="21" fillId="0" borderId="5" xfId="0" applyFont="1" applyBorder="1" applyAlignment="1">
      <alignment vertical="center"/>
    </xf>
    <xf numFmtId="0" fontId="21" fillId="0" borderId="9" xfId="0" applyFont="1" applyBorder="1" applyAlignment="1">
      <alignment vertical="center" wrapText="1"/>
    </xf>
    <xf numFmtId="0" fontId="21" fillId="0" borderId="34" xfId="0" applyFont="1" applyBorder="1" applyAlignment="1">
      <alignment vertical="center" wrapText="1"/>
    </xf>
    <xf numFmtId="3" fontId="22" fillId="0" borderId="13" xfId="0" applyNumberFormat="1" applyFont="1" applyBorder="1" applyAlignment="1">
      <alignment horizontal="center" vertical="center"/>
    </xf>
    <xf numFmtId="3" fontId="22" fillId="0" borderId="14" xfId="0" applyNumberFormat="1" applyFont="1" applyBorder="1" applyAlignment="1">
      <alignment horizontal="center" vertical="center"/>
    </xf>
    <xf numFmtId="0" fontId="22" fillId="0" borderId="5" xfId="0" applyFont="1" applyBorder="1" applyAlignment="1">
      <alignment horizontal="left" vertical="center"/>
    </xf>
    <xf numFmtId="0" fontId="22" fillId="0" borderId="7" xfId="0" applyFont="1" applyBorder="1" applyAlignment="1">
      <alignment horizontal="left" vertical="center"/>
    </xf>
    <xf numFmtId="0" fontId="22" fillId="0" borderId="13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9" fontId="22" fillId="0" borderId="13" xfId="1" applyFont="1" applyBorder="1" applyAlignment="1">
      <alignment horizontal="right" vertical="center"/>
    </xf>
    <xf numFmtId="0" fontId="21" fillId="0" borderId="27" xfId="0" applyFont="1" applyBorder="1" applyAlignment="1">
      <alignment horizontal="right" vertical="center"/>
    </xf>
    <xf numFmtId="0" fontId="21" fillId="0" borderId="26" xfId="0" applyFont="1" applyBorder="1" applyAlignment="1">
      <alignment horizontal="right" vertical="center"/>
    </xf>
    <xf numFmtId="9" fontId="22" fillId="0" borderId="14" xfId="1" applyFont="1" applyBorder="1" applyAlignment="1">
      <alignment horizontal="right" vertical="center"/>
    </xf>
    <xf numFmtId="14" fontId="22" fillId="0" borderId="13" xfId="0" applyNumberFormat="1" applyFont="1" applyBorder="1" applyAlignment="1">
      <alignment horizontal="right" vertical="center"/>
    </xf>
    <xf numFmtId="9" fontId="22" fillId="0" borderId="6" xfId="1" applyFont="1" applyBorder="1" applyAlignment="1">
      <alignment horizontal="right" vertical="center"/>
    </xf>
    <xf numFmtId="0" fontId="22" fillId="0" borderId="34" xfId="0" applyFont="1" applyBorder="1" applyAlignment="1">
      <alignment vertical="center" wrapText="1"/>
    </xf>
    <xf numFmtId="3" fontId="22" fillId="0" borderId="17" xfId="0" applyNumberFormat="1" applyFont="1" applyBorder="1" applyAlignment="1">
      <alignment horizontal="right" vertical="center"/>
    </xf>
    <xf numFmtId="3" fontId="22" fillId="0" borderId="24" xfId="0" applyNumberFormat="1" applyFont="1" applyBorder="1" applyAlignment="1">
      <alignment horizontal="right" vertical="center"/>
    </xf>
    <xf numFmtId="0" fontId="22" fillId="0" borderId="9" xfId="0" applyFont="1" applyBorder="1" applyAlignment="1">
      <alignment vertical="center" wrapText="1"/>
    </xf>
    <xf numFmtId="0" fontId="22" fillId="0" borderId="6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3" fontId="23" fillId="0" borderId="6" xfId="0" applyNumberFormat="1" applyFont="1" applyBorder="1" applyAlignment="1">
      <alignment horizontal="right" vertical="center"/>
    </xf>
    <xf numFmtId="3" fontId="22" fillId="0" borderId="12" xfId="0" applyNumberFormat="1" applyFont="1" applyBorder="1" applyAlignment="1">
      <alignment horizontal="right" vertical="center"/>
    </xf>
    <xf numFmtId="3" fontId="22" fillId="0" borderId="26" xfId="0" applyNumberFormat="1" applyFont="1" applyBorder="1" applyAlignment="1">
      <alignment horizontal="right" vertical="center"/>
    </xf>
    <xf numFmtId="0" fontId="23" fillId="0" borderId="5" xfId="0" applyFont="1" applyBorder="1" applyAlignment="1">
      <alignment vertical="center" wrapText="1"/>
    </xf>
    <xf numFmtId="0" fontId="22" fillId="0" borderId="28" xfId="0" applyFont="1" applyBorder="1" applyAlignment="1">
      <alignment vertical="center" wrapText="1"/>
    </xf>
    <xf numFmtId="0" fontId="22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22" fillId="0" borderId="39" xfId="0" applyFont="1" applyBorder="1" applyAlignment="1">
      <alignment horizontal="left" vertical="center"/>
    </xf>
    <xf numFmtId="0" fontId="22" fillId="0" borderId="41" xfId="0" applyFont="1" applyBorder="1" applyAlignment="1">
      <alignment horizontal="left" vertical="center"/>
    </xf>
    <xf numFmtId="0" fontId="22" fillId="0" borderId="42" xfId="0" applyFont="1" applyBorder="1" applyAlignment="1">
      <alignment horizontal="left" vertical="center"/>
    </xf>
    <xf numFmtId="0" fontId="22" fillId="0" borderId="40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left" vertical="center"/>
    </xf>
    <xf numFmtId="0" fontId="22" fillId="0" borderId="5" xfId="0" applyFont="1" applyBorder="1" applyAlignment="1">
      <alignment horizontal="left" vertical="center" wrapText="1"/>
    </xf>
    <xf numFmtId="0" fontId="22" fillId="0" borderId="7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22" fillId="0" borderId="7" xfId="0" applyFont="1" applyBorder="1" applyAlignment="1">
      <alignment vertical="center"/>
    </xf>
    <xf numFmtId="3" fontId="22" fillId="0" borderId="49" xfId="0" applyNumberFormat="1" applyFont="1" applyBorder="1" applyAlignment="1">
      <alignment horizontal="right" vertical="center"/>
    </xf>
    <xf numFmtId="3" fontId="22" fillId="0" borderId="16" xfId="0" applyNumberFormat="1" applyFont="1" applyBorder="1" applyAlignment="1">
      <alignment horizontal="right" vertical="center"/>
    </xf>
    <xf numFmtId="3" fontId="22" fillId="0" borderId="31" xfId="0" applyNumberFormat="1" applyFont="1" applyBorder="1" applyAlignment="1">
      <alignment horizontal="right" vertical="center"/>
    </xf>
    <xf numFmtId="3" fontId="22" fillId="0" borderId="18" xfId="0" applyNumberFormat="1" applyFont="1" applyBorder="1" applyAlignment="1">
      <alignment horizontal="right" vertical="center"/>
    </xf>
    <xf numFmtId="3" fontId="22" fillId="0" borderId="50" xfId="0" applyNumberFormat="1" applyFont="1" applyBorder="1" applyAlignment="1">
      <alignment horizontal="right" vertical="center"/>
    </xf>
    <xf numFmtId="3" fontId="21" fillId="0" borderId="18" xfId="0" applyNumberFormat="1" applyFont="1" applyBorder="1" applyAlignment="1">
      <alignment horizontal="right" vertical="center"/>
    </xf>
    <xf numFmtId="3" fontId="21" fillId="0" borderId="50" xfId="0" applyNumberFormat="1" applyFont="1" applyBorder="1" applyAlignment="1">
      <alignment horizontal="right" vertical="center"/>
    </xf>
    <xf numFmtId="0" fontId="21" fillId="0" borderId="7" xfId="0" applyFont="1" applyBorder="1" applyAlignment="1">
      <alignment horizontal="left" vertical="center"/>
    </xf>
    <xf numFmtId="3" fontId="21" fillId="0" borderId="13" xfId="0" applyNumberFormat="1" applyFont="1" applyBorder="1" applyAlignment="1">
      <alignment horizontal="right" vertical="center"/>
    </xf>
    <xf numFmtId="3" fontId="21" fillId="0" borderId="6" xfId="0" applyNumberFormat="1" applyFont="1" applyBorder="1" applyAlignment="1">
      <alignment horizontal="right" vertical="center"/>
    </xf>
    <xf numFmtId="3" fontId="22" fillId="0" borderId="29" xfId="0" applyNumberFormat="1" applyFont="1" applyBorder="1" applyAlignment="1">
      <alignment horizontal="right" vertical="center"/>
    </xf>
    <xf numFmtId="3" fontId="22" fillId="0" borderId="53" xfId="0" applyNumberFormat="1" applyFont="1" applyBorder="1" applyAlignment="1">
      <alignment horizontal="right" vertical="center"/>
    </xf>
    <xf numFmtId="0" fontId="22" fillId="0" borderId="9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28" xfId="0" applyFont="1" applyBorder="1" applyAlignment="1">
      <alignment vertical="center"/>
    </xf>
    <xf numFmtId="0" fontId="22" fillId="0" borderId="33" xfId="0" applyFont="1" applyBorder="1" applyAlignment="1">
      <alignment vertical="center"/>
    </xf>
    <xf numFmtId="0" fontId="21" fillId="0" borderId="26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  <xf numFmtId="3" fontId="22" fillId="0" borderId="45" xfId="0" applyNumberFormat="1" applyFont="1" applyBorder="1" applyAlignment="1">
      <alignment horizontal="right" vertical="center"/>
    </xf>
    <xf numFmtId="3" fontId="22" fillId="0" borderId="44" xfId="0" applyNumberFormat="1" applyFont="1" applyBorder="1" applyAlignment="1">
      <alignment horizontal="right" vertical="center"/>
    </xf>
    <xf numFmtId="3" fontId="22" fillId="0" borderId="52" xfId="0" applyNumberFormat="1" applyFont="1" applyBorder="1" applyAlignment="1">
      <alignment horizontal="right" vertical="center"/>
    </xf>
    <xf numFmtId="3" fontId="22" fillId="0" borderId="9" xfId="0" applyNumberFormat="1" applyFont="1" applyBorder="1" applyAlignment="1">
      <alignment horizontal="right" vertical="center"/>
    </xf>
    <xf numFmtId="0" fontId="22" fillId="0" borderId="17" xfId="0" applyFont="1" applyBorder="1" applyAlignment="1">
      <alignment horizontal="right" vertical="center"/>
    </xf>
    <xf numFmtId="0" fontId="22" fillId="0" borderId="24" xfId="0" applyFont="1" applyBorder="1" applyAlignment="1">
      <alignment horizontal="right" vertical="center"/>
    </xf>
    <xf numFmtId="9" fontId="22" fillId="0" borderId="8" xfId="1" applyFont="1" applyBorder="1" applyAlignment="1">
      <alignment horizontal="right" vertical="center"/>
    </xf>
    <xf numFmtId="3" fontId="22" fillId="0" borderId="6" xfId="0" applyNumberFormat="1" applyFont="1" applyBorder="1" applyAlignment="1">
      <alignment horizontal="center" vertical="center"/>
    </xf>
    <xf numFmtId="3" fontId="22" fillId="0" borderId="36" xfId="0" applyNumberFormat="1" applyFont="1" applyBorder="1" applyAlignment="1">
      <alignment horizontal="right" vertical="center"/>
    </xf>
    <xf numFmtId="3" fontId="22" fillId="0" borderId="37" xfId="0" applyNumberFormat="1" applyFont="1" applyBorder="1" applyAlignment="1">
      <alignment horizontal="right" vertical="center"/>
    </xf>
    <xf numFmtId="3" fontId="22" fillId="0" borderId="38" xfId="0" applyNumberFormat="1" applyFont="1" applyBorder="1" applyAlignment="1">
      <alignment horizontal="right" vertical="center"/>
    </xf>
    <xf numFmtId="0" fontId="21" fillId="0" borderId="0" xfId="0" applyFont="1" applyAlignment="1">
      <alignment horizontal="justify" vertical="center"/>
    </xf>
    <xf numFmtId="3" fontId="22" fillId="0" borderId="38" xfId="0" applyNumberFormat="1" applyFont="1" applyBorder="1" applyAlignment="1">
      <alignment horizontal="right" vertical="center" wrapText="1"/>
    </xf>
    <xf numFmtId="3" fontId="22" fillId="0" borderId="26" xfId="0" applyNumberFormat="1" applyFont="1" applyBorder="1" applyAlignment="1">
      <alignment horizontal="right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6" fillId="0" borderId="0" xfId="2" applyFont="1"/>
    <xf numFmtId="0" fontId="25" fillId="0" borderId="0" xfId="2"/>
    <xf numFmtId="0" fontId="26" fillId="0" borderId="0" xfId="2" applyNumberFormat="1" applyFont="1" applyAlignment="1"/>
    <xf numFmtId="0" fontId="27" fillId="0" borderId="0" xfId="2" applyNumberFormat="1" applyFont="1" applyAlignment="1"/>
    <xf numFmtId="49" fontId="26" fillId="0" borderId="0" xfId="2" applyNumberFormat="1" applyFont="1" applyAlignment="1" applyProtection="1"/>
    <xf numFmtId="0" fontId="26" fillId="0" borderId="0" xfId="2" applyNumberFormat="1" applyFont="1" applyBorder="1" applyAlignment="1"/>
    <xf numFmtId="0" fontId="26" fillId="0" borderId="0" xfId="2" applyNumberFormat="1" applyFont="1" applyBorder="1" applyAlignment="1">
      <alignment horizontal="left"/>
    </xf>
    <xf numFmtId="0" fontId="26" fillId="0" borderId="0" xfId="2" applyNumberFormat="1" applyFont="1" applyAlignment="1">
      <alignment horizontal="left" vertical="center"/>
    </xf>
    <xf numFmtId="0" fontId="26" fillId="0" borderId="0" xfId="2" applyFont="1" applyAlignment="1">
      <alignment vertical="center"/>
    </xf>
    <xf numFmtId="0" fontId="24" fillId="0" borderId="0" xfId="2" applyFont="1"/>
    <xf numFmtId="0" fontId="25" fillId="0" borderId="0" xfId="2" applyAlignment="1">
      <alignment horizontal="right"/>
    </xf>
    <xf numFmtId="0" fontId="27" fillId="3" borderId="0" xfId="2" applyFont="1" applyFill="1" applyAlignment="1">
      <alignment horizontal="centerContinuous"/>
    </xf>
    <xf numFmtId="0" fontId="26" fillId="3" borderId="0" xfId="2" applyFont="1" applyFill="1" applyAlignment="1">
      <alignment horizontal="centerContinuous"/>
    </xf>
    <xf numFmtId="9" fontId="25" fillId="0" borderId="0" xfId="2" applyNumberFormat="1"/>
    <xf numFmtId="165" fontId="25" fillId="0" borderId="0" xfId="2" applyNumberFormat="1"/>
    <xf numFmtId="10" fontId="25" fillId="0" borderId="0" xfId="2" applyNumberFormat="1"/>
    <xf numFmtId="10" fontId="29" fillId="0" borderId="0" xfId="3" applyNumberFormat="1" applyFont="1" applyFill="1"/>
    <xf numFmtId="0" fontId="28" fillId="0" borderId="0" xfId="2" applyFont="1" applyAlignment="1">
      <alignment horizontal="left"/>
    </xf>
    <xf numFmtId="0" fontId="26" fillId="0" borderId="0" xfId="2" applyFont="1" applyAlignment="1">
      <alignment horizontal="centerContinuous"/>
    </xf>
    <xf numFmtId="0" fontId="26" fillId="3" borderId="55" xfId="2" applyFont="1" applyFill="1" applyBorder="1" applyAlignment="1">
      <alignment horizontal="center"/>
    </xf>
    <xf numFmtId="0" fontId="26" fillId="3" borderId="56" xfId="2" applyFont="1" applyFill="1" applyBorder="1" applyAlignment="1">
      <alignment horizontal="center"/>
    </xf>
    <xf numFmtId="0" fontId="26" fillId="3" borderId="57" xfId="2" applyFont="1" applyFill="1" applyBorder="1" applyAlignment="1">
      <alignment horizontal="centerContinuous"/>
    </xf>
    <xf numFmtId="0" fontId="26" fillId="3" borderId="57" xfId="2" applyFont="1" applyFill="1" applyBorder="1" applyAlignment="1">
      <alignment horizontal="center" wrapText="1"/>
    </xf>
    <xf numFmtId="0" fontId="26" fillId="0" borderId="0" xfId="2" applyFont="1" applyAlignment="1">
      <alignment horizontal="center"/>
    </xf>
    <xf numFmtId="0" fontId="26" fillId="3" borderId="59" xfId="2" applyFont="1" applyFill="1" applyBorder="1" applyAlignment="1">
      <alignment horizontal="center" vertical="top"/>
    </xf>
    <xf numFmtId="0" fontId="26" fillId="3" borderId="0" xfId="2" applyFont="1" applyFill="1" applyBorder="1" applyAlignment="1">
      <alignment horizontal="center" vertical="top"/>
    </xf>
    <xf numFmtId="0" fontId="26" fillId="0" borderId="0" xfId="2" applyFont="1" applyAlignment="1">
      <alignment horizontal="center" vertical="top"/>
    </xf>
    <xf numFmtId="0" fontId="26" fillId="3" borderId="60" xfId="2" applyFont="1" applyFill="1" applyBorder="1" applyAlignment="1">
      <alignment horizontal="center" vertical="center"/>
    </xf>
    <xf numFmtId="0" fontId="26" fillId="3" borderId="61" xfId="2" applyFont="1" applyFill="1" applyBorder="1" applyAlignment="1">
      <alignment horizontal="center" vertical="center"/>
    </xf>
    <xf numFmtId="0" fontId="27" fillId="2" borderId="0" xfId="2" applyFont="1" applyFill="1" applyAlignment="1">
      <alignment vertical="center"/>
    </xf>
    <xf numFmtId="0" fontId="27" fillId="2" borderId="62" xfId="2" applyFont="1" applyFill="1" applyBorder="1" applyAlignment="1" applyProtection="1">
      <alignment vertical="center" wrapText="1"/>
    </xf>
    <xf numFmtId="0" fontId="27" fillId="2" borderId="62" xfId="2" quotePrefix="1" applyFont="1" applyFill="1" applyBorder="1" applyAlignment="1" applyProtection="1">
      <alignment horizontal="center" vertical="center"/>
    </xf>
    <xf numFmtId="3" fontId="27" fillId="2" borderId="62" xfId="2" applyNumberFormat="1" applyFont="1" applyFill="1" applyBorder="1" applyAlignment="1" applyProtection="1">
      <alignment vertical="center"/>
    </xf>
    <xf numFmtId="3" fontId="27" fillId="0" borderId="0" xfId="2" applyNumberFormat="1" applyFont="1" applyAlignment="1">
      <alignment vertical="center"/>
    </xf>
    <xf numFmtId="0" fontId="27" fillId="0" borderId="0" xfId="2" applyFont="1" applyAlignment="1">
      <alignment vertical="center"/>
    </xf>
    <xf numFmtId="0" fontId="27" fillId="2" borderId="62" xfId="2" applyFont="1" applyFill="1" applyBorder="1" applyAlignment="1" applyProtection="1">
      <alignment vertical="center"/>
    </xf>
    <xf numFmtId="0" fontId="27" fillId="2" borderId="62" xfId="2" applyFont="1" applyFill="1" applyBorder="1" applyAlignment="1" applyProtection="1">
      <alignment horizontal="left" vertical="center" wrapText="1"/>
    </xf>
    <xf numFmtId="0" fontId="27" fillId="2" borderId="62" xfId="2" applyFont="1" applyFill="1" applyBorder="1" applyAlignment="1" applyProtection="1">
      <alignment horizontal="left" vertical="center"/>
    </xf>
    <xf numFmtId="0" fontId="26" fillId="3" borderId="62" xfId="2" applyFont="1" applyFill="1" applyBorder="1" applyAlignment="1" applyProtection="1">
      <alignment horizontal="left" vertical="center"/>
    </xf>
    <xf numFmtId="0" fontId="26" fillId="0" borderId="62" xfId="2" applyFont="1" applyBorder="1" applyAlignment="1" applyProtection="1">
      <alignment horizontal="left" vertical="center"/>
    </xf>
    <xf numFmtId="0" fontId="26" fillId="0" borderId="62" xfId="2" quotePrefix="1" applyFont="1" applyBorder="1" applyAlignment="1" applyProtection="1">
      <alignment horizontal="center" vertical="center"/>
    </xf>
    <xf numFmtId="3" fontId="26" fillId="0" borderId="62" xfId="2" applyNumberFormat="1" applyFont="1" applyBorder="1" applyAlignment="1" applyProtection="1">
      <alignment vertical="center"/>
    </xf>
    <xf numFmtId="166" fontId="26" fillId="0" borderId="0" xfId="2" applyNumberFormat="1" applyFont="1" applyAlignment="1">
      <alignment vertical="center"/>
    </xf>
    <xf numFmtId="3" fontId="32" fillId="0" borderId="62" xfId="2" applyNumberFormat="1" applyFont="1" applyFill="1" applyBorder="1" applyAlignment="1" applyProtection="1">
      <alignment vertical="center"/>
    </xf>
    <xf numFmtId="0" fontId="26" fillId="0" borderId="62" xfId="2" applyFont="1" applyBorder="1" applyAlignment="1" applyProtection="1">
      <alignment horizontal="left" vertical="center" wrapText="1"/>
    </xf>
    <xf numFmtId="0" fontId="26" fillId="2" borderId="62" xfId="2" applyFont="1" applyFill="1" applyBorder="1" applyAlignment="1" applyProtection="1">
      <alignment horizontal="left" vertical="center"/>
    </xf>
    <xf numFmtId="0" fontId="27" fillId="3" borderId="62" xfId="2" applyFont="1" applyFill="1" applyBorder="1" applyAlignment="1" applyProtection="1">
      <alignment horizontal="left" vertical="center"/>
    </xf>
    <xf numFmtId="3" fontId="31" fillId="0" borderId="0" xfId="2" applyNumberFormat="1" applyFont="1" applyAlignment="1">
      <alignment vertical="center" wrapText="1"/>
    </xf>
    <xf numFmtId="3" fontId="26" fillId="0" borderId="62" xfId="2" applyNumberFormat="1" applyFont="1" applyFill="1" applyBorder="1" applyAlignment="1" applyProtection="1">
      <alignment vertical="center"/>
    </xf>
    <xf numFmtId="3" fontId="26" fillId="3" borderId="62" xfId="2" applyNumberFormat="1" applyFont="1" applyFill="1" applyBorder="1" applyAlignment="1" applyProtection="1">
      <alignment vertical="center"/>
    </xf>
    <xf numFmtId="3" fontId="26" fillId="4" borderId="62" xfId="2" applyNumberFormat="1" applyFont="1" applyFill="1" applyBorder="1" applyAlignment="1" applyProtection="1">
      <alignment vertical="center"/>
    </xf>
    <xf numFmtId="0" fontId="33" fillId="0" borderId="0" xfId="2" applyFont="1" applyAlignment="1">
      <alignment vertical="center"/>
    </xf>
    <xf numFmtId="0" fontId="26" fillId="0" borderId="62" xfId="2" applyFont="1" applyFill="1" applyBorder="1" applyAlignment="1" applyProtection="1">
      <alignment horizontal="left" vertical="center"/>
    </xf>
    <xf numFmtId="0" fontId="26" fillId="0" borderId="62" xfId="2" applyFont="1" applyFill="1" applyBorder="1" applyAlignment="1" applyProtection="1">
      <alignment horizontal="left" vertical="center" wrapText="1"/>
    </xf>
    <xf numFmtId="0" fontId="26" fillId="0" borderId="62" xfId="2" quotePrefix="1" applyFont="1" applyFill="1" applyBorder="1" applyAlignment="1" applyProtection="1">
      <alignment horizontal="center" vertical="center"/>
    </xf>
    <xf numFmtId="3" fontId="26" fillId="4" borderId="62" xfId="2" applyNumberFormat="1" applyFont="1" applyFill="1" applyBorder="1" applyAlignment="1">
      <alignment vertical="center"/>
    </xf>
    <xf numFmtId="3" fontId="32" fillId="0" borderId="62" xfId="2" applyNumberFormat="1" applyFont="1" applyBorder="1" applyAlignment="1" applyProtection="1">
      <alignment vertical="center"/>
    </xf>
    <xf numFmtId="3" fontId="27" fillId="0" borderId="62" xfId="2" applyNumberFormat="1" applyFont="1" applyBorder="1" applyAlignment="1" applyProtection="1">
      <alignment vertical="center"/>
    </xf>
    <xf numFmtId="0" fontId="26" fillId="2" borderId="62" xfId="2" applyFont="1" applyFill="1" applyBorder="1" applyAlignment="1" applyProtection="1">
      <alignment vertical="center"/>
    </xf>
    <xf numFmtId="0" fontId="26" fillId="2" borderId="62" xfId="2" applyFont="1" applyFill="1" applyBorder="1" applyAlignment="1" applyProtection="1">
      <alignment horizontal="center" vertical="center"/>
    </xf>
    <xf numFmtId="3" fontId="26" fillId="2" borderId="62" xfId="2" applyNumberFormat="1" applyFont="1" applyFill="1" applyBorder="1" applyAlignment="1" applyProtection="1">
      <alignment vertical="center"/>
    </xf>
    <xf numFmtId="0" fontId="26" fillId="3" borderId="0" xfId="2" applyFont="1" applyFill="1" applyAlignment="1">
      <alignment vertical="center"/>
    </xf>
    <xf numFmtId="167" fontId="26" fillId="0" borderId="0" xfId="2" applyNumberFormat="1" applyFont="1" applyAlignment="1">
      <alignment vertical="center"/>
    </xf>
    <xf numFmtId="0" fontId="26" fillId="3" borderId="55" xfId="2" applyFont="1" applyFill="1" applyBorder="1" applyAlignment="1" applyProtection="1">
      <alignment horizontal="center" vertical="center"/>
    </xf>
    <xf numFmtId="167" fontId="26" fillId="3" borderId="55" xfId="2" applyNumberFormat="1" applyFont="1" applyFill="1" applyBorder="1" applyAlignment="1" applyProtection="1">
      <alignment horizontal="center" vertical="center"/>
    </xf>
    <xf numFmtId="167" fontId="26" fillId="3" borderId="0" xfId="2" applyNumberFormat="1" applyFont="1" applyFill="1" applyAlignment="1">
      <alignment vertical="center"/>
    </xf>
    <xf numFmtId="0" fontId="26" fillId="3" borderId="59" xfId="2" applyFont="1" applyFill="1" applyBorder="1" applyAlignment="1" applyProtection="1">
      <alignment horizontal="center" vertical="center"/>
    </xf>
    <xf numFmtId="167" fontId="26" fillId="3" borderId="59" xfId="2" applyNumberFormat="1" applyFont="1" applyFill="1" applyBorder="1" applyAlignment="1" applyProtection="1">
      <alignment horizontal="center" vertical="center"/>
    </xf>
    <xf numFmtId="0" fontId="26" fillId="3" borderId="60" xfId="2" applyFont="1" applyFill="1" applyBorder="1" applyAlignment="1" applyProtection="1">
      <alignment horizontal="center" vertical="center"/>
    </xf>
    <xf numFmtId="1" fontId="26" fillId="3" borderId="60" xfId="2" applyNumberFormat="1" applyFont="1" applyFill="1" applyBorder="1" applyAlignment="1" applyProtection="1">
      <alignment horizontal="center" vertical="center"/>
    </xf>
    <xf numFmtId="0" fontId="26" fillId="0" borderId="0" xfId="2" applyFont="1" applyAlignment="1">
      <alignment vertical="top"/>
    </xf>
    <xf numFmtId="37" fontId="27" fillId="2" borderId="62" xfId="2" applyNumberFormat="1" applyFont="1" applyFill="1" applyBorder="1" applyAlignment="1" applyProtection="1">
      <alignment vertical="center"/>
    </xf>
    <xf numFmtId="37" fontId="27" fillId="2" borderId="62" xfId="2" quotePrefix="1" applyNumberFormat="1" applyFont="1" applyFill="1" applyBorder="1" applyAlignment="1" applyProtection="1">
      <alignment horizontal="center" vertical="center"/>
    </xf>
    <xf numFmtId="167" fontId="27" fillId="3" borderId="0" xfId="2" applyNumberFormat="1" applyFont="1" applyFill="1" applyAlignment="1">
      <alignment vertical="center"/>
    </xf>
    <xf numFmtId="37" fontId="26" fillId="3" borderId="62" xfId="2" applyNumberFormat="1" applyFont="1" applyFill="1" applyBorder="1" applyAlignment="1" applyProtection="1">
      <alignment vertical="center"/>
    </xf>
    <xf numFmtId="37" fontId="26" fillId="0" borderId="62" xfId="2" applyNumberFormat="1" applyFont="1" applyBorder="1" applyAlignment="1" applyProtection="1">
      <alignment vertical="center"/>
    </xf>
    <xf numFmtId="37" fontId="26" fillId="0" borderId="62" xfId="2" quotePrefix="1" applyNumberFormat="1" applyFont="1" applyBorder="1" applyAlignment="1" applyProtection="1">
      <alignment horizontal="center" vertical="center"/>
    </xf>
    <xf numFmtId="37" fontId="27" fillId="5" borderId="62" xfId="2" applyNumberFormat="1" applyFont="1" applyFill="1" applyBorder="1" applyAlignment="1" applyProtection="1">
      <alignment vertical="center"/>
    </xf>
    <xf numFmtId="37" fontId="27" fillId="5" borderId="62" xfId="2" quotePrefix="1" applyNumberFormat="1" applyFont="1" applyFill="1" applyBorder="1" applyAlignment="1" applyProtection="1">
      <alignment horizontal="center" vertical="center"/>
    </xf>
    <xf numFmtId="3" fontId="27" fillId="5" borderId="62" xfId="2" applyNumberFormat="1" applyFont="1" applyFill="1" applyBorder="1" applyAlignment="1" applyProtection="1">
      <alignment vertical="center"/>
    </xf>
    <xf numFmtId="0" fontId="27" fillId="3" borderId="0" xfId="2" applyFont="1" applyFill="1" applyAlignment="1">
      <alignment vertical="center"/>
    </xf>
    <xf numFmtId="167" fontId="34" fillId="3" borderId="0" xfId="2" applyNumberFormat="1" applyFont="1" applyFill="1" applyAlignment="1">
      <alignment vertical="center"/>
    </xf>
    <xf numFmtId="37" fontId="26" fillId="4" borderId="62" xfId="2" applyNumberFormat="1" applyFont="1" applyFill="1" applyBorder="1" applyAlignment="1" applyProtection="1">
      <alignment vertical="center"/>
    </xf>
    <xf numFmtId="37" fontId="26" fillId="4" borderId="62" xfId="2" quotePrefix="1" applyNumberFormat="1" applyFont="1" applyFill="1" applyBorder="1" applyAlignment="1" applyProtection="1">
      <alignment horizontal="center" vertical="center"/>
    </xf>
    <xf numFmtId="0" fontId="26" fillId="4" borderId="62" xfId="2" applyFont="1" applyFill="1" applyBorder="1" applyAlignment="1" applyProtection="1">
      <alignment horizontal="left" vertical="center"/>
    </xf>
    <xf numFmtId="3" fontId="26" fillId="0" borderId="0" xfId="2" applyNumberFormat="1" applyFont="1" applyAlignment="1">
      <alignment vertical="center"/>
    </xf>
    <xf numFmtId="37" fontId="30" fillId="2" borderId="62" xfId="2" applyNumberFormat="1" applyFont="1" applyFill="1" applyBorder="1" applyAlignment="1" applyProtection="1">
      <alignment vertical="center"/>
    </xf>
    <xf numFmtId="37" fontId="30" fillId="2" borderId="62" xfId="2" quotePrefix="1" applyNumberFormat="1" applyFont="1" applyFill="1" applyBorder="1" applyAlignment="1" applyProtection="1">
      <alignment horizontal="center" vertical="center"/>
    </xf>
    <xf numFmtId="3" fontId="30" fillId="2" borderId="62" xfId="2" applyNumberFormat="1" applyFont="1" applyFill="1" applyBorder="1" applyAlignment="1" applyProtection="1">
      <alignment vertical="center"/>
    </xf>
    <xf numFmtId="37" fontId="26" fillId="2" borderId="62" xfId="2" applyNumberFormat="1" applyFont="1" applyFill="1" applyBorder="1" applyAlignment="1" applyProtection="1">
      <alignment vertical="center"/>
    </xf>
    <xf numFmtId="37" fontId="26" fillId="2" borderId="62" xfId="2" quotePrefix="1" applyNumberFormat="1" applyFont="1" applyFill="1" applyBorder="1" applyAlignment="1" applyProtection="1">
      <alignment horizontal="center" vertical="center"/>
    </xf>
    <xf numFmtId="0" fontId="26" fillId="0" borderId="0" xfId="2" applyFont="1" applyAlignment="1" applyProtection="1">
      <alignment horizontal="left"/>
    </xf>
    <xf numFmtId="0" fontId="26" fillId="0" borderId="0" xfId="2" applyFont="1" applyAlignment="1" applyProtection="1">
      <alignment horizontal="center"/>
    </xf>
    <xf numFmtId="37" fontId="26" fillId="0" borderId="0" xfId="2" applyNumberFormat="1" applyFont="1" applyProtection="1"/>
    <xf numFmtId="0" fontId="27" fillId="0" borderId="0" xfId="2" applyNumberFormat="1" applyFont="1" applyAlignment="1" applyProtection="1"/>
    <xf numFmtId="0" fontId="26" fillId="0" borderId="0" xfId="2" applyNumberFormat="1" applyFont="1" applyBorder="1" applyAlignment="1">
      <alignment vertical="center"/>
    </xf>
    <xf numFmtId="3" fontId="26" fillId="0" borderId="0" xfId="2" applyNumberFormat="1" applyFont="1" applyBorder="1" applyAlignment="1">
      <alignment horizontal="right" vertical="center"/>
    </xf>
    <xf numFmtId="15" fontId="26" fillId="0" borderId="0" xfId="2" applyNumberFormat="1" applyFont="1" applyBorder="1" applyAlignment="1">
      <alignment horizontal="left" vertical="center"/>
    </xf>
    <xf numFmtId="0" fontId="27" fillId="0" borderId="0" xfId="2" applyFont="1"/>
    <xf numFmtId="3" fontId="26" fillId="3" borderId="0" xfId="2" applyNumberFormat="1" applyFont="1" applyFill="1" applyAlignment="1">
      <alignment horizontal="centerContinuous"/>
    </xf>
    <xf numFmtId="0" fontId="26" fillId="3" borderId="0" xfId="2" applyFont="1" applyFill="1" applyBorder="1" applyAlignment="1">
      <alignment horizontal="centerContinuous"/>
    </xf>
    <xf numFmtId="0" fontId="28" fillId="0" borderId="0" xfId="2" applyFont="1" applyAlignment="1">
      <alignment horizontal="centerContinuous"/>
    </xf>
    <xf numFmtId="3" fontId="26" fillId="0" borderId="0" xfId="2" applyNumberFormat="1" applyFont="1" applyAlignment="1">
      <alignment horizontal="centerContinuous"/>
    </xf>
    <xf numFmtId="0" fontId="26" fillId="0" borderId="61" xfId="2" applyFont="1" applyBorder="1" applyAlignment="1">
      <alignment horizontal="centerContinuous"/>
    </xf>
    <xf numFmtId="0" fontId="26" fillId="0" borderId="55" xfId="2" applyFont="1" applyBorder="1" applyAlignment="1">
      <alignment horizontal="center"/>
    </xf>
    <xf numFmtId="0" fontId="26" fillId="0" borderId="56" xfId="2" applyFont="1" applyBorder="1" applyAlignment="1">
      <alignment horizontal="center"/>
    </xf>
    <xf numFmtId="3" fontId="26" fillId="0" borderId="56" xfId="2" applyNumberFormat="1" applyFont="1" applyBorder="1" applyAlignment="1">
      <alignment horizontal="centerContinuous"/>
    </xf>
    <xf numFmtId="0" fontId="26" fillId="0" borderId="57" xfId="2" applyFont="1" applyBorder="1" applyAlignment="1">
      <alignment horizontal="centerContinuous"/>
    </xf>
    <xf numFmtId="0" fontId="26" fillId="0" borderId="59" xfId="2" applyFont="1" applyBorder="1" applyAlignment="1">
      <alignment horizontal="center" vertical="top"/>
    </xf>
    <xf numFmtId="0" fontId="26" fillId="0" borderId="0" xfId="2" applyFont="1" applyBorder="1" applyAlignment="1">
      <alignment horizontal="center" vertical="top"/>
    </xf>
    <xf numFmtId="3" fontId="26" fillId="0" borderId="55" xfId="2" applyNumberFormat="1" applyFont="1" applyBorder="1" applyAlignment="1">
      <alignment horizontal="center" vertical="top"/>
    </xf>
    <xf numFmtId="0" fontId="26" fillId="0" borderId="55" xfId="2" applyFont="1" applyBorder="1" applyAlignment="1">
      <alignment horizontal="center" vertical="top"/>
    </xf>
    <xf numFmtId="0" fontId="26" fillId="0" borderId="60" xfId="2" applyFont="1" applyBorder="1" applyAlignment="1">
      <alignment horizontal="center"/>
    </xf>
    <xf numFmtId="0" fontId="26" fillId="0" borderId="61" xfId="2" applyFont="1" applyBorder="1" applyAlignment="1">
      <alignment horizontal="center"/>
    </xf>
    <xf numFmtId="3" fontId="26" fillId="0" borderId="60" xfId="2" applyNumberFormat="1" applyFont="1" applyBorder="1" applyAlignment="1">
      <alignment horizontal="center"/>
    </xf>
    <xf numFmtId="0" fontId="26" fillId="3" borderId="62" xfId="2" applyFont="1" applyFill="1" applyBorder="1" applyAlignment="1">
      <alignment vertical="center"/>
    </xf>
    <xf numFmtId="0" fontId="26" fillId="0" borderId="62" xfId="2" applyFont="1" applyBorder="1" applyAlignment="1">
      <alignment vertical="center"/>
    </xf>
    <xf numFmtId="0" fontId="26" fillId="0" borderId="62" xfId="2" quotePrefix="1" applyFont="1" applyBorder="1" applyAlignment="1">
      <alignment horizontal="center" vertical="center"/>
    </xf>
    <xf numFmtId="3" fontId="26" fillId="0" borderId="62" xfId="2" applyNumberFormat="1" applyFont="1" applyFill="1" applyBorder="1" applyAlignment="1">
      <alignment vertical="center"/>
    </xf>
    <xf numFmtId="3" fontId="26" fillId="0" borderId="62" xfId="2" applyNumberFormat="1" applyFont="1" applyBorder="1" applyAlignment="1">
      <alignment vertical="center"/>
    </xf>
    <xf numFmtId="3" fontId="26" fillId="0" borderId="0" xfId="2" applyNumberFormat="1" applyFont="1" applyFill="1" applyAlignment="1">
      <alignment vertical="center"/>
    </xf>
    <xf numFmtId="3" fontId="26" fillId="0" borderId="62" xfId="2" applyNumberFormat="1" applyFont="1" applyBorder="1"/>
    <xf numFmtId="0" fontId="37" fillId="2" borderId="62" xfId="2" applyFont="1" applyFill="1" applyBorder="1" applyAlignment="1">
      <alignment vertical="center"/>
    </xf>
    <xf numFmtId="0" fontId="37" fillId="2" borderId="62" xfId="2" quotePrefix="1" applyFont="1" applyFill="1" applyBorder="1" applyAlignment="1">
      <alignment horizontal="center" vertical="center"/>
    </xf>
    <xf numFmtId="3" fontId="37" fillId="2" borderId="62" xfId="2" applyNumberFormat="1" applyFont="1" applyFill="1" applyBorder="1" applyAlignment="1">
      <alignment vertical="center"/>
    </xf>
    <xf numFmtId="0" fontId="37" fillId="0" borderId="0" xfId="2" applyFont="1" applyAlignment="1">
      <alignment vertical="center"/>
    </xf>
    <xf numFmtId="0" fontId="27" fillId="2" borderId="62" xfId="2" applyFont="1" applyFill="1" applyBorder="1" applyAlignment="1">
      <alignment vertical="center"/>
    </xf>
    <xf numFmtId="0" fontId="27" fillId="2" borderId="62" xfId="2" quotePrefix="1" applyFont="1" applyFill="1" applyBorder="1" applyAlignment="1">
      <alignment horizontal="center" vertical="center"/>
    </xf>
    <xf numFmtId="3" fontId="27" fillId="2" borderId="62" xfId="2" applyNumberFormat="1" applyFont="1" applyFill="1" applyBorder="1" applyAlignment="1">
      <alignment vertical="center"/>
    </xf>
    <xf numFmtId="0" fontId="26" fillId="2" borderId="62" xfId="2" applyFont="1" applyFill="1" applyBorder="1" applyAlignment="1">
      <alignment vertical="center"/>
    </xf>
    <xf numFmtId="0" fontId="30" fillId="2" borderId="62" xfId="2" applyFont="1" applyFill="1" applyBorder="1" applyAlignment="1">
      <alignment vertical="center"/>
    </xf>
    <xf numFmtId="0" fontId="26" fillId="2" borderId="62" xfId="2" quotePrefix="1" applyFont="1" applyFill="1" applyBorder="1" applyAlignment="1">
      <alignment horizontal="center" vertical="center"/>
    </xf>
    <xf numFmtId="3" fontId="26" fillId="2" borderId="62" xfId="2" applyNumberFormat="1" applyFont="1" applyFill="1" applyBorder="1" applyAlignment="1">
      <alignment vertical="center"/>
    </xf>
    <xf numFmtId="0" fontId="26" fillId="0" borderId="62" xfId="2" applyFont="1" applyFill="1" applyBorder="1" applyAlignment="1">
      <alignment vertical="center"/>
    </xf>
    <xf numFmtId="0" fontId="37" fillId="2" borderId="62" xfId="2" applyFont="1" applyFill="1" applyBorder="1" applyAlignment="1">
      <alignment vertical="center" wrapText="1"/>
    </xf>
    <xf numFmtId="0" fontId="30" fillId="2" borderId="62" xfId="2" quotePrefix="1" applyFont="1" applyFill="1" applyBorder="1" applyAlignment="1">
      <alignment horizontal="center" vertical="center"/>
    </xf>
    <xf numFmtId="49" fontId="26" fillId="0" borderId="62" xfId="2" applyNumberFormat="1" applyFont="1" applyFill="1" applyBorder="1" applyAlignment="1">
      <alignment vertical="center"/>
    </xf>
    <xf numFmtId="0" fontId="37" fillId="3" borderId="0" xfId="2" applyFont="1" applyFill="1" applyAlignment="1">
      <alignment vertical="center"/>
    </xf>
    <xf numFmtId="49" fontId="26" fillId="2" borderId="62" xfId="2" applyNumberFormat="1" applyFont="1" applyFill="1" applyBorder="1" applyAlignment="1">
      <alignment vertical="center"/>
    </xf>
    <xf numFmtId="0" fontId="27" fillId="5" borderId="62" xfId="2" applyFont="1" applyFill="1" applyBorder="1" applyAlignment="1">
      <alignment vertical="center"/>
    </xf>
    <xf numFmtId="0" fontId="37" fillId="5" borderId="62" xfId="2" applyFont="1" applyFill="1" applyBorder="1" applyAlignment="1">
      <alignment vertical="center"/>
    </xf>
    <xf numFmtId="0" fontId="30" fillId="5" borderId="62" xfId="2" quotePrefix="1" applyFont="1" applyFill="1" applyBorder="1" applyAlignment="1">
      <alignment horizontal="center" vertical="center"/>
    </xf>
    <xf numFmtId="3" fontId="37" fillId="5" borderId="62" xfId="2" applyNumberFormat="1" applyFont="1" applyFill="1" applyBorder="1" applyAlignment="1">
      <alignment vertical="center"/>
    </xf>
    <xf numFmtId="3" fontId="26" fillId="0" borderId="0" xfId="2" applyNumberFormat="1" applyFont="1"/>
    <xf numFmtId="0" fontId="38" fillId="0" borderId="0" xfId="7" applyFont="1" applyAlignment="1">
      <alignment horizontal="left"/>
    </xf>
    <xf numFmtId="0" fontId="39" fillId="0" borderId="0" xfId="6" applyFont="1" applyFill="1" applyAlignment="1">
      <alignment horizontal="center"/>
    </xf>
    <xf numFmtId="0" fontId="38" fillId="0" borderId="0" xfId="7" applyFont="1"/>
    <xf numFmtId="0" fontId="40" fillId="0" borderId="0" xfId="7" applyFont="1"/>
    <xf numFmtId="0" fontId="40" fillId="0" borderId="0" xfId="7" applyNumberFormat="1" applyFont="1"/>
    <xf numFmtId="0" fontId="41" fillId="0" borderId="0" xfId="7" applyFont="1"/>
    <xf numFmtId="0" fontId="42" fillId="0" borderId="0" xfId="7" applyFont="1"/>
    <xf numFmtId="0" fontId="43" fillId="0" borderId="0" xfId="7" applyFont="1" applyAlignment="1">
      <alignment horizontal="center"/>
    </xf>
    <xf numFmtId="0" fontId="44" fillId="0" borderId="0" xfId="7" applyFont="1" applyAlignment="1">
      <alignment horizontal="center"/>
    </xf>
    <xf numFmtId="0" fontId="45" fillId="0" borderId="0" xfId="7" applyFont="1" applyAlignment="1">
      <alignment horizontal="left"/>
    </xf>
    <xf numFmtId="0" fontId="45" fillId="0" borderId="0" xfId="7" applyFont="1" applyAlignment="1">
      <alignment horizontal="center"/>
    </xf>
    <xf numFmtId="0" fontId="40" fillId="0" borderId="0" xfId="7" applyFont="1" applyAlignment="1">
      <alignment horizontal="center"/>
    </xf>
    <xf numFmtId="0" fontId="46" fillId="0" borderId="0" xfId="7" applyFont="1" applyBorder="1" applyAlignment="1">
      <alignment horizontal="center"/>
    </xf>
    <xf numFmtId="0" fontId="47" fillId="0" borderId="0" xfId="7" applyFont="1" applyAlignment="1">
      <alignment horizontal="left"/>
    </xf>
    <xf numFmtId="0" fontId="45" fillId="0" borderId="0" xfId="7" applyFont="1" applyBorder="1" applyAlignment="1">
      <alignment horizontal="center"/>
    </xf>
    <xf numFmtId="0" fontId="45" fillId="0" borderId="0" xfId="7" applyFont="1" applyBorder="1" applyAlignment="1">
      <alignment horizontal="left"/>
    </xf>
    <xf numFmtId="0" fontId="42" fillId="5" borderId="63" xfId="7" applyFont="1" applyFill="1" applyBorder="1" applyAlignment="1">
      <alignment horizontal="center" vertical="center" wrapText="1"/>
    </xf>
    <xf numFmtId="0" fontId="40" fillId="5" borderId="64" xfId="7" applyFont="1" applyFill="1" applyBorder="1" applyAlignment="1">
      <alignment horizontal="center" vertical="center" wrapText="1"/>
    </xf>
    <xf numFmtId="0" fontId="42" fillId="5" borderId="64" xfId="7" applyFont="1" applyFill="1" applyBorder="1" applyAlignment="1">
      <alignment horizontal="center" vertical="center" wrapText="1"/>
    </xf>
    <xf numFmtId="0" fontId="48" fillId="0" borderId="0" xfId="7" applyFont="1" applyBorder="1" applyAlignment="1">
      <alignment horizontal="center" wrapText="1"/>
    </xf>
    <xf numFmtId="0" fontId="48" fillId="0" borderId="66" xfId="7" applyFont="1" applyBorder="1" applyAlignment="1">
      <alignment horizontal="center" wrapText="1"/>
    </xf>
    <xf numFmtId="0" fontId="49" fillId="0" borderId="0" xfId="7" applyFont="1"/>
    <xf numFmtId="0" fontId="40" fillId="5" borderId="67" xfId="7" applyFont="1" applyFill="1" applyBorder="1" applyAlignment="1">
      <alignment horizontal="center" wrapText="1"/>
    </xf>
    <xf numFmtId="0" fontId="40" fillId="5" borderId="43" xfId="7" applyFont="1" applyFill="1" applyBorder="1" applyAlignment="1">
      <alignment horizontal="center" wrapText="1"/>
    </xf>
    <xf numFmtId="0" fontId="40" fillId="5" borderId="69" xfId="7" applyFont="1" applyFill="1" applyBorder="1" applyAlignment="1">
      <alignment horizontal="center" wrapText="1"/>
    </xf>
    <xf numFmtId="0" fontId="40" fillId="5" borderId="70" xfId="7" applyFont="1" applyFill="1" applyBorder="1" applyAlignment="1">
      <alignment horizontal="center" wrapText="1"/>
    </xf>
    <xf numFmtId="0" fontId="40" fillId="5" borderId="70" xfId="7" applyFont="1" applyFill="1" applyBorder="1" applyAlignment="1">
      <alignment horizontal="center" vertical="center"/>
    </xf>
    <xf numFmtId="0" fontId="40" fillId="5" borderId="58" xfId="7" applyFont="1" applyFill="1" applyBorder="1" applyAlignment="1">
      <alignment horizontal="center" vertical="center"/>
    </xf>
    <xf numFmtId="0" fontId="48" fillId="0" borderId="71" xfId="7" applyFont="1" applyBorder="1" applyAlignment="1">
      <alignment horizontal="center" wrapText="1"/>
    </xf>
    <xf numFmtId="0" fontId="40" fillId="0" borderId="72" xfId="7" applyFont="1" applyFill="1" applyBorder="1" applyAlignment="1">
      <alignment horizontal="left"/>
    </xf>
    <xf numFmtId="0" fontId="40" fillId="0" borderId="73" xfId="7" applyFont="1" applyFill="1" applyBorder="1" applyAlignment="1">
      <alignment horizontal="left"/>
    </xf>
    <xf numFmtId="0" fontId="40" fillId="0" borderId="73" xfId="7" applyFont="1" applyFill="1" applyBorder="1" applyAlignment="1">
      <alignment horizontal="center"/>
    </xf>
    <xf numFmtId="168" fontId="40" fillId="0" borderId="73" xfId="7" applyNumberFormat="1" applyFont="1" applyFill="1" applyBorder="1" applyAlignment="1">
      <alignment horizontal="right"/>
    </xf>
    <xf numFmtId="168" fontId="40" fillId="0" borderId="54" xfId="7" applyNumberFormat="1" applyFont="1" applyFill="1" applyBorder="1" applyAlignment="1">
      <alignment horizontal="right"/>
    </xf>
    <xf numFmtId="0" fontId="49" fillId="0" borderId="0" xfId="7" applyFont="1" applyFill="1" applyBorder="1" applyAlignment="1">
      <alignment horizontal="left"/>
    </xf>
    <xf numFmtId="0" fontId="49" fillId="0" borderId="74" xfId="7" applyFont="1" applyFill="1" applyBorder="1" applyAlignment="1">
      <alignment horizontal="left"/>
    </xf>
    <xf numFmtId="0" fontId="44" fillId="0" borderId="67" xfId="7" applyFont="1" applyFill="1" applyBorder="1" applyAlignment="1">
      <alignment horizontal="left" vertical="center"/>
    </xf>
    <xf numFmtId="0" fontId="44" fillId="0" borderId="43" xfId="7" applyFont="1" applyFill="1" applyBorder="1" applyAlignment="1">
      <alignment horizontal="left" vertical="center"/>
    </xf>
    <xf numFmtId="0" fontId="44" fillId="0" borderId="43" xfId="7" applyFont="1" applyFill="1" applyBorder="1" applyAlignment="1">
      <alignment horizontal="center" vertical="center"/>
    </xf>
    <xf numFmtId="168" fontId="44" fillId="5" borderId="43" xfId="7" applyNumberFormat="1" applyFont="1" applyFill="1" applyBorder="1" applyAlignment="1">
      <alignment horizontal="right" vertical="center"/>
    </xf>
    <xf numFmtId="0" fontId="40" fillId="0" borderId="67" xfId="7" applyFont="1" applyFill="1" applyBorder="1" applyAlignment="1">
      <alignment horizontal="left"/>
    </xf>
    <xf numFmtId="0" fontId="40" fillId="0" borderId="43" xfId="7" applyFont="1" applyFill="1" applyBorder="1" applyAlignment="1">
      <alignment horizontal="left"/>
    </xf>
    <xf numFmtId="0" fontId="40" fillId="0" borderId="43" xfId="7" applyFont="1" applyFill="1" applyBorder="1" applyAlignment="1">
      <alignment horizontal="center"/>
    </xf>
    <xf numFmtId="168" fontId="40" fillId="0" borderId="43" xfId="7" applyNumberFormat="1" applyFont="1" applyFill="1" applyBorder="1" applyAlignment="1">
      <alignment horizontal="right"/>
    </xf>
    <xf numFmtId="168" fontId="40" fillId="0" borderId="68" xfId="7" applyNumberFormat="1" applyFont="1" applyFill="1" applyBorder="1" applyAlignment="1">
      <alignment horizontal="right"/>
    </xf>
    <xf numFmtId="0" fontId="40" fillId="0" borderId="67" xfId="7" applyFont="1" applyBorder="1" applyAlignment="1">
      <alignment horizontal="left"/>
    </xf>
    <xf numFmtId="0" fontId="40" fillId="0" borderId="43" xfId="7" applyFont="1" applyBorder="1" applyAlignment="1">
      <alignment horizontal="left"/>
    </xf>
    <xf numFmtId="0" fontId="40" fillId="0" borderId="43" xfId="7" applyFont="1" applyBorder="1" applyAlignment="1">
      <alignment horizontal="center"/>
    </xf>
    <xf numFmtId="168" fontId="40" fillId="0" borderId="43" xfId="5" applyNumberFormat="1" applyFont="1" applyFill="1" applyBorder="1" applyAlignment="1">
      <alignment horizontal="right" vertical="center"/>
    </xf>
    <xf numFmtId="168" fontId="40" fillId="0" borderId="68" xfId="5" applyNumberFormat="1" applyFont="1" applyFill="1" applyBorder="1" applyAlignment="1">
      <alignment horizontal="right" vertical="center"/>
    </xf>
    <xf numFmtId="0" fontId="49" fillId="0" borderId="0" xfId="7" applyFont="1" applyBorder="1" applyAlignment="1">
      <alignment horizontal="left"/>
    </xf>
    <xf numFmtId="0" fontId="49" fillId="0" borderId="74" xfId="7" applyFont="1" applyBorder="1" applyAlignment="1">
      <alignment horizontal="left"/>
    </xf>
    <xf numFmtId="168" fontId="40" fillId="0" borderId="43" xfId="7" applyNumberFormat="1" applyFont="1" applyBorder="1" applyAlignment="1">
      <alignment horizontal="right"/>
    </xf>
    <xf numFmtId="168" fontId="40" fillId="0" borderId="68" xfId="7" applyNumberFormat="1" applyFont="1" applyBorder="1" applyAlignment="1">
      <alignment horizontal="right"/>
    </xf>
    <xf numFmtId="0" fontId="50" fillId="0" borderId="0" xfId="7" applyFont="1"/>
    <xf numFmtId="0" fontId="40" fillId="0" borderId="0" xfId="7" applyNumberFormat="1" applyFont="1" applyFill="1"/>
    <xf numFmtId="3" fontId="49" fillId="0" borderId="0" xfId="7" applyNumberFormat="1" applyFont="1"/>
    <xf numFmtId="0" fontId="48" fillId="0" borderId="0" xfId="7" applyFont="1" applyFill="1" applyBorder="1" applyAlignment="1">
      <alignment horizontal="left"/>
    </xf>
    <xf numFmtId="0" fontId="48" fillId="0" borderId="74" xfId="7" applyFont="1" applyFill="1" applyBorder="1" applyAlignment="1">
      <alignment horizontal="left"/>
    </xf>
    <xf numFmtId="0" fontId="44" fillId="0" borderId="0" xfId="7" applyNumberFormat="1" applyFont="1" applyFill="1"/>
    <xf numFmtId="0" fontId="48" fillId="0" borderId="0" xfId="7" applyFont="1" applyFill="1"/>
    <xf numFmtId="168" fontId="40" fillId="3" borderId="43" xfId="5" applyNumberFormat="1" applyFont="1" applyFill="1" applyBorder="1" applyAlignment="1">
      <alignment horizontal="right" vertical="center"/>
    </xf>
    <xf numFmtId="168" fontId="40" fillId="3" borderId="68" xfId="5" applyNumberFormat="1" applyFont="1" applyFill="1" applyBorder="1" applyAlignment="1">
      <alignment horizontal="right" vertical="center"/>
    </xf>
    <xf numFmtId="0" fontId="48" fillId="0" borderId="75" xfId="7" applyFont="1" applyFill="1" applyBorder="1" applyAlignment="1">
      <alignment horizontal="left"/>
    </xf>
    <xf numFmtId="3" fontId="44" fillId="0" borderId="43" xfId="7" applyNumberFormat="1" applyFont="1" applyFill="1" applyBorder="1" applyAlignment="1">
      <alignment vertical="center"/>
    </xf>
    <xf numFmtId="168" fontId="44" fillId="0" borderId="43" xfId="7" applyNumberFormat="1" applyFont="1" applyFill="1" applyBorder="1" applyAlignment="1">
      <alignment horizontal="right" vertical="center"/>
    </xf>
    <xf numFmtId="168" fontId="44" fillId="0" borderId="68" xfId="7" applyNumberFormat="1" applyFont="1" applyFill="1" applyBorder="1" applyAlignment="1">
      <alignment horizontal="right" vertical="center"/>
    </xf>
    <xf numFmtId="0" fontId="44" fillId="0" borderId="76" xfId="7" applyFont="1" applyFill="1" applyBorder="1" applyAlignment="1">
      <alignment horizontal="left" vertical="center"/>
    </xf>
    <xf numFmtId="3" fontId="44" fillId="0" borderId="77" xfId="7" applyNumberFormat="1" applyFont="1" applyFill="1" applyBorder="1" applyAlignment="1">
      <alignment vertical="center"/>
    </xf>
    <xf numFmtId="0" fontId="44" fillId="0" borderId="77" xfId="7" applyFont="1" applyFill="1" applyBorder="1" applyAlignment="1">
      <alignment horizontal="center" vertical="center"/>
    </xf>
    <xf numFmtId="0" fontId="48" fillId="0" borderId="0" xfId="7" applyFont="1" applyFill="1" applyAlignment="1">
      <alignment horizontal="left"/>
    </xf>
    <xf numFmtId="3" fontId="49" fillId="0" borderId="0" xfId="7" applyNumberFormat="1" applyFont="1" applyFill="1" applyBorder="1"/>
    <xf numFmtId="49" fontId="49" fillId="0" borderId="0" xfId="7" applyNumberFormat="1" applyFont="1" applyBorder="1" applyAlignment="1">
      <alignment horizontal="center"/>
    </xf>
    <xf numFmtId="3" fontId="40" fillId="0" borderId="0" xfId="7" applyNumberFormat="1" applyFont="1" applyFill="1" applyBorder="1"/>
    <xf numFmtId="0" fontId="40" fillId="0" borderId="0" xfId="7" applyFont="1" applyFill="1" applyBorder="1"/>
    <xf numFmtId="0" fontId="49" fillId="0" borderId="0" xfId="7" applyFont="1" applyFill="1" applyAlignment="1">
      <alignment horizontal="left"/>
    </xf>
    <xf numFmtId="0" fontId="49" fillId="0" borderId="0" xfId="7" applyFont="1" applyFill="1"/>
    <xf numFmtId="3" fontId="40" fillId="0" borderId="0" xfId="7" applyNumberFormat="1" applyFont="1" applyFill="1"/>
    <xf numFmtId="0" fontId="40" fillId="0" borderId="0" xfId="7" applyFont="1" applyFill="1"/>
    <xf numFmtId="0" fontId="51" fillId="6" borderId="0" xfId="7" applyFont="1" applyFill="1"/>
    <xf numFmtId="3" fontId="52" fillId="6" borderId="0" xfId="7" applyNumberFormat="1" applyFont="1" applyFill="1"/>
    <xf numFmtId="0" fontId="38" fillId="0" borderId="0" xfId="7" applyFont="1" applyFill="1" applyAlignment="1">
      <alignment horizontal="left"/>
    </xf>
    <xf numFmtId="0" fontId="38" fillId="0" borderId="0" xfId="7" applyFont="1" applyFill="1"/>
    <xf numFmtId="0" fontId="38" fillId="0" borderId="0" xfId="7" applyFont="1" applyFill="1" applyBorder="1" applyAlignment="1">
      <alignment horizontal="left"/>
    </xf>
    <xf numFmtId="3" fontId="0" fillId="0" borderId="0" xfId="0" applyNumberFormat="1"/>
    <xf numFmtId="0" fontId="0" fillId="0" borderId="79" xfId="0" applyBorder="1"/>
    <xf numFmtId="0" fontId="0" fillId="0" borderId="0" xfId="0" applyBorder="1"/>
    <xf numFmtId="3" fontId="0" fillId="0" borderId="0" xfId="0" applyNumberFormat="1" applyBorder="1"/>
    <xf numFmtId="3" fontId="0" fillId="0" borderId="79" xfId="0" applyNumberFormat="1" applyBorder="1"/>
    <xf numFmtId="0" fontId="20" fillId="0" borderId="81" xfId="0" applyFont="1" applyBorder="1" applyAlignment="1">
      <alignment horizontal="center"/>
    </xf>
    <xf numFmtId="0" fontId="0" fillId="0" borderId="81" xfId="0" applyBorder="1"/>
    <xf numFmtId="3" fontId="0" fillId="0" borderId="81" xfId="0" applyNumberFormat="1" applyBorder="1"/>
    <xf numFmtId="0" fontId="0" fillId="0" borderId="80" xfId="0" applyBorder="1"/>
    <xf numFmtId="0" fontId="20" fillId="0" borderId="79" xfId="0" applyFont="1" applyBorder="1"/>
    <xf numFmtId="0" fontId="0" fillId="0" borderId="81" xfId="0" applyBorder="1" applyAlignment="1">
      <alignment wrapText="1"/>
    </xf>
    <xf numFmtId="0" fontId="20" fillId="0" borderId="0" xfId="0" applyFont="1" applyBorder="1" applyAlignment="1"/>
    <xf numFmtId="0" fontId="21" fillId="0" borderId="82" xfId="0" applyFont="1" applyBorder="1" applyAlignment="1">
      <alignment horizontal="center" vertical="center" wrapText="1"/>
    </xf>
    <xf numFmtId="0" fontId="21" fillId="0" borderId="83" xfId="0" applyFont="1" applyBorder="1" applyAlignment="1">
      <alignment horizontal="center" vertical="center" wrapText="1"/>
    </xf>
    <xf numFmtId="0" fontId="20" fillId="0" borderId="80" xfId="0" applyFont="1" applyBorder="1" applyAlignment="1"/>
    <xf numFmtId="3" fontId="0" fillId="0" borderId="80" xfId="0" applyNumberFormat="1" applyBorder="1"/>
    <xf numFmtId="0" fontId="20" fillId="0" borderId="80" xfId="0" applyFont="1" applyBorder="1" applyAlignment="1">
      <alignment horizontal="center"/>
    </xf>
    <xf numFmtId="0" fontId="21" fillId="0" borderId="0" xfId="0" applyFont="1" applyBorder="1" applyAlignment="1">
      <alignment horizontal="center" vertical="center" wrapText="1"/>
    </xf>
    <xf numFmtId="3" fontId="22" fillId="0" borderId="87" xfId="0" applyNumberFormat="1" applyFont="1" applyBorder="1" applyAlignment="1">
      <alignment horizontal="right" vertical="center"/>
    </xf>
    <xf numFmtId="3" fontId="22" fillId="0" borderId="30" xfId="0" applyNumberFormat="1" applyFont="1" applyBorder="1" applyAlignment="1">
      <alignment horizontal="right" vertical="center"/>
    </xf>
    <xf numFmtId="3" fontId="22" fillId="0" borderId="46" xfId="0" applyNumberFormat="1" applyFont="1" applyBorder="1" applyAlignment="1">
      <alignment horizontal="right" vertical="center"/>
    </xf>
    <xf numFmtId="3" fontId="0" fillId="0" borderId="84" xfId="0" applyNumberFormat="1" applyBorder="1"/>
    <xf numFmtId="0" fontId="22" fillId="0" borderId="81" xfId="0" applyFont="1" applyBorder="1" applyAlignment="1">
      <alignment vertical="center"/>
    </xf>
    <xf numFmtId="0" fontId="22" fillId="0" borderId="79" xfId="0" applyFont="1" applyBorder="1" applyAlignment="1">
      <alignment vertical="center"/>
    </xf>
    <xf numFmtId="0" fontId="22" fillId="0" borderId="80" xfId="0" applyFont="1" applyBorder="1" applyAlignment="1">
      <alignment vertical="center"/>
    </xf>
    <xf numFmtId="3" fontId="22" fillId="0" borderId="80" xfId="0" applyNumberFormat="1" applyFont="1" applyBorder="1" applyAlignment="1">
      <alignment vertical="center"/>
    </xf>
    <xf numFmtId="0" fontId="22" fillId="7" borderId="80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9" xfId="0" applyBorder="1" applyAlignment="1">
      <alignment wrapText="1"/>
    </xf>
    <xf numFmtId="0" fontId="0" fillId="0" borderId="80" xfId="0" applyBorder="1" applyAlignment="1">
      <alignment wrapText="1"/>
    </xf>
    <xf numFmtId="0" fontId="0" fillId="0" borderId="81" xfId="0" applyBorder="1" applyAlignment="1">
      <alignment horizontal="center"/>
    </xf>
    <xf numFmtId="3" fontId="22" fillId="0" borderId="81" xfId="0" applyNumberFormat="1" applyFont="1" applyBorder="1" applyAlignment="1">
      <alignment vertical="center"/>
    </xf>
    <xf numFmtId="0" fontId="22" fillId="7" borderId="81" xfId="0" applyFont="1" applyFill="1" applyBorder="1" applyAlignment="1">
      <alignment vertical="center"/>
    </xf>
    <xf numFmtId="3" fontId="22" fillId="0" borderId="79" xfId="0" applyNumberFormat="1" applyFont="1" applyBorder="1" applyAlignment="1">
      <alignment vertical="center"/>
    </xf>
    <xf numFmtId="0" fontId="22" fillId="7" borderId="79" xfId="0" applyFont="1" applyFill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0" fillId="0" borderId="81" xfId="0" applyNumberFormat="1" applyBorder="1" applyAlignment="1">
      <alignment horizontal="centerContinuous"/>
    </xf>
    <xf numFmtId="0" fontId="0" fillId="0" borderId="79" xfId="0" applyNumberFormat="1" applyBorder="1" applyAlignment="1">
      <alignment horizontal="centerContinuous"/>
    </xf>
    <xf numFmtId="0" fontId="21" fillId="0" borderId="32" xfId="0" applyNumberFormat="1" applyFont="1" applyBorder="1" applyAlignment="1">
      <alignment horizontal="centerContinuous" vertical="center" wrapText="1"/>
    </xf>
    <xf numFmtId="0" fontId="0" fillId="0" borderId="79" xfId="0" applyNumberFormat="1" applyBorder="1" applyAlignment="1">
      <alignment horizontal="right"/>
    </xf>
    <xf numFmtId="0" fontId="0" fillId="0" borderId="81" xfId="0" applyNumberFormat="1" applyBorder="1" applyAlignment="1">
      <alignment horizontal="right"/>
    </xf>
    <xf numFmtId="0" fontId="27" fillId="0" borderId="0" xfId="2" applyNumberFormat="1" applyFont="1" applyAlignment="1">
      <alignment horizontal="center"/>
    </xf>
    <xf numFmtId="0" fontId="27" fillId="0" borderId="0" xfId="2" applyFont="1" applyAlignment="1">
      <alignment horizontal="right"/>
    </xf>
    <xf numFmtId="0" fontId="18" fillId="0" borderId="0" xfId="0" applyFont="1" applyAlignment="1">
      <alignment horizontal="left" wrapText="1"/>
    </xf>
    <xf numFmtId="0" fontId="0" fillId="7" borderId="79" xfId="0" applyFill="1" applyBorder="1"/>
    <xf numFmtId="0" fontId="0" fillId="7" borderId="81" xfId="0" applyFill="1" applyBorder="1"/>
    <xf numFmtId="3" fontId="0" fillId="0" borderId="79" xfId="0" applyNumberFormat="1" applyFill="1" applyBorder="1"/>
    <xf numFmtId="3" fontId="0" fillId="0" borderId="81" xfId="0" applyNumberFormat="1" applyFill="1" applyBorder="1"/>
    <xf numFmtId="0" fontId="0" fillId="0" borderId="79" xfId="0" applyFill="1" applyBorder="1"/>
    <xf numFmtId="0" fontId="0" fillId="0" borderId="81" xfId="0" applyFill="1" applyBorder="1"/>
    <xf numFmtId="0" fontId="0" fillId="0" borderId="79" xfId="0" applyBorder="1" applyAlignment="1">
      <alignment horizontal="center"/>
    </xf>
    <xf numFmtId="0" fontId="0" fillId="0" borderId="90" xfId="0" applyBorder="1"/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3" fontId="0" fillId="7" borderId="80" xfId="0" applyNumberFormat="1" applyFill="1" applyBorder="1"/>
    <xf numFmtId="0" fontId="21" fillId="0" borderId="7" xfId="0" applyFont="1" applyBorder="1" applyAlignment="1">
      <alignment horizontal="center" vertical="center" wrapText="1"/>
    </xf>
    <xf numFmtId="0" fontId="29" fillId="0" borderId="0" xfId="8" applyFill="1" applyAlignment="1">
      <alignment vertical="center"/>
    </xf>
    <xf numFmtId="0" fontId="64" fillId="0" borderId="0" xfId="8" applyFont="1" applyFill="1" applyAlignment="1">
      <alignment horizontal="left" vertical="center"/>
    </xf>
    <xf numFmtId="0" fontId="68" fillId="0" borderId="0" xfId="8" applyFont="1" applyFill="1" applyAlignment="1">
      <alignment horizontal="left" vertical="center"/>
    </xf>
    <xf numFmtId="0" fontId="68" fillId="0" borderId="13" xfId="8" applyFont="1" applyFill="1" applyBorder="1" applyAlignment="1">
      <alignment horizontal="left" vertical="center"/>
    </xf>
    <xf numFmtId="0" fontId="68" fillId="0" borderId="101" xfId="8" applyFont="1" applyFill="1" applyBorder="1" applyAlignment="1">
      <alignment horizontal="left" vertical="center"/>
    </xf>
    <xf numFmtId="0" fontId="64" fillId="0" borderId="101" xfId="8" applyFont="1" applyFill="1" applyBorder="1" applyAlignment="1">
      <alignment horizontal="left" vertical="center"/>
    </xf>
    <xf numFmtId="0" fontId="64" fillId="0" borderId="100" xfId="8" applyFont="1" applyFill="1" applyBorder="1" applyAlignment="1">
      <alignment horizontal="left" vertical="center"/>
    </xf>
    <xf numFmtId="0" fontId="61" fillId="0" borderId="0" xfId="8" applyFont="1" applyFill="1" applyAlignment="1">
      <alignment horizontal="left" vertical="center"/>
    </xf>
    <xf numFmtId="0" fontId="68" fillId="0" borderId="29" xfId="8" applyFont="1" applyFill="1" applyBorder="1" applyAlignment="1">
      <alignment horizontal="left" vertical="center"/>
    </xf>
    <xf numFmtId="0" fontId="68" fillId="0" borderId="0" xfId="8" applyFont="1" applyFill="1" applyBorder="1" applyAlignment="1">
      <alignment horizontal="left" vertical="center"/>
    </xf>
    <xf numFmtId="0" fontId="61" fillId="0" borderId="0" xfId="8" applyFont="1" applyFill="1" applyBorder="1" applyAlignment="1">
      <alignment horizontal="left" vertical="center"/>
    </xf>
    <xf numFmtId="0" fontId="61" fillId="0" borderId="99" xfId="8" applyFont="1" applyFill="1" applyBorder="1" applyAlignment="1">
      <alignment horizontal="left" vertical="center"/>
    </xf>
    <xf numFmtId="0" fontId="64" fillId="0" borderId="0" xfId="8" applyFont="1" applyFill="1" applyBorder="1" applyAlignment="1">
      <alignment horizontal="left" vertical="center"/>
    </xf>
    <xf numFmtId="0" fontId="64" fillId="0" borderId="99" xfId="8" applyFont="1" applyFill="1" applyBorder="1" applyAlignment="1">
      <alignment horizontal="left" vertical="center"/>
    </xf>
    <xf numFmtId="0" fontId="29" fillId="0" borderId="0" xfId="8" applyFill="1" applyBorder="1" applyAlignment="1">
      <alignment vertical="center"/>
    </xf>
    <xf numFmtId="0" fontId="29" fillId="0" borderId="99" xfId="8" applyFill="1" applyBorder="1" applyAlignment="1">
      <alignment vertical="center"/>
    </xf>
    <xf numFmtId="0" fontId="68" fillId="0" borderId="98" xfId="8" applyFont="1" applyFill="1" applyBorder="1" applyAlignment="1">
      <alignment horizontal="left" vertical="center"/>
    </xf>
    <xf numFmtId="0" fontId="68" fillId="0" borderId="97" xfId="8" applyFont="1" applyFill="1" applyBorder="1" applyAlignment="1">
      <alignment horizontal="left" vertical="center"/>
    </xf>
    <xf numFmtId="0" fontId="61" fillId="0" borderId="97" xfId="8" applyFont="1" applyFill="1" applyBorder="1" applyAlignment="1">
      <alignment horizontal="left" vertical="center"/>
    </xf>
    <xf numFmtId="0" fontId="74" fillId="0" borderId="96" xfId="8" applyFont="1" applyFill="1" applyBorder="1" applyAlignment="1">
      <alignment horizontal="left" vertical="center"/>
    </xf>
    <xf numFmtId="0" fontId="61" fillId="0" borderId="109" xfId="8" applyFont="1" applyFill="1" applyBorder="1" applyAlignment="1">
      <alignment horizontal="left" vertical="center"/>
    </xf>
    <xf numFmtId="0" fontId="61" fillId="0" borderId="101" xfId="8" applyFont="1" applyFill="1" applyBorder="1" applyAlignment="1">
      <alignment horizontal="left" vertical="center"/>
    </xf>
    <xf numFmtId="0" fontId="61" fillId="0" borderId="100" xfId="8" applyFont="1" applyFill="1" applyBorder="1" applyAlignment="1">
      <alignment horizontal="left" vertical="center"/>
    </xf>
    <xf numFmtId="0" fontId="29" fillId="0" borderId="81" xfId="8" applyBorder="1" applyAlignment="1">
      <alignment horizontal="center" vertical="center"/>
    </xf>
    <xf numFmtId="0" fontId="29" fillId="0" borderId="0" xfId="8" applyAlignment="1">
      <alignment horizontal="center" vertical="center"/>
    </xf>
    <xf numFmtId="0" fontId="64" fillId="0" borderId="79" xfId="8" applyFont="1" applyFill="1" applyBorder="1" applyAlignment="1">
      <alignment horizontal="center" vertical="center"/>
    </xf>
    <xf numFmtId="0" fontId="64" fillId="0" borderId="81" xfId="8" applyFont="1" applyFill="1" applyBorder="1" applyAlignment="1">
      <alignment horizontal="center" vertical="center"/>
    </xf>
    <xf numFmtId="1" fontId="68" fillId="0" borderId="0" xfId="8" applyNumberFormat="1" applyFont="1" applyFill="1" applyBorder="1" applyAlignment="1">
      <alignment horizontal="center" vertical="center"/>
    </xf>
    <xf numFmtId="169" fontId="68" fillId="0" borderId="0" xfId="8" applyNumberFormat="1" applyFont="1" applyFill="1" applyBorder="1" applyAlignment="1">
      <alignment horizontal="center" vertical="center"/>
    </xf>
    <xf numFmtId="170" fontId="68" fillId="0" borderId="0" xfId="8" applyNumberFormat="1" applyFont="1" applyFill="1" applyBorder="1" applyAlignment="1">
      <alignment horizontal="center" vertical="center"/>
    </xf>
    <xf numFmtId="170" fontId="68" fillId="0" borderId="99" xfId="8" applyNumberFormat="1" applyFont="1" applyFill="1" applyBorder="1" applyAlignment="1">
      <alignment horizontal="center" vertical="center"/>
    </xf>
    <xf numFmtId="0" fontId="29" fillId="0" borderId="29" xfId="8" applyFill="1" applyBorder="1" applyAlignment="1"/>
    <xf numFmtId="0" fontId="29" fillId="0" borderId="0" xfId="8" applyFill="1" applyBorder="1" applyAlignment="1"/>
    <xf numFmtId="0" fontId="64" fillId="0" borderId="79" xfId="8" applyFont="1" applyFill="1" applyBorder="1" applyAlignment="1">
      <alignment vertical="top" wrapText="1"/>
    </xf>
    <xf numFmtId="0" fontId="64" fillId="0" borderId="81" xfId="8" applyFont="1" applyFill="1" applyBorder="1" applyAlignment="1">
      <alignment vertical="top" wrapText="1"/>
    </xf>
    <xf numFmtId="0" fontId="64" fillId="0" borderId="0" xfId="8" applyFont="1" applyFill="1" applyBorder="1" applyAlignment="1">
      <alignment vertical="top" wrapText="1"/>
    </xf>
    <xf numFmtId="0" fontId="64" fillId="0" borderId="0" xfId="8" applyFont="1" applyFill="1" applyBorder="1" applyAlignment="1">
      <alignment vertical="center" wrapText="1"/>
    </xf>
    <xf numFmtId="0" fontId="64" fillId="0" borderId="81" xfId="8" applyFont="1" applyFill="1" applyBorder="1" applyAlignment="1">
      <alignment vertical="center" wrapText="1"/>
    </xf>
    <xf numFmtId="1" fontId="64" fillId="0" borderId="0" xfId="8" applyNumberFormat="1" applyFont="1" applyFill="1" applyBorder="1" applyAlignment="1">
      <alignment horizontal="left" vertical="center"/>
    </xf>
    <xf numFmtId="0" fontId="64" fillId="0" borderId="89" xfId="8" applyFont="1" applyFill="1" applyBorder="1" applyAlignment="1">
      <alignment vertical="center" wrapText="1"/>
    </xf>
    <xf numFmtId="1" fontId="64" fillId="0" borderId="103" xfId="8" applyNumberFormat="1" applyFont="1" applyFill="1" applyBorder="1" applyAlignment="1">
      <alignment horizontal="left" vertical="center"/>
    </xf>
    <xf numFmtId="0" fontId="64" fillId="0" borderId="103" xfId="8" applyFont="1" applyFill="1" applyBorder="1" applyAlignment="1">
      <alignment horizontal="left" vertical="center"/>
    </xf>
    <xf numFmtId="0" fontId="64" fillId="0" borderId="102" xfId="8" applyFont="1" applyFill="1" applyBorder="1" applyAlignment="1">
      <alignment horizontal="left" vertical="center"/>
    </xf>
    <xf numFmtId="0" fontId="63" fillId="0" borderId="81" xfId="8" applyFont="1" applyFill="1" applyBorder="1" applyAlignment="1">
      <alignment horizontal="center" vertical="center" wrapText="1"/>
    </xf>
    <xf numFmtId="0" fontId="73" fillId="0" borderId="0" xfId="8" applyFont="1" applyFill="1" applyAlignment="1">
      <alignment horizontal="left" vertical="center"/>
    </xf>
    <xf numFmtId="0" fontId="73" fillId="0" borderId="107" xfId="8" applyFont="1" applyFill="1" applyBorder="1" applyAlignment="1">
      <alignment horizontal="left" vertical="center"/>
    </xf>
    <xf numFmtId="0" fontId="29" fillId="0" borderId="97" xfId="8" applyFill="1" applyBorder="1" applyAlignment="1">
      <alignment vertical="center"/>
    </xf>
    <xf numFmtId="0" fontId="64" fillId="0" borderId="96" xfId="8" applyFont="1" applyFill="1" applyBorder="1" applyAlignment="1">
      <alignment vertical="center"/>
    </xf>
    <xf numFmtId="0" fontId="68" fillId="0" borderId="13" xfId="8" applyFont="1" applyFill="1" applyBorder="1" applyAlignment="1">
      <alignment horizontal="center" vertical="center"/>
    </xf>
    <xf numFmtId="0" fontId="68" fillId="0" borderId="101" xfId="8" applyFont="1" applyFill="1" applyBorder="1" applyAlignment="1">
      <alignment horizontal="center" vertical="center"/>
    </xf>
    <xf numFmtId="0" fontId="68" fillId="0" borderId="100" xfId="8" applyFont="1" applyFill="1" applyBorder="1" applyAlignment="1">
      <alignment horizontal="center" vertical="center"/>
    </xf>
    <xf numFmtId="0" fontId="68" fillId="0" borderId="0" xfId="8" applyFont="1" applyFill="1" applyBorder="1" applyAlignment="1">
      <alignment horizontal="center" vertical="center"/>
    </xf>
    <xf numFmtId="0" fontId="68" fillId="0" borderId="0" xfId="8" applyFont="1" applyFill="1" applyBorder="1" applyAlignment="1">
      <alignment vertical="center"/>
    </xf>
    <xf numFmtId="0" fontId="71" fillId="0" borderId="0" xfId="8" applyFont="1" applyFill="1" applyBorder="1" applyAlignment="1">
      <alignment vertical="center"/>
    </xf>
    <xf numFmtId="0" fontId="68" fillId="0" borderId="99" xfId="8" applyFont="1" applyFill="1" applyBorder="1" applyAlignment="1">
      <alignment vertical="center"/>
    </xf>
    <xf numFmtId="0" fontId="64" fillId="0" borderId="0" xfId="8" applyFont="1" applyFill="1" applyBorder="1" applyAlignment="1">
      <alignment vertical="center"/>
    </xf>
    <xf numFmtId="0" fontId="64" fillId="0" borderId="99" xfId="8" applyFont="1" applyFill="1" applyBorder="1" applyAlignment="1">
      <alignment vertical="center"/>
    </xf>
    <xf numFmtId="0" fontId="72" fillId="0" borderId="0" xfId="8" applyFont="1" applyFill="1" applyAlignment="1">
      <alignment vertical="center"/>
    </xf>
    <xf numFmtId="0" fontId="68" fillId="0" borderId="29" xfId="8" applyFont="1" applyFill="1" applyBorder="1" applyAlignment="1">
      <alignment horizontal="center" vertical="center"/>
    </xf>
    <xf numFmtId="0" fontId="68" fillId="0" borderId="99" xfId="8" applyFont="1" applyFill="1" applyBorder="1" applyAlignment="1">
      <alignment horizontal="center" vertical="center"/>
    </xf>
    <xf numFmtId="0" fontId="65" fillId="0" borderId="0" xfId="8" applyFont="1" applyFill="1" applyAlignment="1">
      <alignment vertical="center"/>
    </xf>
    <xf numFmtId="0" fontId="69" fillId="0" borderId="106" xfId="8" applyFont="1" applyFill="1" applyBorder="1" applyAlignment="1">
      <alignment horizontal="left" vertical="center"/>
    </xf>
    <xf numFmtId="0" fontId="69" fillId="0" borderId="92" xfId="8" applyFont="1" applyFill="1" applyBorder="1" applyAlignment="1">
      <alignment horizontal="left" vertical="center"/>
    </xf>
    <xf numFmtId="0" fontId="65" fillId="0" borderId="92" xfId="8" applyFont="1" applyFill="1" applyBorder="1" applyAlignment="1">
      <alignment vertical="center"/>
    </xf>
    <xf numFmtId="0" fontId="65" fillId="0" borderId="105" xfId="8" applyFont="1" applyFill="1" applyBorder="1" applyAlignment="1">
      <alignment vertical="center"/>
    </xf>
    <xf numFmtId="0" fontId="63" fillId="0" borderId="104" xfId="8" applyFont="1" applyFill="1" applyBorder="1" applyAlignment="1">
      <alignment horizontal="center" vertical="center"/>
    </xf>
    <xf numFmtId="0" fontId="63" fillId="0" borderId="103" xfId="8" applyFont="1" applyFill="1" applyBorder="1" applyAlignment="1">
      <alignment horizontal="center" vertical="center"/>
    </xf>
    <xf numFmtId="0" fontId="63" fillId="0" borderId="102" xfId="8" applyFont="1" applyFill="1" applyBorder="1" applyAlignment="1">
      <alignment horizontal="center" vertical="center"/>
    </xf>
    <xf numFmtId="0" fontId="69" fillId="0" borderId="104" xfId="8" applyFont="1" applyFill="1" applyBorder="1" applyAlignment="1">
      <alignment horizontal="left" vertical="center"/>
    </xf>
    <xf numFmtId="0" fontId="69" fillId="0" borderId="103" xfId="8" applyFont="1" applyFill="1" applyBorder="1" applyAlignment="1">
      <alignment horizontal="left" vertical="center"/>
    </xf>
    <xf numFmtId="0" fontId="69" fillId="0" borderId="103" xfId="8" applyFont="1" applyFill="1" applyBorder="1" applyAlignment="1">
      <alignment vertical="center"/>
    </xf>
    <xf numFmtId="0" fontId="69" fillId="0" borderId="102" xfId="8" applyFont="1" applyFill="1" applyBorder="1" applyAlignment="1">
      <alignment vertical="center"/>
    </xf>
    <xf numFmtId="0" fontId="67" fillId="0" borderId="0" xfId="8" applyFont="1" applyFill="1" applyAlignment="1">
      <alignment horizontal="left" vertical="center"/>
    </xf>
    <xf numFmtId="0" fontId="67" fillId="0" borderId="97" xfId="8" applyFont="1" applyFill="1" applyBorder="1" applyAlignment="1">
      <alignment horizontal="left" vertical="center"/>
    </xf>
    <xf numFmtId="0" fontId="64" fillId="0" borderId="96" xfId="8" applyFont="1" applyFill="1" applyBorder="1" applyAlignment="1">
      <alignment horizontal="left" vertical="center"/>
    </xf>
    <xf numFmtId="0" fontId="67" fillId="0" borderId="0" xfId="8" applyFont="1" applyFill="1" applyBorder="1" applyAlignment="1">
      <alignment horizontal="left" vertical="center"/>
    </xf>
    <xf numFmtId="0" fontId="64" fillId="0" borderId="101" xfId="8" applyFont="1" applyFill="1" applyBorder="1" applyAlignment="1">
      <alignment horizontal="left"/>
    </xf>
    <xf numFmtId="0" fontId="67" fillId="0" borderId="101" xfId="8" applyFont="1" applyFill="1" applyBorder="1" applyAlignment="1">
      <alignment horizontal="left" vertical="center"/>
    </xf>
    <xf numFmtId="0" fontId="67" fillId="0" borderId="13" xfId="8" applyFont="1" applyFill="1" applyBorder="1" applyAlignment="1">
      <alignment horizontal="left" vertical="center"/>
    </xf>
    <xf numFmtId="0" fontId="68" fillId="0" borderId="100" xfId="8" applyFont="1" applyFill="1" applyBorder="1" applyAlignment="1">
      <alignment horizontal="left" vertical="center"/>
    </xf>
    <xf numFmtId="0" fontId="64" fillId="0" borderId="0" xfId="8" applyFont="1" applyFill="1" applyBorder="1" applyAlignment="1">
      <alignment horizontal="left"/>
    </xf>
    <xf numFmtId="0" fontId="67" fillId="0" borderId="29" xfId="8" applyFont="1" applyFill="1" applyBorder="1" applyAlignment="1">
      <alignment horizontal="left" vertical="center"/>
    </xf>
    <xf numFmtId="0" fontId="68" fillId="0" borderId="0" xfId="8" applyFont="1" applyFill="1" applyBorder="1" applyAlignment="1">
      <alignment horizontal="left"/>
    </xf>
    <xf numFmtId="0" fontId="28" fillId="0" borderId="0" xfId="8" applyFont="1" applyFill="1" applyBorder="1" applyAlignment="1">
      <alignment horizontal="left"/>
    </xf>
    <xf numFmtId="0" fontId="63" fillId="0" borderId="0" xfId="8" applyFont="1" applyFill="1" applyBorder="1" applyAlignment="1">
      <alignment horizontal="center" vertical="center"/>
    </xf>
    <xf numFmtId="0" fontId="68" fillId="0" borderId="0" xfId="8" applyFont="1" applyFill="1" applyBorder="1" applyAlignment="1">
      <alignment horizontal="center"/>
    </xf>
    <xf numFmtId="0" fontId="68" fillId="0" borderId="99" xfId="8" applyFont="1" applyFill="1" applyBorder="1" applyAlignment="1" applyProtection="1">
      <alignment horizontal="center" vertical="center"/>
      <protection locked="0"/>
    </xf>
    <xf numFmtId="0" fontId="67" fillId="0" borderId="100" xfId="8" applyFont="1" applyFill="1" applyBorder="1" applyAlignment="1">
      <alignment horizontal="left"/>
    </xf>
    <xf numFmtId="0" fontId="70" fillId="0" borderId="0" xfId="8" applyFont="1" applyFill="1" applyBorder="1" applyAlignment="1">
      <alignment horizontal="center" vertical="center"/>
    </xf>
    <xf numFmtId="0" fontId="67" fillId="0" borderId="98" xfId="8" applyFont="1" applyFill="1" applyBorder="1" applyAlignment="1">
      <alignment horizontal="left" vertical="center"/>
    </xf>
    <xf numFmtId="0" fontId="64" fillId="0" borderId="97" xfId="8" applyFont="1" applyFill="1" applyBorder="1" applyAlignment="1">
      <alignment horizontal="left" vertical="center"/>
    </xf>
    <xf numFmtId="0" fontId="69" fillId="0" borderId="97" xfId="8" applyFont="1" applyFill="1" applyBorder="1" applyAlignment="1">
      <alignment horizontal="left" vertical="center"/>
    </xf>
    <xf numFmtId="0" fontId="66" fillId="0" borderId="0" xfId="8" applyFont="1" applyFill="1" applyAlignment="1">
      <alignment horizontal="left" vertical="center"/>
    </xf>
    <xf numFmtId="0" fontId="66" fillId="0" borderId="13" xfId="8" applyFont="1" applyFill="1" applyBorder="1" applyAlignment="1">
      <alignment horizontal="left" vertical="center"/>
    </xf>
    <xf numFmtId="0" fontId="66" fillId="0" borderId="101" xfId="8" applyFont="1" applyFill="1" applyBorder="1" applyAlignment="1">
      <alignment horizontal="left" vertical="center"/>
    </xf>
    <xf numFmtId="0" fontId="66" fillId="0" borderId="100" xfId="8" applyFont="1" applyFill="1" applyBorder="1" applyAlignment="1">
      <alignment horizontal="left" vertical="center"/>
    </xf>
    <xf numFmtId="0" fontId="64" fillId="0" borderId="29" xfId="8" applyFont="1" applyFill="1" applyBorder="1" applyAlignment="1">
      <alignment horizontal="left" vertical="center"/>
    </xf>
    <xf numFmtId="0" fontId="65" fillId="0" borderId="0" xfId="8" applyFont="1" applyFill="1" applyAlignment="1">
      <alignment horizontal="left" vertical="center"/>
    </xf>
    <xf numFmtId="0" fontId="65" fillId="0" borderId="98" xfId="8" applyFont="1" applyFill="1" applyBorder="1" applyAlignment="1">
      <alignment horizontal="left" vertical="center"/>
    </xf>
    <xf numFmtId="0" fontId="65" fillId="0" borderId="97" xfId="8" applyFont="1" applyFill="1" applyBorder="1" applyAlignment="1">
      <alignment horizontal="left" vertical="center"/>
    </xf>
    <xf numFmtId="0" fontId="65" fillId="0" borderId="96" xfId="8" applyFont="1" applyFill="1" applyBorder="1" applyAlignment="1">
      <alignment horizontal="left" vertical="center"/>
    </xf>
    <xf numFmtId="0" fontId="29" fillId="0" borderId="17" xfId="8" applyFill="1" applyBorder="1" applyAlignment="1">
      <alignment vertical="center"/>
    </xf>
    <xf numFmtId="0" fontId="29" fillId="0" borderId="95" xfId="8" applyFill="1" applyBorder="1" applyAlignment="1">
      <alignment vertical="center"/>
    </xf>
    <xf numFmtId="0" fontId="64" fillId="0" borderId="95" xfId="8" quotePrefix="1" applyFont="1" applyFill="1" applyBorder="1" applyAlignment="1">
      <alignment horizontal="left" vertical="center"/>
    </xf>
    <xf numFmtId="0" fontId="63" fillId="0" borderId="95" xfId="8" applyFont="1" applyFill="1" applyBorder="1" applyAlignment="1">
      <alignment horizontal="center" vertical="center"/>
    </xf>
    <xf numFmtId="0" fontId="61" fillId="0" borderId="94" xfId="8" applyFont="1" applyFill="1" applyBorder="1" applyAlignment="1">
      <alignment vertical="center"/>
    </xf>
    <xf numFmtId="0" fontId="62" fillId="0" borderId="0" xfId="8" applyFont="1" applyFill="1" applyAlignment="1">
      <alignment horizontal="left" vertical="center"/>
    </xf>
    <xf numFmtId="0" fontId="29" fillId="0" borderId="93" xfId="8" applyFont="1" applyFill="1" applyBorder="1" applyAlignment="1">
      <alignment horizontal="left" vertical="center"/>
    </xf>
    <xf numFmtId="0" fontId="61" fillId="0" borderId="92" xfId="8" applyFont="1" applyFill="1" applyBorder="1" applyAlignment="1">
      <alignment horizontal="left" vertical="center"/>
    </xf>
    <xf numFmtId="0" fontId="29" fillId="0" borderId="91" xfId="8" applyFont="1" applyFill="1" applyBorder="1" applyAlignment="1">
      <alignment horizontal="left" vertical="center"/>
    </xf>
    <xf numFmtId="0" fontId="59" fillId="0" borderId="0" xfId="8" applyFont="1" applyFill="1" applyAlignment="1">
      <alignment horizontal="left" vertical="center"/>
    </xf>
    <xf numFmtId="0" fontId="60" fillId="0" borderId="0" xfId="8" quotePrefix="1" applyFont="1" applyFill="1" applyAlignment="1">
      <alignment horizontal="left" vertical="center"/>
    </xf>
    <xf numFmtId="0" fontId="64" fillId="0" borderId="0" xfId="8" applyFont="1" applyFill="1" applyAlignment="1">
      <alignment vertical="center"/>
    </xf>
    <xf numFmtId="49" fontId="77" fillId="0" borderId="43" xfId="8" applyNumberFormat="1" applyFont="1" applyFill="1" applyBorder="1" applyAlignment="1">
      <alignment horizontal="center" vertical="top"/>
    </xf>
    <xf numFmtId="0" fontId="77" fillId="0" borderId="76" xfId="8" applyFont="1" applyFill="1" applyBorder="1" applyAlignment="1">
      <alignment horizontal="right" vertical="top" wrapText="1"/>
    </xf>
    <xf numFmtId="0" fontId="77" fillId="0" borderId="67" xfId="8" applyFont="1" applyFill="1" applyBorder="1" applyAlignment="1">
      <alignment horizontal="right" vertical="top" wrapText="1"/>
    </xf>
    <xf numFmtId="0" fontId="77" fillId="0" borderId="67" xfId="8" applyFont="1" applyFill="1" applyBorder="1" applyAlignment="1">
      <alignment horizontal="left" vertical="top" wrapText="1"/>
    </xf>
    <xf numFmtId="0" fontId="78" fillId="0" borderId="67" xfId="8" applyFont="1" applyFill="1" applyBorder="1" applyAlignment="1">
      <alignment horizontal="left" vertical="top" wrapText="1"/>
    </xf>
    <xf numFmtId="0" fontId="78" fillId="0" borderId="67" xfId="8" quotePrefix="1" applyFont="1" applyFill="1" applyBorder="1" applyAlignment="1">
      <alignment horizontal="left" vertical="top" wrapText="1"/>
    </xf>
    <xf numFmtId="0" fontId="79" fillId="0" borderId="64" xfId="8" applyFont="1" applyFill="1" applyBorder="1" applyAlignment="1">
      <alignment horizontal="center" wrapText="1"/>
    </xf>
    <xf numFmtId="0" fontId="79" fillId="0" borderId="63" xfId="8" applyFont="1" applyFill="1" applyBorder="1" applyAlignment="1">
      <alignment horizontal="center" wrapText="1"/>
    </xf>
    <xf numFmtId="49" fontId="78" fillId="0" borderId="77" xfId="8" applyNumberFormat="1" applyFont="1" applyFill="1" applyBorder="1" applyAlignment="1">
      <alignment horizontal="center" vertical="top"/>
    </xf>
    <xf numFmtId="0" fontId="78" fillId="0" borderId="76" xfId="8" applyFont="1" applyFill="1" applyBorder="1" applyAlignment="1">
      <alignment horizontal="left" vertical="top" wrapText="1"/>
    </xf>
    <xf numFmtId="49" fontId="78" fillId="0" borderId="43" xfId="8" applyNumberFormat="1" applyFont="1" applyFill="1" applyBorder="1" applyAlignment="1">
      <alignment horizontal="center" vertical="top"/>
    </xf>
    <xf numFmtId="0" fontId="80" fillId="0" borderId="67" xfId="8" applyFont="1" applyFill="1" applyBorder="1" applyAlignment="1">
      <alignment horizontal="right" vertical="top" wrapText="1"/>
    </xf>
    <xf numFmtId="0" fontId="64" fillId="0" borderId="0" xfId="8" applyFont="1" applyFill="1"/>
    <xf numFmtId="0" fontId="78" fillId="0" borderId="67" xfId="8" applyFont="1" applyFill="1" applyBorder="1" applyAlignment="1">
      <alignment horizontal="left" vertical="top"/>
    </xf>
    <xf numFmtId="0" fontId="79" fillId="0" borderId="73" xfId="8" applyFont="1" applyFill="1" applyBorder="1" applyAlignment="1">
      <alignment horizontal="center" wrapText="1"/>
    </xf>
    <xf numFmtId="0" fontId="79" fillId="0" borderId="72" xfId="8" applyFont="1" applyFill="1" applyBorder="1" applyAlignment="1">
      <alignment horizontal="center" wrapText="1"/>
    </xf>
    <xf numFmtId="171" fontId="76" fillId="0" borderId="43" xfId="8" applyNumberFormat="1" applyFont="1" applyFill="1" applyBorder="1" applyAlignment="1">
      <alignment horizontal="right" vertical="center"/>
    </xf>
    <xf numFmtId="0" fontId="64" fillId="0" borderId="0" xfId="8" applyFont="1" applyFill="1" applyAlignment="1">
      <alignment vertical="center" wrapText="1"/>
    </xf>
    <xf numFmtId="0" fontId="76" fillId="0" borderId="118" xfId="8" applyFont="1" applyFill="1" applyBorder="1" applyAlignment="1">
      <alignment horizontal="right" vertical="center" wrapText="1"/>
    </xf>
    <xf numFmtId="0" fontId="65" fillId="0" borderId="0" xfId="8" applyFont="1" applyFill="1" applyAlignment="1">
      <alignment vertical="center" wrapText="1"/>
    </xf>
    <xf numFmtId="0" fontId="63" fillId="0" borderId="93" xfId="8" applyFont="1" applyFill="1" applyBorder="1" applyAlignment="1">
      <alignment horizontal="left" vertical="center"/>
    </xf>
    <xf numFmtId="0" fontId="63" fillId="0" borderId="92" xfId="8" applyFont="1" applyFill="1" applyBorder="1" applyAlignment="1">
      <alignment horizontal="left" vertical="center"/>
    </xf>
    <xf numFmtId="0" fontId="76" fillId="0" borderId="91" xfId="8" applyFont="1" applyFill="1" applyBorder="1" applyAlignment="1">
      <alignment horizontal="left" vertical="center"/>
    </xf>
    <xf numFmtId="0" fontId="63" fillId="0" borderId="43" xfId="8" applyFont="1" applyFill="1" applyBorder="1" applyAlignment="1">
      <alignment horizontal="center" vertical="center"/>
    </xf>
    <xf numFmtId="0" fontId="64" fillId="0" borderId="43" xfId="8" applyFont="1" applyFill="1" applyBorder="1" applyAlignment="1">
      <alignment horizontal="center" vertical="center"/>
    </xf>
    <xf numFmtId="0" fontId="68" fillId="0" borderId="81" xfId="8" applyFont="1" applyFill="1" applyBorder="1" applyAlignment="1">
      <alignment horizontal="left" vertical="center"/>
    </xf>
    <xf numFmtId="0" fontId="64" fillId="0" borderId="81" xfId="8" applyFont="1" applyFill="1" applyBorder="1" applyAlignment="1">
      <alignment horizontal="left" vertical="center"/>
    </xf>
    <xf numFmtId="172" fontId="64" fillId="0" borderId="0" xfId="8" applyNumberFormat="1" applyFont="1" applyFill="1" applyAlignment="1">
      <alignment horizontal="left" vertical="center"/>
    </xf>
    <xf numFmtId="0" fontId="71" fillId="0" borderId="0" xfId="8" applyFont="1" applyFill="1" applyAlignment="1">
      <alignment vertical="center"/>
    </xf>
    <xf numFmtId="0" fontId="29" fillId="0" borderId="0" xfId="8" applyFont="1" applyFill="1" applyAlignment="1">
      <alignment vertical="center"/>
    </xf>
    <xf numFmtId="0" fontId="29" fillId="0" borderId="0" xfId="8" applyFont="1" applyFill="1" applyBorder="1" applyAlignment="1">
      <alignment horizontal="left" vertical="center"/>
    </xf>
    <xf numFmtId="0" fontId="61" fillId="0" borderId="93" xfId="8" applyFont="1" applyFill="1" applyBorder="1" applyAlignment="1">
      <alignment horizontal="left" vertical="center"/>
    </xf>
    <xf numFmtId="0" fontId="29" fillId="0" borderId="106" xfId="8" applyFont="1" applyFill="1" applyBorder="1" applyAlignment="1">
      <alignment horizontal="left" vertical="center"/>
    </xf>
    <xf numFmtId="0" fontId="77" fillId="0" borderId="0" xfId="8" applyFont="1" applyFill="1" applyAlignment="1">
      <alignment vertical="center"/>
    </xf>
    <xf numFmtId="0" fontId="78" fillId="0" borderId="0" xfId="8" applyFont="1" applyFill="1" applyAlignment="1">
      <alignment vertical="center"/>
    </xf>
    <xf numFmtId="0" fontId="78" fillId="0" borderId="113" xfId="8" applyFont="1" applyFill="1" applyBorder="1" applyAlignment="1">
      <alignment horizontal="left" vertical="top" wrapText="1"/>
    </xf>
    <xf numFmtId="0" fontId="78" fillId="0" borderId="112" xfId="8" applyFont="1" applyFill="1" applyBorder="1" applyAlignment="1">
      <alignment horizontal="left" vertical="top" wrapText="1"/>
    </xf>
    <xf numFmtId="171" fontId="76" fillId="0" borderId="68" xfId="8" applyNumberFormat="1" applyFont="1" applyFill="1" applyBorder="1" applyAlignment="1">
      <alignment horizontal="right" vertical="center"/>
    </xf>
    <xf numFmtId="0" fontId="77" fillId="0" borderId="93" xfId="8" applyFont="1" applyFill="1" applyBorder="1" applyAlignment="1">
      <alignment horizontal="left" vertical="top" wrapText="1"/>
    </xf>
    <xf numFmtId="0" fontId="77" fillId="0" borderId="91" xfId="8" applyFont="1" applyFill="1" applyBorder="1" applyAlignment="1">
      <alignment horizontal="left" vertical="top" wrapText="1"/>
    </xf>
    <xf numFmtId="0" fontId="78" fillId="0" borderId="93" xfId="8" applyFont="1" applyFill="1" applyBorder="1" applyAlignment="1">
      <alignment horizontal="left" vertical="top" wrapText="1"/>
    </xf>
    <xf numFmtId="0" fontId="78" fillId="0" borderId="91" xfId="8" applyFont="1" applyFill="1" applyBorder="1" applyAlignment="1">
      <alignment horizontal="left" vertical="top" wrapText="1"/>
    </xf>
    <xf numFmtId="49" fontId="78" fillId="0" borderId="73" xfId="8" applyNumberFormat="1" applyFont="1" applyFill="1" applyBorder="1" applyAlignment="1">
      <alignment horizontal="center" vertical="top"/>
    </xf>
    <xf numFmtId="0" fontId="78" fillId="0" borderId="89" xfId="8" applyFont="1" applyFill="1" applyBorder="1" applyAlignment="1">
      <alignment horizontal="left" vertical="top" wrapText="1"/>
    </xf>
    <xf numFmtId="0" fontId="78" fillId="0" borderId="88" xfId="8" applyFont="1" applyFill="1" applyBorder="1" applyAlignment="1">
      <alignment horizontal="left" vertical="top" wrapText="1"/>
    </xf>
    <xf numFmtId="0" fontId="78" fillId="0" borderId="72" xfId="8" applyFont="1" applyFill="1" applyBorder="1" applyAlignment="1">
      <alignment horizontal="left" vertical="top" wrapText="1"/>
    </xf>
    <xf numFmtId="0" fontId="77" fillId="0" borderId="67" xfId="8" quotePrefix="1" applyFont="1" applyFill="1" applyBorder="1" applyAlignment="1">
      <alignment horizontal="left" vertical="top" wrapText="1"/>
    </xf>
    <xf numFmtId="49" fontId="77" fillId="0" borderId="73" xfId="8" applyNumberFormat="1" applyFont="1" applyFill="1" applyBorder="1" applyAlignment="1">
      <alignment horizontal="center" vertical="top"/>
    </xf>
    <xf numFmtId="0" fontId="77" fillId="0" borderId="89" xfId="8" applyFont="1" applyFill="1" applyBorder="1" applyAlignment="1">
      <alignment horizontal="left" vertical="top" wrapText="1"/>
    </xf>
    <xf numFmtId="0" fontId="77" fillId="0" borderId="88" xfId="8" applyFont="1" applyFill="1" applyBorder="1" applyAlignment="1">
      <alignment horizontal="left" vertical="top" wrapText="1"/>
    </xf>
    <xf numFmtId="0" fontId="77" fillId="0" borderId="72" xfId="8" applyFont="1" applyFill="1" applyBorder="1" applyAlignment="1">
      <alignment horizontal="left" vertical="top" wrapText="1"/>
    </xf>
    <xf numFmtId="0" fontId="81" fillId="0" borderId="93" xfId="8" applyFont="1" applyFill="1" applyBorder="1" applyAlignment="1">
      <alignment horizontal="left" vertical="top" wrapText="1"/>
    </xf>
    <xf numFmtId="0" fontId="81" fillId="0" borderId="91" xfId="8" applyFont="1" applyFill="1" applyBorder="1" applyAlignment="1">
      <alignment horizontal="left" vertical="top" wrapText="1"/>
    </xf>
    <xf numFmtId="0" fontId="81" fillId="0" borderId="67" xfId="8" applyFont="1" applyFill="1" applyBorder="1" applyAlignment="1">
      <alignment horizontal="left" vertical="top" wrapText="1"/>
    </xf>
    <xf numFmtId="0" fontId="81" fillId="0" borderId="93" xfId="8" quotePrefix="1" applyFont="1" applyFill="1" applyBorder="1" applyAlignment="1">
      <alignment horizontal="left" vertical="top" wrapText="1"/>
    </xf>
    <xf numFmtId="0" fontId="81" fillId="0" borderId="91" xfId="8" quotePrefix="1" applyFont="1" applyFill="1" applyBorder="1" applyAlignment="1">
      <alignment horizontal="left" vertical="top" wrapText="1"/>
    </xf>
    <xf numFmtId="0" fontId="77" fillId="0" borderId="89" xfId="8" quotePrefix="1" applyFont="1" applyFill="1" applyBorder="1" applyAlignment="1">
      <alignment horizontal="left" vertical="top" wrapText="1"/>
    </xf>
    <xf numFmtId="0" fontId="77" fillId="0" borderId="88" xfId="8" quotePrefix="1" applyFont="1" applyFill="1" applyBorder="1" applyAlignment="1">
      <alignment horizontal="left" vertical="top" wrapText="1"/>
    </xf>
    <xf numFmtId="0" fontId="77" fillId="0" borderId="0" xfId="8" applyFont="1" applyFill="1" applyAlignment="1">
      <alignment vertical="center" wrapText="1"/>
    </xf>
    <xf numFmtId="49" fontId="77" fillId="0" borderId="77" xfId="8" applyNumberFormat="1" applyFont="1" applyFill="1" applyBorder="1" applyAlignment="1">
      <alignment horizontal="center" vertical="top"/>
    </xf>
    <xf numFmtId="0" fontId="77" fillId="0" borderId="113" xfId="8" applyFont="1" applyFill="1" applyBorder="1" applyAlignment="1">
      <alignment horizontal="left" vertical="top" wrapText="1"/>
    </xf>
    <xf numFmtId="0" fontId="77" fillId="0" borderId="112" xfId="8" applyFont="1" applyFill="1" applyBorder="1" applyAlignment="1">
      <alignment horizontal="left" vertical="top" wrapText="1"/>
    </xf>
    <xf numFmtId="0" fontId="77" fillId="0" borderId="76" xfId="8" applyFont="1" applyFill="1" applyBorder="1" applyAlignment="1">
      <alignment horizontal="left" vertical="top" wrapText="1"/>
    </xf>
    <xf numFmtId="0" fontId="78" fillId="0" borderId="0" xfId="8" applyFont="1" applyFill="1" applyAlignment="1">
      <alignment vertical="center" wrapText="1"/>
    </xf>
    <xf numFmtId="0" fontId="78" fillId="0" borderId="93" xfId="8" quotePrefix="1" applyFont="1" applyFill="1" applyBorder="1" applyAlignment="1">
      <alignment horizontal="left" vertical="top" wrapText="1"/>
    </xf>
    <xf numFmtId="0" fontId="78" fillId="0" borderId="91" xfId="8" quotePrefix="1" applyFont="1" applyFill="1" applyBorder="1" applyAlignment="1">
      <alignment horizontal="left" vertical="top" wrapText="1"/>
    </xf>
    <xf numFmtId="0" fontId="77" fillId="0" borderId="93" xfId="8" quotePrefix="1" applyFont="1" applyFill="1" applyBorder="1" applyAlignment="1">
      <alignment horizontal="left" vertical="top" wrapText="1"/>
    </xf>
    <xf numFmtId="0" fontId="77" fillId="0" borderId="91" xfId="8" quotePrefix="1" applyFont="1" applyFill="1" applyBorder="1" applyAlignment="1">
      <alignment horizontal="left" vertical="top" wrapText="1"/>
    </xf>
    <xf numFmtId="0" fontId="78" fillId="0" borderId="68" xfId="8" applyFont="1" applyFill="1" applyBorder="1" applyAlignment="1">
      <alignment horizontal="center" vertical="center" wrapText="1"/>
    </xf>
    <xf numFmtId="0" fontId="78" fillId="0" borderId="43" xfId="8" applyFont="1" applyFill="1" applyBorder="1" applyAlignment="1">
      <alignment horizontal="center" wrapText="1"/>
    </xf>
    <xf numFmtId="0" fontId="79" fillId="0" borderId="43" xfId="8" applyFont="1" applyFill="1" applyBorder="1" applyAlignment="1">
      <alignment horizontal="center" vertical="center" wrapText="1"/>
    </xf>
    <xf numFmtId="0" fontId="78" fillId="0" borderId="93" xfId="8" applyFont="1" applyFill="1" applyBorder="1" applyAlignment="1">
      <alignment horizontal="center" vertical="center" wrapText="1"/>
    </xf>
    <xf numFmtId="0" fontId="78" fillId="0" borderId="91" xfId="8" applyFont="1" applyFill="1" applyBorder="1" applyAlignment="1">
      <alignment horizontal="center" vertical="center" wrapText="1"/>
    </xf>
    <xf numFmtId="0" fontId="79" fillId="0" borderId="67" xfId="8" applyFont="1" applyFill="1" applyBorder="1" applyAlignment="1">
      <alignment horizontal="center" vertical="center" wrapText="1"/>
    </xf>
    <xf numFmtId="0" fontId="77" fillId="0" borderId="64" xfId="8" applyFont="1" applyFill="1" applyBorder="1" applyAlignment="1">
      <alignment horizontal="center" vertical="center"/>
    </xf>
    <xf numFmtId="0" fontId="77" fillId="0" borderId="116" xfId="8" applyFont="1" applyFill="1" applyBorder="1" applyAlignment="1">
      <alignment horizontal="center" vertical="center"/>
    </xf>
    <xf numFmtId="0" fontId="77" fillId="0" borderId="115" xfId="8" applyFont="1" applyFill="1" applyBorder="1" applyAlignment="1">
      <alignment horizontal="center" vertical="center"/>
    </xf>
    <xf numFmtId="0" fontId="77" fillId="0" borderId="63" xfId="8" applyFont="1" applyFill="1" applyBorder="1" applyAlignment="1">
      <alignment horizontal="center" vertical="center"/>
    </xf>
    <xf numFmtId="0" fontId="64" fillId="0" borderId="101" xfId="8" applyFont="1" applyFill="1" applyBorder="1" applyAlignment="1">
      <alignment vertical="center"/>
    </xf>
    <xf numFmtId="0" fontId="76" fillId="0" borderId="0" xfId="8" applyFont="1" applyFill="1" applyBorder="1" applyAlignment="1">
      <alignment horizontal="left" vertical="center"/>
    </xf>
    <xf numFmtId="0" fontId="58" fillId="8" borderId="0" xfId="0" applyFont="1" applyFill="1" applyAlignment="1"/>
    <xf numFmtId="0" fontId="84" fillId="0" borderId="0" xfId="0" applyFont="1"/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5" fillId="0" borderId="0" xfId="0" applyFont="1" applyAlignment="1"/>
    <xf numFmtId="0" fontId="15" fillId="0" borderId="0" xfId="0" applyFont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4" fillId="0" borderId="0" xfId="0" applyFont="1" applyAlignment="1"/>
    <xf numFmtId="0" fontId="22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Alignment="1">
      <alignment horizontal="left" wrapText="1"/>
    </xf>
    <xf numFmtId="0" fontId="86" fillId="8" borderId="0" xfId="0" applyFont="1" applyFill="1" applyAlignment="1"/>
    <xf numFmtId="0" fontId="84" fillId="0" borderId="0" xfId="0" applyFont="1" applyBorder="1"/>
    <xf numFmtId="0" fontId="84" fillId="0" borderId="101" xfId="0" applyFont="1" applyBorder="1"/>
    <xf numFmtId="0" fontId="14" fillId="0" borderId="0" xfId="0" applyFont="1" applyAlignment="1">
      <alignment horizontal="left" vertical="top" wrapText="1"/>
    </xf>
    <xf numFmtId="171" fontId="76" fillId="0" borderId="43" xfId="8" applyNumberFormat="1" applyFont="1" applyFill="1" applyBorder="1" applyAlignment="1">
      <alignment horizontal="right" vertical="center"/>
    </xf>
    <xf numFmtId="0" fontId="84" fillId="0" borderId="0" xfId="0" applyFont="1" applyAlignment="1">
      <alignment vertical="center"/>
    </xf>
    <xf numFmtId="0" fontId="22" fillId="0" borderId="0" xfId="0" applyFont="1" applyBorder="1" applyAlignment="1">
      <alignment vertical="center"/>
    </xf>
    <xf numFmtId="0" fontId="22" fillId="0" borderId="79" xfId="0" applyFont="1" applyBorder="1"/>
    <xf numFmtId="0" fontId="22" fillId="0" borderId="0" xfId="0" applyFont="1" applyBorder="1"/>
    <xf numFmtId="3" fontId="22" fillId="0" borderId="81" xfId="0" applyNumberFormat="1" applyFont="1" applyBorder="1"/>
    <xf numFmtId="3" fontId="22" fillId="0" borderId="88" xfId="0" applyNumberFormat="1" applyFont="1" applyBorder="1"/>
    <xf numFmtId="3" fontId="22" fillId="0" borderId="103" xfId="0" applyNumberFormat="1" applyFont="1" applyBorder="1"/>
    <xf numFmtId="3" fontId="22" fillId="0" borderId="89" xfId="0" applyNumberFormat="1" applyFont="1" applyBorder="1"/>
    <xf numFmtId="0" fontId="22" fillId="0" borderId="119" xfId="0" applyFont="1" applyBorder="1"/>
    <xf numFmtId="0" fontId="22" fillId="0" borderId="123" xfId="0" applyFont="1" applyBorder="1"/>
    <xf numFmtId="3" fontId="22" fillId="0" borderId="122" xfId="0" applyNumberFormat="1" applyFont="1" applyBorder="1"/>
    <xf numFmtId="3" fontId="22" fillId="0" borderId="80" xfId="0" applyNumberFormat="1" applyFont="1" applyBorder="1"/>
    <xf numFmtId="3" fontId="22" fillId="0" borderId="73" xfId="0" applyNumberFormat="1" applyFont="1" applyBorder="1"/>
    <xf numFmtId="0" fontId="22" fillId="0" borderId="122" xfId="0" applyFont="1" applyBorder="1"/>
    <xf numFmtId="0" fontId="22" fillId="0" borderId="81" xfId="0" applyFont="1" applyBorder="1"/>
    <xf numFmtId="3" fontId="22" fillId="0" borderId="120" xfId="0" applyNumberFormat="1" applyFont="1" applyBorder="1"/>
    <xf numFmtId="0" fontId="21" fillId="0" borderId="1" xfId="0" applyFont="1" applyBorder="1" applyAlignment="1">
      <alignment vertical="center" wrapText="1"/>
    </xf>
    <xf numFmtId="3" fontId="22" fillId="0" borderId="79" xfId="0" applyNumberFormat="1" applyFont="1" applyBorder="1"/>
    <xf numFmtId="3" fontId="88" fillId="0" borderId="79" xfId="0" applyNumberFormat="1" applyFont="1" applyBorder="1"/>
    <xf numFmtId="3" fontId="88" fillId="0" borderId="81" xfId="0" applyNumberFormat="1" applyFont="1" applyBorder="1"/>
    <xf numFmtId="0" fontId="88" fillId="0" borderId="79" xfId="0" applyFont="1" applyBorder="1"/>
    <xf numFmtId="0" fontId="88" fillId="0" borderId="81" xfId="0" applyFont="1" applyBorder="1"/>
    <xf numFmtId="3" fontId="88" fillId="0" borderId="88" xfId="0" applyNumberFormat="1" applyFont="1" applyBorder="1"/>
    <xf numFmtId="3" fontId="88" fillId="0" borderId="89" xfId="0" applyNumberFormat="1" applyFont="1" applyBorder="1"/>
    <xf numFmtId="0" fontId="22" fillId="0" borderId="138" xfId="0" applyFont="1" applyBorder="1"/>
    <xf numFmtId="3" fontId="22" fillId="0" borderId="119" xfId="0" applyNumberFormat="1" applyFont="1" applyBorder="1"/>
    <xf numFmtId="0" fontId="22" fillId="0" borderId="88" xfId="0" applyFont="1" applyBorder="1"/>
    <xf numFmtId="0" fontId="22" fillId="0" borderId="89" xfId="0" applyFont="1" applyBorder="1"/>
    <xf numFmtId="0" fontId="22" fillId="0" borderId="80" xfId="0" applyFont="1" applyBorder="1"/>
    <xf numFmtId="0" fontId="22" fillId="0" borderId="120" xfId="0" applyFont="1" applyBorder="1" applyAlignment="1">
      <alignment vertical="center"/>
    </xf>
    <xf numFmtId="0" fontId="22" fillId="0" borderId="73" xfId="0" applyFont="1" applyBorder="1" applyAlignment="1">
      <alignment vertical="center"/>
    </xf>
    <xf numFmtId="3" fontId="22" fillId="0" borderId="120" xfId="0" applyNumberFormat="1" applyFont="1" applyBorder="1" applyAlignment="1">
      <alignment vertical="center"/>
    </xf>
    <xf numFmtId="0" fontId="22" fillId="0" borderId="122" xfId="0" applyFont="1" applyBorder="1" applyAlignment="1">
      <alignment vertical="center"/>
    </xf>
    <xf numFmtId="0" fontId="22" fillId="0" borderId="89" xfId="0" applyFont="1" applyBorder="1" applyAlignment="1">
      <alignment vertical="center"/>
    </xf>
    <xf numFmtId="0" fontId="22" fillId="0" borderId="88" xfId="0" applyFont="1" applyBorder="1" applyAlignment="1">
      <alignment vertical="center"/>
    </xf>
    <xf numFmtId="0" fontId="22" fillId="0" borderId="73" xfId="0" applyFont="1" applyBorder="1"/>
    <xf numFmtId="0" fontId="88" fillId="0" borderId="119" xfId="0" applyFont="1" applyBorder="1"/>
    <xf numFmtId="0" fontId="88" fillId="0" borderId="122" xfId="0" applyFont="1" applyBorder="1"/>
    <xf numFmtId="0" fontId="87" fillId="0" borderId="0" xfId="0" applyFont="1" applyAlignment="1">
      <alignment horizontal="justify"/>
    </xf>
    <xf numFmtId="3" fontId="0" fillId="0" borderId="79" xfId="0" applyNumberFormat="1" applyBorder="1" applyAlignment="1">
      <alignment horizontal="right"/>
    </xf>
    <xf numFmtId="3" fontId="0" fillId="0" borderId="81" xfId="0" applyNumberFormat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1" fillId="0" borderId="2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3" fontId="22" fillId="0" borderId="0" xfId="0" applyNumberFormat="1" applyFont="1" applyBorder="1"/>
    <xf numFmtId="0" fontId="22" fillId="0" borderId="103" xfId="0" applyFont="1" applyBorder="1"/>
    <xf numFmtId="0" fontId="23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center" vertical="center" wrapText="1"/>
    </xf>
    <xf numFmtId="3" fontId="22" fillId="0" borderId="79" xfId="0" applyNumberFormat="1" applyFont="1" applyFill="1" applyBorder="1"/>
    <xf numFmtId="3" fontId="22" fillId="0" borderId="81" xfId="0" applyNumberFormat="1" applyFont="1" applyFill="1" applyBorder="1"/>
    <xf numFmtId="0" fontId="22" fillId="0" borderId="79" xfId="0" applyFont="1" applyFill="1" applyBorder="1"/>
    <xf numFmtId="0" fontId="22" fillId="0" borderId="81" xfId="0" applyFont="1" applyFill="1" applyBorder="1"/>
    <xf numFmtId="0" fontId="22" fillId="0" borderId="119" xfId="0" applyFont="1" applyBorder="1" applyAlignment="1">
      <alignment horizontal="center"/>
    </xf>
    <xf numFmtId="0" fontId="22" fillId="0" borderId="122" xfId="0" applyFont="1" applyBorder="1" applyAlignment="1">
      <alignment horizontal="center"/>
    </xf>
    <xf numFmtId="3" fontId="22" fillId="0" borderId="0" xfId="0" applyNumberFormat="1" applyFont="1"/>
    <xf numFmtId="0" fontId="21" fillId="0" borderId="79" xfId="0" applyFont="1" applyBorder="1"/>
    <xf numFmtId="0" fontId="27" fillId="6" borderId="94" xfId="8" applyFont="1" applyFill="1" applyBorder="1"/>
    <xf numFmtId="0" fontId="27" fillId="6" borderId="95" xfId="8" applyFont="1" applyFill="1" applyBorder="1"/>
    <xf numFmtId="0" fontId="26" fillId="6" borderId="95" xfId="8" applyFont="1" applyFill="1" applyBorder="1"/>
    <xf numFmtId="0" fontId="26" fillId="6" borderId="17" xfId="8" applyFont="1" applyFill="1" applyBorder="1"/>
    <xf numFmtId="0" fontId="26" fillId="0" borderId="0" xfId="8" applyFont="1"/>
    <xf numFmtId="0" fontId="89" fillId="3" borderId="96" xfId="8" applyFont="1" applyFill="1" applyBorder="1"/>
    <xf numFmtId="0" fontId="26" fillId="3" borderId="97" xfId="8" applyFont="1" applyFill="1" applyBorder="1"/>
    <xf numFmtId="0" fontId="26" fillId="3" borderId="98" xfId="8" applyFont="1" applyFill="1" applyBorder="1"/>
    <xf numFmtId="0" fontId="26" fillId="0" borderId="0" xfId="8" applyFont="1" applyFill="1"/>
    <xf numFmtId="0" fontId="26" fillId="6" borderId="137" xfId="8" applyFont="1" applyFill="1" applyBorder="1"/>
    <xf numFmtId="0" fontId="30" fillId="0" borderId="136" xfId="8" applyFont="1" applyFill="1" applyBorder="1" applyAlignment="1" applyProtection="1">
      <alignment horizontal="left" vertical="top"/>
      <protection locked="0"/>
    </xf>
    <xf numFmtId="0" fontId="26" fillId="7" borderId="17" xfId="8" applyFont="1" applyFill="1" applyBorder="1"/>
    <xf numFmtId="0" fontId="26" fillId="0" borderId="29" xfId="8" applyFont="1" applyFill="1" applyBorder="1"/>
    <xf numFmtId="0" fontId="26" fillId="3" borderId="99" xfId="8" applyFont="1" applyFill="1" applyBorder="1"/>
    <xf numFmtId="0" fontId="26" fillId="3" borderId="0" xfId="8" applyFont="1" applyFill="1" applyBorder="1"/>
    <xf numFmtId="0" fontId="26" fillId="3" borderId="29" xfId="8" applyFont="1" applyFill="1" applyBorder="1"/>
    <xf numFmtId="0" fontId="27" fillId="6" borderId="135" xfId="8" applyFont="1" applyFill="1" applyBorder="1"/>
    <xf numFmtId="0" fontId="27" fillId="6" borderId="127" xfId="8" applyFont="1" applyFill="1" applyBorder="1" applyAlignment="1">
      <alignment horizontal="center"/>
    </xf>
    <xf numFmtId="0" fontId="27" fillId="6" borderId="132" xfId="10" applyFont="1" applyFill="1" applyBorder="1" applyAlignment="1">
      <alignment horizontal="left" vertical="top"/>
    </xf>
    <xf numFmtId="0" fontId="26" fillId="6" borderId="98" xfId="8" applyFont="1" applyFill="1" applyBorder="1"/>
    <xf numFmtId="0" fontId="27" fillId="3" borderId="63" xfId="8" applyFont="1" applyFill="1" applyBorder="1"/>
    <xf numFmtId="0" fontId="27" fillId="0" borderId="132" xfId="10" applyFont="1" applyFill="1" applyBorder="1" applyAlignment="1" applyProtection="1">
      <alignment horizontal="center" vertical="top"/>
      <protection locked="0"/>
    </xf>
    <xf numFmtId="0" fontId="26" fillId="0" borderId="98" xfId="10" applyFont="1" applyFill="1" applyBorder="1" applyAlignment="1">
      <alignment horizontal="left" vertical="center"/>
    </xf>
    <xf numFmtId="0" fontId="92" fillId="0" borderId="0" xfId="9" applyFont="1" applyFill="1" applyBorder="1" applyAlignment="1" applyProtection="1">
      <alignment vertical="center"/>
      <protection hidden="1"/>
    </xf>
    <xf numFmtId="0" fontId="26" fillId="0" borderId="0" xfId="8" applyFont="1" applyFill="1" applyBorder="1"/>
    <xf numFmtId="0" fontId="27" fillId="3" borderId="67" xfId="8" applyFont="1" applyFill="1" applyBorder="1"/>
    <xf numFmtId="173" fontId="26" fillId="3" borderId="68" xfId="8" quotePrefix="1" applyNumberFormat="1" applyFont="1" applyFill="1" applyBorder="1" applyAlignment="1">
      <alignment horizontal="center"/>
    </xf>
    <xf numFmtId="0" fontId="27" fillId="0" borderId="134" xfId="10" applyFont="1" applyFill="1" applyBorder="1" applyAlignment="1" applyProtection="1">
      <alignment horizontal="center" vertical="top"/>
      <protection locked="0"/>
    </xf>
    <xf numFmtId="0" fontId="26" fillId="0" borderId="106" xfId="10" applyFont="1" applyFill="1" applyBorder="1" applyAlignment="1">
      <alignment horizontal="left" vertical="center"/>
    </xf>
    <xf numFmtId="0" fontId="26" fillId="3" borderId="78" xfId="8" quotePrefix="1" applyFont="1" applyFill="1" applyBorder="1" applyAlignment="1">
      <alignment horizontal="center"/>
    </xf>
    <xf numFmtId="0" fontId="27" fillId="3" borderId="133" xfId="8" applyFont="1" applyFill="1" applyBorder="1" applyAlignment="1" applyProtection="1">
      <alignment horizontal="center" vertical="center"/>
      <protection locked="0"/>
    </xf>
    <xf numFmtId="0" fontId="26" fillId="0" borderId="13" xfId="10" applyFont="1" applyFill="1" applyBorder="1" applyAlignment="1">
      <alignment horizontal="left" vertical="center"/>
    </xf>
    <xf numFmtId="0" fontId="27" fillId="3" borderId="128" xfId="8" applyFont="1" applyFill="1" applyBorder="1"/>
    <xf numFmtId="0" fontId="26" fillId="3" borderId="0" xfId="8" applyFont="1" applyFill="1"/>
    <xf numFmtId="0" fontId="27" fillId="3" borderId="43" xfId="8" applyFont="1" applyFill="1" applyBorder="1"/>
    <xf numFmtId="0" fontId="26" fillId="3" borderId="54" xfId="8" applyNumberFormat="1" applyFont="1" applyFill="1" applyBorder="1" applyAlignment="1">
      <alignment horizontal="center"/>
    </xf>
    <xf numFmtId="0" fontId="27" fillId="0" borderId="0" xfId="10" applyFont="1" applyFill="1" applyBorder="1" applyAlignment="1">
      <alignment horizontal="left" vertical="top"/>
    </xf>
    <xf numFmtId="0" fontId="30" fillId="6" borderId="43" xfId="8" applyFont="1" applyFill="1" applyBorder="1"/>
    <xf numFmtId="0" fontId="26" fillId="3" borderId="54" xfId="8" quotePrefix="1" applyNumberFormat="1" applyFont="1" applyFill="1" applyBorder="1" applyAlignment="1">
      <alignment horizontal="center"/>
    </xf>
    <xf numFmtId="0" fontId="26" fillId="7" borderId="43" xfId="8" applyFont="1" applyFill="1" applyBorder="1" applyAlignment="1">
      <alignment horizontal="center"/>
    </xf>
    <xf numFmtId="0" fontId="26" fillId="0" borderId="0" xfId="8" applyFont="1" applyAlignment="1">
      <alignment horizontal="center"/>
    </xf>
    <xf numFmtId="16" fontId="26" fillId="3" borderId="0" xfId="8" applyNumberFormat="1" applyFont="1" applyFill="1" applyBorder="1" applyAlignment="1">
      <alignment horizontal="center"/>
    </xf>
    <xf numFmtId="0" fontId="27" fillId="3" borderId="76" xfId="8" applyFont="1" applyFill="1" applyBorder="1"/>
    <xf numFmtId="0" fontId="26" fillId="3" borderId="0" xfId="8" quotePrefix="1" applyFont="1" applyFill="1" applyBorder="1" applyAlignment="1">
      <alignment horizontal="center"/>
    </xf>
    <xf numFmtId="0" fontId="26" fillId="3" borderId="0" xfId="8" applyFont="1" applyFill="1" applyBorder="1" applyAlignment="1">
      <alignment horizontal="right"/>
    </xf>
    <xf numFmtId="0" fontId="27" fillId="6" borderId="128" xfId="8" applyFont="1" applyFill="1" applyBorder="1"/>
    <xf numFmtId="0" fontId="27" fillId="6" borderId="131" xfId="8" quotePrefix="1" applyFont="1" applyFill="1" applyBorder="1" applyAlignment="1">
      <alignment horizontal="center"/>
    </xf>
    <xf numFmtId="0" fontId="27" fillId="3" borderId="130" xfId="8" applyFont="1" applyFill="1" applyBorder="1" applyAlignment="1" applyProtection="1">
      <alignment horizontal="center" vertical="center"/>
      <protection locked="0"/>
    </xf>
    <xf numFmtId="0" fontId="26" fillId="0" borderId="114" xfId="10" applyFont="1" applyFill="1" applyBorder="1" applyAlignment="1">
      <alignment horizontal="left" vertical="center"/>
    </xf>
    <xf numFmtId="0" fontId="27" fillId="3" borderId="129" xfId="8" applyFont="1" applyFill="1" applyBorder="1" applyAlignment="1" applyProtection="1">
      <alignment horizontal="center" vertical="center"/>
      <protection locked="0"/>
    </xf>
    <xf numFmtId="0" fontId="26" fillId="0" borderId="111" xfId="10" applyFont="1" applyFill="1" applyBorder="1" applyAlignment="1">
      <alignment horizontal="left" vertical="center"/>
    </xf>
    <xf numFmtId="173" fontId="26" fillId="3" borderId="68" xfId="8" quotePrefix="1" applyNumberFormat="1" applyFont="1" applyFill="1" applyBorder="1" applyAlignment="1" applyProtection="1">
      <alignment horizontal="center"/>
    </xf>
    <xf numFmtId="0" fontId="26" fillId="6" borderId="17" xfId="8" applyFont="1" applyFill="1" applyBorder="1" applyProtection="1">
      <protection locked="0"/>
    </xf>
    <xf numFmtId="0" fontId="27" fillId="3" borderId="99" xfId="8" applyFont="1" applyFill="1" applyBorder="1"/>
    <xf numFmtId="0" fontId="26" fillId="7" borderId="127" xfId="8" applyFont="1" applyFill="1" applyBorder="1" applyAlignment="1" applyProtection="1">
      <alignment horizontal="center" vertical="center"/>
      <protection locked="0"/>
    </xf>
    <xf numFmtId="0" fontId="27" fillId="6" borderId="126" xfId="10" applyFont="1" applyFill="1" applyBorder="1" applyAlignment="1">
      <alignment vertical="center"/>
    </xf>
    <xf numFmtId="14" fontId="26" fillId="7" borderId="65" xfId="8" applyNumberFormat="1" applyFont="1" applyFill="1" applyBorder="1" applyAlignment="1" applyProtection="1">
      <alignment horizontal="center"/>
      <protection locked="0"/>
    </xf>
    <xf numFmtId="0" fontId="26" fillId="0" borderId="0" xfId="8" applyFont="1" applyBorder="1"/>
    <xf numFmtId="0" fontId="27" fillId="6" borderId="125" xfId="10" applyFont="1" applyFill="1" applyBorder="1" applyAlignment="1">
      <alignment vertical="center"/>
    </xf>
    <xf numFmtId="14" fontId="26" fillId="7" borderId="78" xfId="8" applyNumberFormat="1" applyFont="1" applyFill="1" applyBorder="1" applyAlignment="1" applyProtection="1">
      <alignment horizontal="center"/>
      <protection locked="0"/>
    </xf>
    <xf numFmtId="0" fontId="27" fillId="6" borderId="126" xfId="10" applyFont="1" applyFill="1" applyBorder="1" applyAlignment="1"/>
    <xf numFmtId="0" fontId="26" fillId="6" borderId="117" xfId="10" applyFont="1" applyFill="1" applyBorder="1" applyAlignment="1"/>
    <xf numFmtId="0" fontId="26" fillId="7" borderId="65" xfId="8" applyFont="1" applyFill="1" applyBorder="1" applyAlignment="1" applyProtection="1">
      <alignment horizontal="center"/>
      <protection locked="0"/>
    </xf>
    <xf numFmtId="0" fontId="26" fillId="3" borderId="0" xfId="8" applyFont="1" applyFill="1" applyBorder="1" applyAlignment="1"/>
    <xf numFmtId="0" fontId="26" fillId="3" borderId="99" xfId="10" applyFont="1" applyFill="1" applyBorder="1" applyAlignment="1"/>
    <xf numFmtId="0" fontId="26" fillId="3" borderId="0" xfId="10" applyFont="1" applyFill="1" applyBorder="1" applyAlignment="1"/>
    <xf numFmtId="0" fontId="26" fillId="3" borderId="29" xfId="8" applyFont="1" applyFill="1" applyBorder="1" applyAlignment="1"/>
    <xf numFmtId="0" fontId="27" fillId="6" borderId="96" xfId="10" applyFont="1" applyFill="1" applyBorder="1" applyAlignment="1">
      <alignment vertical="center"/>
    </xf>
    <xf numFmtId="0" fontId="27" fillId="6" borderId="105" xfId="10" applyFont="1" applyFill="1" applyBorder="1" applyAlignment="1">
      <alignment vertical="top"/>
    </xf>
    <xf numFmtId="0" fontId="26" fillId="6" borderId="92" xfId="10" applyFont="1" applyFill="1" applyBorder="1" applyAlignment="1">
      <alignment vertical="top"/>
    </xf>
    <xf numFmtId="0" fontId="26" fillId="7" borderId="68" xfId="8" applyFont="1" applyFill="1" applyBorder="1" applyAlignment="1" applyProtection="1">
      <alignment horizontal="right"/>
      <protection locked="0"/>
    </xf>
    <xf numFmtId="0" fontId="27" fillId="6" borderId="99" xfId="10" applyFont="1" applyFill="1" applyBorder="1" applyAlignment="1">
      <alignment vertical="center"/>
    </xf>
    <xf numFmtId="0" fontId="26" fillId="6" borderId="29" xfId="8" applyFont="1" applyFill="1" applyBorder="1"/>
    <xf numFmtId="0" fontId="26" fillId="3" borderId="125" xfId="8" applyFont="1" applyFill="1" applyBorder="1" applyAlignment="1">
      <alignment vertical="center"/>
    </xf>
    <xf numFmtId="0" fontId="26" fillId="3" borderId="78" xfId="8" applyFont="1" applyFill="1" applyBorder="1" applyAlignment="1" applyProtection="1">
      <alignment horizontal="center"/>
      <protection locked="0"/>
    </xf>
    <xf numFmtId="0" fontId="26" fillId="6" borderId="92" xfId="8" applyFont="1" applyFill="1" applyBorder="1"/>
    <xf numFmtId="49" fontId="26" fillId="7" borderId="68" xfId="8" applyNumberFormat="1" applyFont="1" applyFill="1" applyBorder="1" applyAlignment="1" applyProtection="1">
      <alignment horizontal="center"/>
      <protection locked="0"/>
    </xf>
    <xf numFmtId="0" fontId="26" fillId="3" borderId="0" xfId="8" applyFont="1" applyFill="1" applyBorder="1" applyAlignment="1">
      <alignment vertical="center"/>
    </xf>
    <xf numFmtId="0" fontId="26" fillId="3" borderId="0" xfId="10" applyFont="1" applyFill="1" applyBorder="1" applyAlignment="1">
      <alignment vertical="top"/>
    </xf>
    <xf numFmtId="0" fontId="27" fillId="6" borderId="125" xfId="8" applyFont="1" applyFill="1" applyBorder="1" applyAlignment="1">
      <alignment vertical="center"/>
    </xf>
    <xf numFmtId="0" fontId="26" fillId="6" borderId="113" xfId="8" applyFont="1" applyFill="1" applyBorder="1"/>
    <xf numFmtId="0" fontId="26" fillId="7" borderId="78" xfId="8" applyFont="1" applyFill="1" applyBorder="1" applyAlignment="1" applyProtection="1">
      <alignment horizontal="center"/>
      <protection locked="0"/>
    </xf>
    <xf numFmtId="0" fontId="27" fillId="6" borderId="126" xfId="10" applyFont="1" applyFill="1" applyBorder="1" applyAlignment="1">
      <alignment vertical="top"/>
    </xf>
    <xf numFmtId="0" fontId="26" fillId="6" borderId="117" xfId="8" applyFont="1" applyFill="1" applyBorder="1"/>
    <xf numFmtId="0" fontId="26" fillId="7" borderId="65" xfId="8" quotePrefix="1" applyFont="1" applyFill="1" applyBorder="1" applyAlignment="1" applyProtection="1">
      <alignment horizontal="center"/>
      <protection locked="0"/>
    </xf>
    <xf numFmtId="0" fontId="26" fillId="3" borderId="0" xfId="8" quotePrefix="1" applyFont="1" applyFill="1" applyBorder="1" applyAlignment="1">
      <alignment horizontal="right"/>
    </xf>
    <xf numFmtId="0" fontId="27" fillId="6" borderId="105" xfId="10" applyFont="1" applyFill="1" applyBorder="1" applyAlignment="1">
      <alignment vertical="center"/>
    </xf>
    <xf numFmtId="0" fontId="26" fillId="7" borderId="68" xfId="8" quotePrefix="1" applyFont="1" applyFill="1" applyBorder="1" applyAlignment="1" applyProtection="1">
      <alignment horizontal="center"/>
      <protection locked="0"/>
    </xf>
    <xf numFmtId="0" fontId="27" fillId="3" borderId="100" xfId="8" applyFont="1" applyFill="1" applyBorder="1"/>
    <xf numFmtId="0" fontId="26" fillId="3" borderId="101" xfId="10" applyFont="1" applyFill="1" applyBorder="1" applyAlignment="1">
      <alignment vertical="center"/>
    </xf>
    <xf numFmtId="0" fontId="26" fillId="3" borderId="13" xfId="8" applyFont="1" applyFill="1" applyBorder="1"/>
    <xf numFmtId="0" fontId="27" fillId="6" borderId="100" xfId="10" applyFont="1" applyFill="1" applyBorder="1" applyAlignment="1">
      <alignment vertical="center"/>
    </xf>
    <xf numFmtId="0" fontId="26" fillId="6" borderId="101" xfId="8" applyFont="1" applyFill="1" applyBorder="1"/>
    <xf numFmtId="0" fontId="26" fillId="7" borderId="58" xfId="8" applyFont="1" applyFill="1" applyBorder="1" applyAlignment="1" applyProtection="1">
      <alignment horizontal="center"/>
      <protection locked="0"/>
    </xf>
    <xf numFmtId="0" fontId="26" fillId="3" borderId="0" xfId="10" applyFont="1" applyFill="1" applyBorder="1" applyAlignment="1">
      <alignment vertical="center"/>
    </xf>
    <xf numFmtId="0" fontId="27" fillId="6" borderId="94" xfId="10" applyFont="1" applyFill="1" applyBorder="1" applyAlignment="1">
      <alignment vertical="center"/>
    </xf>
    <xf numFmtId="0" fontId="26" fillId="3" borderId="101" xfId="8" applyFont="1" applyFill="1" applyBorder="1"/>
    <xf numFmtId="0" fontId="21" fillId="0" borderId="10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84" fillId="0" borderId="0" xfId="0" applyFont="1" applyAlignment="1">
      <alignment horizontal="center"/>
    </xf>
    <xf numFmtId="0" fontId="14" fillId="0" borderId="0" xfId="0" applyFont="1" applyAlignment="1">
      <alignment horizontal="justify" vertical="top" wrapText="1"/>
    </xf>
    <xf numFmtId="0" fontId="22" fillId="0" borderId="101" xfId="0" applyFont="1" applyBorder="1"/>
    <xf numFmtId="0" fontId="21" fillId="0" borderId="101" xfId="0" applyFont="1" applyBorder="1" applyAlignment="1">
      <alignment horizontal="left"/>
    </xf>
    <xf numFmtId="0" fontId="22" fillId="0" borderId="109" xfId="0" applyFont="1" applyBorder="1" applyAlignment="1">
      <alignment horizontal="center"/>
    </xf>
    <xf numFmtId="0" fontId="9" fillId="0" borderId="0" xfId="0" applyFont="1"/>
    <xf numFmtId="0" fontId="84" fillId="0" borderId="81" xfId="0" applyFont="1" applyBorder="1"/>
    <xf numFmtId="0" fontId="84" fillId="0" borderId="79" xfId="0" applyFont="1" applyBorder="1"/>
    <xf numFmtId="0" fontId="9" fillId="0" borderId="0" xfId="0" applyFont="1" applyAlignment="1">
      <alignment horizontal="justify" vertical="top" wrapText="1"/>
    </xf>
    <xf numFmtId="0" fontId="84" fillId="0" borderId="119" xfId="0" applyFont="1" applyBorder="1"/>
    <xf numFmtId="0" fontId="84" fillId="0" borderId="123" xfId="0" applyFont="1" applyBorder="1"/>
    <xf numFmtId="0" fontId="84" fillId="0" borderId="122" xfId="0" applyFont="1" applyBorder="1"/>
    <xf numFmtId="0" fontId="9" fillId="0" borderId="0" xfId="0" applyFont="1" applyAlignment="1">
      <alignment horizontal="center" vertical="top"/>
    </xf>
    <xf numFmtId="0" fontId="93" fillId="0" borderId="0" xfId="0" applyFont="1"/>
    <xf numFmtId="0" fontId="58" fillId="0" borderId="0" xfId="0" applyFont="1"/>
    <xf numFmtId="0" fontId="9" fillId="0" borderId="43" xfId="0" applyFont="1" applyBorder="1"/>
    <xf numFmtId="0" fontId="9" fillId="0" borderId="0" xfId="0" applyFont="1" applyAlignment="1">
      <alignment horizontal="center"/>
    </xf>
    <xf numFmtId="0" fontId="58" fillId="0" borderId="0" xfId="0" applyFont="1" applyAlignment="1">
      <alignment horizontal="center"/>
    </xf>
    <xf numFmtId="0" fontId="63" fillId="0" borderId="0" xfId="2" applyFont="1" applyBorder="1"/>
    <xf numFmtId="0" fontId="9" fillId="0" borderId="0" xfId="0" applyFont="1" applyAlignment="1">
      <alignment horizontal="left"/>
    </xf>
    <xf numFmtId="0" fontId="29" fillId="0" borderId="0" xfId="2" applyFont="1" applyBorder="1"/>
    <xf numFmtId="0" fontId="29" fillId="0" borderId="0" xfId="2" applyFont="1" applyBorder="1" applyAlignment="1">
      <alignment horizontal="center" vertical="center"/>
    </xf>
    <xf numFmtId="0" fontId="29" fillId="0" borderId="119" xfId="2" applyFont="1" applyBorder="1"/>
    <xf numFmtId="0" fontId="29" fillId="0" borderId="123" xfId="2" applyFont="1" applyBorder="1"/>
    <xf numFmtId="0" fontId="29" fillId="0" borderId="88" xfId="2" applyFont="1" applyBorder="1"/>
    <xf numFmtId="0" fontId="29" fillId="0" borderId="103" xfId="2" applyFont="1" applyBorder="1"/>
    <xf numFmtId="0" fontId="29" fillId="0" borderId="79" xfId="2" applyFont="1" applyBorder="1"/>
    <xf numFmtId="0" fontId="29" fillId="0" borderId="81" xfId="2" applyFont="1" applyBorder="1"/>
    <xf numFmtId="0" fontId="93" fillId="0" borderId="0" xfId="0" applyFont="1" applyAlignment="1">
      <alignment vertical="center"/>
    </xf>
    <xf numFmtId="0" fontId="84" fillId="0" borderId="43" xfId="0" applyFont="1" applyBorder="1" applyAlignment="1">
      <alignment horizontal="center" vertical="center"/>
    </xf>
    <xf numFmtId="0" fontId="84" fillId="2" borderId="43" xfId="0" applyFont="1" applyFill="1" applyBorder="1" applyAlignment="1">
      <alignment horizontal="center" vertical="center"/>
    </xf>
    <xf numFmtId="175" fontId="84" fillId="2" borderId="43" xfId="0" applyNumberFormat="1" applyFont="1" applyFill="1" applyBorder="1" applyAlignment="1">
      <alignment horizontal="center" vertical="center"/>
    </xf>
    <xf numFmtId="0" fontId="8" fillId="2" borderId="43" xfId="0" applyFont="1" applyFill="1" applyBorder="1" applyAlignment="1">
      <alignment horizontal="center" vertical="center"/>
    </xf>
    <xf numFmtId="0" fontId="8" fillId="2" borderId="91" xfId="0" applyFont="1" applyFill="1" applyBorder="1" applyAlignment="1">
      <alignment horizontal="center" vertical="center"/>
    </xf>
    <xf numFmtId="0" fontId="63" fillId="2" borderId="43" xfId="2" applyFont="1" applyFill="1" applyBorder="1" applyAlignment="1">
      <alignment horizontal="center" vertical="center"/>
    </xf>
    <xf numFmtId="0" fontId="29" fillId="2" borderId="43" xfId="2" applyFont="1" applyFill="1" applyBorder="1" applyAlignment="1">
      <alignment horizontal="center" vertical="center"/>
    </xf>
    <xf numFmtId="49" fontId="26" fillId="7" borderId="127" xfId="8" applyNumberFormat="1" applyFont="1" applyFill="1" applyBorder="1" applyAlignment="1" applyProtection="1">
      <alignment horizontal="center" vertical="center"/>
    </xf>
    <xf numFmtId="49" fontId="26" fillId="0" borderId="0" xfId="8" applyNumberFormat="1" applyFont="1"/>
    <xf numFmtId="168" fontId="40" fillId="7" borderId="43" xfId="5" applyNumberFormat="1" applyFont="1" applyFill="1" applyBorder="1" applyAlignment="1">
      <alignment horizontal="right" vertical="center"/>
    </xf>
    <xf numFmtId="168" fontId="40" fillId="7" borderId="68" xfId="5" applyNumberFormat="1" applyFont="1" applyFill="1" applyBorder="1" applyAlignment="1">
      <alignment horizontal="right" vertical="center"/>
    </xf>
    <xf numFmtId="168" fontId="44" fillId="7" borderId="43" xfId="5" applyNumberFormat="1" applyFont="1" applyFill="1" applyBorder="1" applyAlignment="1">
      <alignment horizontal="right" vertical="center"/>
    </xf>
    <xf numFmtId="168" fontId="44" fillId="7" borderId="68" xfId="5" applyNumberFormat="1" applyFont="1" applyFill="1" applyBorder="1" applyAlignment="1">
      <alignment horizontal="right" vertical="center"/>
    </xf>
    <xf numFmtId="168" fontId="44" fillId="7" borderId="77" xfId="5" applyNumberFormat="1" applyFont="1" applyFill="1" applyBorder="1" applyAlignment="1">
      <alignment horizontal="right" vertical="center"/>
    </xf>
    <xf numFmtId="168" fontId="44" fillId="7" borderId="78" xfId="5" applyNumberFormat="1" applyFont="1" applyFill="1" applyBorder="1" applyAlignment="1">
      <alignment horizontal="right" vertical="center"/>
    </xf>
    <xf numFmtId="174" fontId="26" fillId="7" borderId="65" xfId="8" applyNumberFormat="1" applyFont="1" applyFill="1" applyBorder="1" applyAlignment="1" applyProtection="1">
      <alignment horizontal="center"/>
      <protection locked="0"/>
    </xf>
    <xf numFmtId="0" fontId="6" fillId="0" borderId="144" xfId="0" applyFont="1" applyBorder="1" applyAlignment="1"/>
    <xf numFmtId="0" fontId="22" fillId="0" borderId="144" xfId="0" applyFont="1" applyBorder="1" applyAlignment="1"/>
    <xf numFmtId="0" fontId="12" fillId="0" borderId="0" xfId="0" applyFont="1" applyAlignment="1">
      <alignment horizontal="left" vertical="top"/>
    </xf>
    <xf numFmtId="0" fontId="14" fillId="0" borderId="0" xfId="0" applyFont="1" applyAlignment="1">
      <alignment horizontal="justify" vertical="top" wrapText="1"/>
    </xf>
    <xf numFmtId="0" fontId="13" fillId="0" borderId="0" xfId="0" applyFont="1" applyAlignment="1">
      <alignment horizontal="left" vertical="top"/>
    </xf>
    <xf numFmtId="0" fontId="7" fillId="0" borderId="0" xfId="0" applyFont="1" applyAlignme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/>
    </xf>
    <xf numFmtId="0" fontId="14" fillId="0" borderId="0" xfId="0" applyFont="1" applyAlignment="1">
      <alignment horizontal="justify" vertical="top" wrapText="1"/>
    </xf>
    <xf numFmtId="0" fontId="15" fillId="0" borderId="0" xfId="0" applyFont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5" fillId="0" borderId="0" xfId="0" applyFont="1" applyAlignment="1">
      <alignment horizontal="justify" vertical="top" wrapText="1"/>
    </xf>
    <xf numFmtId="0" fontId="7" fillId="0" borderId="0" xfId="0" applyFont="1" applyAlignment="1">
      <alignment horizontal="center" vertical="top"/>
    </xf>
    <xf numFmtId="0" fontId="7" fillId="2" borderId="43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49" fontId="68" fillId="0" borderId="99" xfId="8" applyNumberFormat="1" applyFont="1" applyFill="1" applyBorder="1" applyAlignment="1">
      <alignment horizontal="center" vertical="center"/>
    </xf>
    <xf numFmtId="49" fontId="68" fillId="0" borderId="0" xfId="8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58" fillId="0" borderId="0" xfId="0" applyFont="1" applyAlignment="1">
      <alignment horizontal="left"/>
    </xf>
    <xf numFmtId="0" fontId="13" fillId="0" borderId="0" xfId="0" applyFont="1" applyAlignment="1">
      <alignment horizontal="left" vertical="top"/>
    </xf>
    <xf numFmtId="3" fontId="22" fillId="0" borderId="0" xfId="0" applyNumberFormat="1" applyFont="1" applyFill="1" applyBorder="1" applyAlignment="1">
      <alignment horizontal="right" vertical="center"/>
    </xf>
    <xf numFmtId="0" fontId="22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9" fontId="6" fillId="0" borderId="0" xfId="0" applyNumberFormat="1" applyFont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3" fontId="21" fillId="0" borderId="0" xfId="0" applyNumberFormat="1" applyFont="1" applyFill="1" applyBorder="1" applyAlignment="1">
      <alignment horizontal="right" vertical="center"/>
    </xf>
    <xf numFmtId="0" fontId="21" fillId="0" borderId="0" xfId="0" applyFont="1" applyBorder="1" applyAlignment="1">
      <alignment horizontal="left"/>
    </xf>
    <xf numFmtId="3" fontId="6" fillId="0" borderId="0" xfId="0" applyNumberFormat="1" applyFont="1" applyFill="1" applyBorder="1" applyAlignment="1">
      <alignment horizontal="right" vertical="center"/>
    </xf>
    <xf numFmtId="14" fontId="29" fillId="0" borderId="79" xfId="2" applyNumberFormat="1" applyFont="1" applyFill="1" applyBorder="1" applyAlignment="1">
      <alignment horizontal="center" wrapText="1"/>
    </xf>
    <xf numFmtId="14" fontId="29" fillId="0" borderId="0" xfId="2" applyNumberFormat="1" applyFont="1" applyFill="1" applyBorder="1" applyAlignment="1">
      <alignment horizontal="center" wrapText="1"/>
    </xf>
    <xf numFmtId="0" fontId="64" fillId="0" borderId="0" xfId="0" applyFont="1" applyAlignment="1">
      <alignment horizontal="center" vertical="center"/>
    </xf>
    <xf numFmtId="0" fontId="64" fillId="0" borderId="0" xfId="0" applyFont="1" applyFill="1" applyBorder="1" applyAlignment="1">
      <alignment horizontal="left" vertical="center"/>
    </xf>
    <xf numFmtId="3" fontId="22" fillId="0" borderId="0" xfId="0" applyNumberFormat="1" applyFont="1" applyFill="1" applyBorder="1" applyAlignment="1">
      <alignment horizontal="right" vertical="center" wrapText="1"/>
    </xf>
    <xf numFmtId="3" fontId="22" fillId="0" borderId="91" xfId="0" applyNumberFormat="1" applyFont="1" applyBorder="1" applyAlignment="1">
      <alignment horizontal="right" vertical="center"/>
    </xf>
    <xf numFmtId="3" fontId="22" fillId="0" borderId="92" xfId="0" applyNumberFormat="1" applyFont="1" applyBorder="1" applyAlignment="1">
      <alignment horizontal="right" vertical="center"/>
    </xf>
    <xf numFmtId="3" fontId="22" fillId="0" borderId="93" xfId="0" applyNumberFormat="1" applyFont="1" applyBorder="1" applyAlignment="1">
      <alignment horizontal="right" vertical="center"/>
    </xf>
    <xf numFmtId="3" fontId="22" fillId="2" borderId="120" xfId="0" applyNumberFormat="1" applyFont="1" applyFill="1" applyBorder="1" applyAlignment="1">
      <alignment horizontal="right" vertical="center"/>
    </xf>
    <xf numFmtId="3" fontId="22" fillId="2" borderId="124" xfId="0" applyNumberFormat="1" applyFont="1" applyFill="1" applyBorder="1" applyAlignment="1">
      <alignment horizontal="right" vertical="center"/>
    </xf>
    <xf numFmtId="0" fontId="22" fillId="0" borderId="105" xfId="0" applyFont="1" applyBorder="1" applyAlignment="1">
      <alignment horizontal="left" vertical="center" wrapText="1"/>
    </xf>
    <xf numFmtId="0" fontId="22" fillId="0" borderId="92" xfId="0" applyFont="1" applyBorder="1" applyAlignment="1">
      <alignment horizontal="left" vertical="center" wrapText="1"/>
    </xf>
    <xf numFmtId="0" fontId="22" fillId="0" borderId="106" xfId="0" applyFont="1" applyBorder="1" applyAlignment="1">
      <alignment horizontal="left" vertical="center" wrapText="1"/>
    </xf>
    <xf numFmtId="0" fontId="22" fillId="0" borderId="125" xfId="0" applyFont="1" applyBorder="1" applyAlignment="1">
      <alignment horizontal="left" vertical="center" wrapText="1"/>
    </xf>
    <xf numFmtId="0" fontId="22" fillId="0" borderId="138" xfId="0" applyFont="1" applyBorder="1" applyAlignment="1">
      <alignment horizontal="left" vertical="center" wrapText="1"/>
    </xf>
    <xf numFmtId="0" fontId="22" fillId="0" borderId="111" xfId="0" applyFont="1" applyBorder="1" applyAlignment="1">
      <alignment horizontal="left" vertical="center" wrapText="1"/>
    </xf>
    <xf numFmtId="3" fontId="22" fillId="0" borderId="44" xfId="0" applyNumberFormat="1" applyFont="1" applyBorder="1" applyAlignment="1">
      <alignment horizontal="right" vertical="center"/>
    </xf>
    <xf numFmtId="3" fontId="22" fillId="0" borderId="99" xfId="0" applyNumberFormat="1" applyFont="1" applyBorder="1" applyAlignment="1">
      <alignment horizontal="right" vertical="center"/>
    </xf>
    <xf numFmtId="3" fontId="22" fillId="0" borderId="118" xfId="0" applyNumberFormat="1" applyFont="1" applyBorder="1" applyAlignment="1">
      <alignment horizontal="right" vertical="center"/>
    </xf>
    <xf numFmtId="3" fontId="22" fillId="0" borderId="143" xfId="0" applyNumberFormat="1" applyFont="1" applyBorder="1" applyAlignment="1">
      <alignment horizontal="right" vertical="center"/>
    </xf>
    <xf numFmtId="9" fontId="22" fillId="0" borderId="106" xfId="1" applyFont="1" applyBorder="1" applyAlignment="1">
      <alignment horizontal="right" vertical="center"/>
    </xf>
    <xf numFmtId="9" fontId="22" fillId="0" borderId="134" xfId="1" applyFont="1" applyBorder="1" applyAlignment="1">
      <alignment horizontal="right" vertical="center"/>
    </xf>
    <xf numFmtId="0" fontId="22" fillId="0" borderId="29" xfId="0" applyFont="1" applyBorder="1" applyAlignment="1">
      <alignment horizontal="right" vertical="center"/>
    </xf>
    <xf numFmtId="0" fontId="22" fillId="0" borderId="44" xfId="0" applyFont="1" applyBorder="1" applyAlignment="1">
      <alignment horizontal="right" vertical="center"/>
    </xf>
    <xf numFmtId="3" fontId="22" fillId="0" borderId="134" xfId="0" applyNumberFormat="1" applyFont="1" applyBorder="1" applyAlignment="1">
      <alignment horizontal="right" vertical="center"/>
    </xf>
    <xf numFmtId="3" fontId="22" fillId="0" borderId="105" xfId="0" applyNumberFormat="1" applyFont="1" applyBorder="1" applyAlignment="1">
      <alignment horizontal="right" vertical="center"/>
    </xf>
    <xf numFmtId="3" fontId="22" fillId="0" borderId="68" xfId="0" applyNumberFormat="1" applyFont="1" applyBorder="1" applyAlignment="1">
      <alignment horizontal="right" vertical="center"/>
    </xf>
    <xf numFmtId="3" fontId="22" fillId="0" borderId="67" xfId="0" applyNumberFormat="1" applyFont="1" applyBorder="1" applyAlignment="1">
      <alignment horizontal="right" vertical="center"/>
    </xf>
    <xf numFmtId="0" fontId="22" fillId="0" borderId="106" xfId="0" applyFont="1" applyBorder="1" applyAlignment="1">
      <alignment horizontal="right" vertical="center"/>
    </xf>
    <xf numFmtId="0" fontId="22" fillId="0" borderId="134" xfId="0" applyFont="1" applyBorder="1" applyAlignment="1">
      <alignment horizontal="right" vertical="center"/>
    </xf>
    <xf numFmtId="3" fontId="6" fillId="0" borderId="134" xfId="0" applyNumberFormat="1" applyFont="1" applyBorder="1" applyAlignment="1">
      <alignment horizontal="right" vertical="center"/>
    </xf>
    <xf numFmtId="3" fontId="6" fillId="0" borderId="68" xfId="0" applyNumberFormat="1" applyFont="1" applyBorder="1" applyAlignment="1">
      <alignment horizontal="right" vertical="center"/>
    </xf>
    <xf numFmtId="0" fontId="6" fillId="0" borderId="106" xfId="0" applyFont="1" applyBorder="1" applyAlignment="1">
      <alignment horizontal="right" vertical="center"/>
    </xf>
    <xf numFmtId="0" fontId="22" fillId="0" borderId="105" xfId="0" applyFont="1" applyBorder="1" applyAlignment="1">
      <alignment horizontal="right" vertical="center"/>
    </xf>
    <xf numFmtId="0" fontId="6" fillId="0" borderId="134" xfId="0" applyFont="1" applyBorder="1" applyAlignment="1">
      <alignment horizontal="right" vertical="center"/>
    </xf>
    <xf numFmtId="0" fontId="22" fillId="0" borderId="67" xfId="0" applyFont="1" applyBorder="1" applyAlignment="1">
      <alignment horizontal="right" vertical="center"/>
    </xf>
    <xf numFmtId="0" fontId="22" fillId="0" borderId="129" xfId="0" applyFont="1" applyBorder="1" applyAlignment="1">
      <alignment horizontal="center" vertical="center"/>
    </xf>
    <xf numFmtId="0" fontId="22" fillId="0" borderId="125" xfId="0" applyFont="1" applyBorder="1" applyAlignment="1">
      <alignment horizontal="center" vertical="center"/>
    </xf>
    <xf numFmtId="3" fontId="22" fillId="2" borderId="78" xfId="0" applyNumberFormat="1" applyFont="1" applyFill="1" applyBorder="1" applyAlignment="1">
      <alignment horizontal="right" vertical="center"/>
    </xf>
    <xf numFmtId="3" fontId="22" fillId="2" borderId="129" xfId="0" applyNumberFormat="1" applyFont="1" applyFill="1" applyBorder="1" applyAlignment="1">
      <alignment horizontal="right" vertical="center"/>
    </xf>
    <xf numFmtId="3" fontId="22" fillId="2" borderId="76" xfId="0" applyNumberFormat="1" applyFont="1" applyFill="1" applyBorder="1" applyAlignment="1">
      <alignment horizontal="right" vertical="center"/>
    </xf>
    <xf numFmtId="0" fontId="22" fillId="0" borderId="111" xfId="0" applyFont="1" applyBorder="1" applyAlignment="1">
      <alignment horizontal="right" vertical="center"/>
    </xf>
    <xf numFmtId="0" fontId="22" fillId="0" borderId="129" xfId="0" applyFont="1" applyBorder="1" applyAlignment="1">
      <alignment horizontal="right" vertical="center"/>
    </xf>
    <xf numFmtId="14" fontId="29" fillId="0" borderId="79" xfId="2" applyNumberFormat="1" applyFont="1" applyFill="1" applyBorder="1" applyAlignment="1">
      <alignment horizontal="center" wrapText="1"/>
    </xf>
    <xf numFmtId="14" fontId="29" fillId="0" borderId="0" xfId="2" applyNumberFormat="1" applyFont="1" applyFill="1" applyBorder="1" applyAlignment="1">
      <alignment horizontal="center" wrapText="1"/>
    </xf>
    <xf numFmtId="14" fontId="29" fillId="0" borderId="81" xfId="2" applyNumberFormat="1" applyFont="1" applyFill="1" applyBorder="1" applyAlignment="1">
      <alignment horizontal="center" wrapText="1"/>
    </xf>
    <xf numFmtId="0" fontId="6" fillId="0" borderId="134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3" fontId="22" fillId="0" borderId="105" xfId="0" applyNumberFormat="1" applyFont="1" applyBorder="1" applyAlignment="1">
      <alignment horizontal="right" vertical="center" wrapText="1"/>
    </xf>
    <xf numFmtId="3" fontId="22" fillId="0" borderId="92" xfId="0" applyNumberFormat="1" applyFont="1" applyBorder="1" applyAlignment="1">
      <alignment horizontal="right" vertical="center" wrapText="1"/>
    </xf>
    <xf numFmtId="3" fontId="22" fillId="0" borderId="106" xfId="0" applyNumberFormat="1" applyFont="1" applyBorder="1" applyAlignment="1">
      <alignment horizontal="right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/>
    </xf>
    <xf numFmtId="0" fontId="6" fillId="0" borderId="132" xfId="0" applyFont="1" applyBorder="1" applyAlignment="1">
      <alignment horizontal="center" vertical="center"/>
    </xf>
    <xf numFmtId="0" fontId="22" fillId="0" borderId="132" xfId="0" applyFont="1" applyBorder="1" applyAlignment="1">
      <alignment horizontal="center" vertical="center"/>
    </xf>
    <xf numFmtId="3" fontId="22" fillId="0" borderId="132" xfId="0" applyNumberFormat="1" applyFont="1" applyBorder="1" applyAlignment="1">
      <alignment horizontal="right" vertical="center"/>
    </xf>
    <xf numFmtId="0" fontId="22" fillId="0" borderId="105" xfId="0" applyFont="1" applyBorder="1" applyAlignment="1">
      <alignment horizontal="center" vertical="center"/>
    </xf>
    <xf numFmtId="0" fontId="6" fillId="0" borderId="129" xfId="0" applyFont="1" applyBorder="1" applyAlignment="1">
      <alignment horizontal="center" vertical="center"/>
    </xf>
    <xf numFmtId="3" fontId="22" fillId="0" borderId="129" xfId="0" applyNumberFormat="1" applyFont="1" applyBorder="1" applyAlignment="1">
      <alignment horizontal="right" vertical="center"/>
    </xf>
    <xf numFmtId="3" fontId="2" fillId="0" borderId="134" xfId="0" quotePrefix="1" applyNumberFormat="1" applyFont="1" applyBorder="1" applyAlignment="1">
      <alignment horizontal="right" vertical="center"/>
    </xf>
    <xf numFmtId="0" fontId="6" fillId="0" borderId="133" xfId="0" applyFont="1" applyBorder="1" applyAlignment="1">
      <alignment horizontal="center" vertical="center"/>
    </xf>
    <xf numFmtId="0" fontId="22" fillId="0" borderId="133" xfId="0" applyFont="1" applyBorder="1" applyAlignment="1">
      <alignment horizontal="center" vertical="center"/>
    </xf>
    <xf numFmtId="3" fontId="2" fillId="0" borderId="129" xfId="0" quotePrefix="1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/>
    </xf>
    <xf numFmtId="0" fontId="7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22" fillId="0" borderId="126" xfId="0" applyFont="1" applyBorder="1" applyAlignment="1">
      <alignment horizontal="left" vertical="center" wrapText="1"/>
    </xf>
    <xf numFmtId="0" fontId="22" fillId="0" borderId="117" xfId="0" applyFont="1" applyBorder="1" applyAlignment="1">
      <alignment horizontal="left" vertical="center" wrapText="1"/>
    </xf>
    <xf numFmtId="0" fontId="22" fillId="0" borderId="114" xfId="0" applyFont="1" applyBorder="1" applyAlignment="1">
      <alignment horizontal="left" vertical="center" wrapText="1"/>
    </xf>
    <xf numFmtId="3" fontId="22" fillId="0" borderId="96" xfId="0" applyNumberFormat="1" applyFont="1" applyBorder="1" applyAlignment="1">
      <alignment horizontal="right" vertical="center"/>
    </xf>
    <xf numFmtId="0" fontId="22" fillId="0" borderId="131" xfId="0" applyFont="1" applyBorder="1" applyAlignment="1">
      <alignment horizontal="center" vertical="center"/>
    </xf>
    <xf numFmtId="0" fontId="22" fillId="0" borderId="128" xfId="0" applyFont="1" applyBorder="1" applyAlignment="1">
      <alignment horizontal="center" vertical="center"/>
    </xf>
    <xf numFmtId="0" fontId="22" fillId="0" borderId="98" xfId="0" applyFont="1" applyBorder="1" applyAlignment="1">
      <alignment horizontal="center" vertical="center"/>
    </xf>
    <xf numFmtId="0" fontId="58" fillId="0" borderId="0" xfId="0" applyFont="1" applyAlignment="1">
      <alignment horizontal="left"/>
    </xf>
    <xf numFmtId="0" fontId="21" fillId="0" borderId="96" xfId="0" applyFont="1" applyBorder="1" applyAlignment="1">
      <alignment horizontal="center" vertical="center" wrapText="1"/>
    </xf>
    <xf numFmtId="0" fontId="21" fillId="0" borderId="97" xfId="0" applyFont="1" applyBorder="1" applyAlignment="1">
      <alignment horizontal="center" vertical="center" wrapText="1"/>
    </xf>
    <xf numFmtId="0" fontId="21" fillId="0" borderId="98" xfId="0" applyFont="1" applyBorder="1" applyAlignment="1">
      <alignment horizontal="center" vertical="center" wrapText="1"/>
    </xf>
    <xf numFmtId="0" fontId="21" fillId="0" borderId="100" xfId="0" applyFont="1" applyBorder="1" applyAlignment="1">
      <alignment horizontal="center" vertical="center" wrapText="1"/>
    </xf>
    <xf numFmtId="0" fontId="21" fillId="0" borderId="101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3" fillId="0" borderId="105" xfId="0" applyFont="1" applyBorder="1" applyAlignment="1">
      <alignment horizontal="left" vertical="center" wrapText="1"/>
    </xf>
    <xf numFmtId="0" fontId="23" fillId="0" borderId="92" xfId="0" applyFont="1" applyBorder="1" applyAlignment="1">
      <alignment horizontal="left" vertical="center" wrapText="1"/>
    </xf>
    <xf numFmtId="0" fontId="23" fillId="0" borderId="106" xfId="0" applyFont="1" applyBorder="1" applyAlignment="1">
      <alignment horizontal="left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22" fillId="0" borderId="134" xfId="0" applyNumberFormat="1" applyFont="1" applyBorder="1" applyAlignment="1">
      <alignment horizontal="right" vertical="center" wrapText="1"/>
    </xf>
    <xf numFmtId="0" fontId="21" fillId="0" borderId="100" xfId="0" applyFont="1" applyBorder="1" applyAlignment="1">
      <alignment horizontal="left" vertical="center" wrapText="1"/>
    </xf>
    <xf numFmtId="0" fontId="21" fillId="0" borderId="101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3" fontId="6" fillId="0" borderId="133" xfId="0" applyNumberFormat="1" applyFont="1" applyBorder="1" applyAlignment="1">
      <alignment horizontal="right" vertical="center" wrapText="1"/>
    </xf>
    <xf numFmtId="3" fontId="22" fillId="0" borderId="133" xfId="0" applyNumberFormat="1" applyFont="1" applyBorder="1" applyAlignment="1">
      <alignment horizontal="right" vertical="center" wrapText="1"/>
    </xf>
    <xf numFmtId="3" fontId="3" fillId="0" borderId="134" xfId="0" applyNumberFormat="1" applyFont="1" applyBorder="1" applyAlignment="1">
      <alignment horizontal="right" vertical="center" wrapText="1"/>
    </xf>
    <xf numFmtId="0" fontId="6" fillId="0" borderId="134" xfId="0" applyFont="1" applyBorder="1" applyAlignment="1">
      <alignment horizontal="left" vertical="center" wrapText="1"/>
    </xf>
    <xf numFmtId="0" fontId="22" fillId="0" borderId="134" xfId="0" applyFont="1" applyBorder="1" applyAlignment="1">
      <alignment horizontal="left" vertical="center" wrapText="1"/>
    </xf>
    <xf numFmtId="0" fontId="14" fillId="0" borderId="0" xfId="0" applyFont="1" applyAlignment="1">
      <alignment horizontal="justify" vertical="top" wrapText="1"/>
    </xf>
    <xf numFmtId="0" fontId="7" fillId="0" borderId="0" xfId="0" applyFont="1" applyAlignment="1">
      <alignment horizontal="justify" vertical="top" wrapText="1"/>
    </xf>
    <xf numFmtId="3" fontId="22" fillId="0" borderId="43" xfId="0" applyNumberFormat="1" applyFont="1" applyBorder="1" applyAlignment="1">
      <alignment horizontal="right" vertical="center"/>
    </xf>
    <xf numFmtId="0" fontId="21" fillId="0" borderId="37" xfId="0" applyFont="1" applyBorder="1" applyAlignment="1">
      <alignment horizontal="left" vertical="center" wrapText="1"/>
    </xf>
    <xf numFmtId="0" fontId="22" fillId="0" borderId="37" xfId="0" applyFont="1" applyBorder="1" applyAlignment="1">
      <alignment horizontal="left" vertical="center" wrapText="1"/>
    </xf>
    <xf numFmtId="3" fontId="21" fillId="2" borderId="76" xfId="0" applyNumberFormat="1" applyFont="1" applyFill="1" applyBorder="1" applyAlignment="1">
      <alignment horizontal="right" vertical="center"/>
    </xf>
    <xf numFmtId="3" fontId="21" fillId="2" borderId="77" xfId="0" applyNumberFormat="1" applyFont="1" applyFill="1" applyBorder="1" applyAlignment="1">
      <alignment horizontal="right" vertical="center"/>
    </xf>
    <xf numFmtId="0" fontId="21" fillId="0" borderId="133" xfId="0" applyFont="1" applyBorder="1" applyAlignment="1">
      <alignment horizontal="left" vertical="center" wrapText="1"/>
    </xf>
    <xf numFmtId="3" fontId="21" fillId="2" borderId="78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left"/>
    </xf>
    <xf numFmtId="3" fontId="22" fillId="0" borderId="63" xfId="0" applyNumberFormat="1" applyFont="1" applyBorder="1" applyAlignment="1">
      <alignment horizontal="right" vertical="center"/>
    </xf>
    <xf numFmtId="3" fontId="22" fillId="0" borderId="64" xfId="0" applyNumberFormat="1" applyFont="1" applyBorder="1" applyAlignment="1">
      <alignment horizontal="right" vertical="center"/>
    </xf>
    <xf numFmtId="0" fontId="21" fillId="0" borderId="96" xfId="0" applyFont="1" applyBorder="1" applyAlignment="1">
      <alignment horizontal="center" vertical="center"/>
    </xf>
    <xf numFmtId="0" fontId="21" fillId="0" borderId="97" xfId="0" applyFont="1" applyBorder="1" applyAlignment="1">
      <alignment horizontal="center" vertical="center"/>
    </xf>
    <xf numFmtId="0" fontId="21" fillId="0" borderId="98" xfId="0" applyFont="1" applyBorder="1" applyAlignment="1">
      <alignment horizontal="center" vertical="center"/>
    </xf>
    <xf numFmtId="0" fontId="21" fillId="0" borderId="100" xfId="0" applyFont="1" applyBorder="1" applyAlignment="1">
      <alignment horizontal="center" vertical="center"/>
    </xf>
    <xf numFmtId="0" fontId="21" fillId="0" borderId="101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26" xfId="0" applyFont="1" applyBorder="1" applyAlignment="1">
      <alignment horizontal="left" vertical="center" wrapText="1"/>
    </xf>
    <xf numFmtId="0" fontId="21" fillId="0" borderId="117" xfId="0" applyFont="1" applyBorder="1" applyAlignment="1">
      <alignment horizontal="left" vertical="center" wrapText="1"/>
    </xf>
    <xf numFmtId="0" fontId="21" fillId="0" borderId="114" xfId="0" applyFont="1" applyBorder="1" applyAlignment="1">
      <alignment horizontal="left" vertical="center" wrapText="1"/>
    </xf>
    <xf numFmtId="0" fontId="22" fillId="0" borderId="134" xfId="0" applyFont="1" applyBorder="1" applyAlignment="1">
      <alignment horizontal="left" vertical="center"/>
    </xf>
    <xf numFmtId="3" fontId="22" fillId="0" borderId="134" xfId="0" applyNumberFormat="1" applyFont="1" applyFill="1" applyBorder="1" applyAlignment="1">
      <alignment horizontal="right" vertical="center" wrapText="1"/>
    </xf>
    <xf numFmtId="3" fontId="22" fillId="0" borderId="134" xfId="0" applyNumberFormat="1" applyFont="1" applyFill="1" applyBorder="1" applyAlignment="1">
      <alignment horizontal="right" vertical="center"/>
    </xf>
    <xf numFmtId="3" fontId="6" fillId="0" borderId="134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vertical="top"/>
    </xf>
    <xf numFmtId="3" fontId="22" fillId="2" borderId="43" xfId="0" applyNumberFormat="1" applyFont="1" applyFill="1" applyBorder="1" applyAlignment="1">
      <alignment horizontal="right" vertical="center"/>
    </xf>
    <xf numFmtId="3" fontId="22" fillId="2" borderId="68" xfId="0" applyNumberFormat="1" applyFont="1" applyFill="1" applyBorder="1" applyAlignment="1">
      <alignment horizontal="right" vertical="center"/>
    </xf>
    <xf numFmtId="0" fontId="14" fillId="0" borderId="0" xfId="0" applyFont="1" applyAlignment="1">
      <alignment horizontal="justify" vertical="top"/>
    </xf>
    <xf numFmtId="3" fontId="22" fillId="2" borderId="134" xfId="0" applyNumberFormat="1" applyFont="1" applyFill="1" applyBorder="1" applyAlignment="1">
      <alignment horizontal="right" vertical="center"/>
    </xf>
    <xf numFmtId="3" fontId="22" fillId="2" borderId="125" xfId="0" applyNumberFormat="1" applyFont="1" applyFill="1" applyBorder="1" applyAlignment="1">
      <alignment horizontal="right" vertical="center" wrapText="1"/>
    </xf>
    <xf numFmtId="3" fontId="22" fillId="2" borderId="138" xfId="0" applyNumberFormat="1" applyFont="1" applyFill="1" applyBorder="1" applyAlignment="1">
      <alignment horizontal="right" vertical="center" wrapText="1"/>
    </xf>
    <xf numFmtId="3" fontId="22" fillId="2" borderId="111" xfId="0" applyNumberFormat="1" applyFont="1" applyFill="1" applyBorder="1" applyAlignment="1">
      <alignment horizontal="right" vertical="center" wrapText="1"/>
    </xf>
    <xf numFmtId="3" fontId="22" fillId="2" borderId="133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9" fontId="6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0" fontId="21" fillId="0" borderId="101" xfId="0" applyFont="1" applyBorder="1" applyAlignment="1">
      <alignment horizontal="center" wrapText="1"/>
    </xf>
    <xf numFmtId="0" fontId="22" fillId="0" borderId="101" xfId="0" applyFont="1" applyBorder="1" applyAlignment="1">
      <alignment horizontal="left"/>
    </xf>
    <xf numFmtId="0" fontId="6" fillId="0" borderId="101" xfId="0" applyFont="1" applyBorder="1" applyAlignment="1">
      <alignment horizontal="center"/>
    </xf>
    <xf numFmtId="9" fontId="6" fillId="0" borderId="101" xfId="0" applyNumberFormat="1" applyFont="1" applyBorder="1" applyAlignment="1">
      <alignment horizontal="center"/>
    </xf>
    <xf numFmtId="0" fontId="21" fillId="0" borderId="0" xfId="0" applyFont="1" applyAlignment="1">
      <alignment horizontal="center"/>
    </xf>
    <xf numFmtId="0" fontId="7" fillId="0" borderId="0" xfId="0" applyFont="1" applyFill="1" applyAlignment="1">
      <alignment horizontal="justify" vertical="top" wrapText="1"/>
    </xf>
    <xf numFmtId="0" fontId="15" fillId="0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top" wrapText="1"/>
    </xf>
    <xf numFmtId="0" fontId="22" fillId="0" borderId="95" xfId="0" applyFont="1" applyBorder="1" applyAlignment="1">
      <alignment horizontal="left"/>
    </xf>
    <xf numFmtId="9" fontId="6" fillId="0" borderId="95" xfId="0" applyNumberFormat="1" applyFont="1" applyBorder="1" applyAlignment="1">
      <alignment horizontal="center"/>
    </xf>
    <xf numFmtId="0" fontId="6" fillId="0" borderId="95" xfId="0" applyFont="1" applyBorder="1" applyAlignment="1">
      <alignment horizontal="center"/>
    </xf>
    <xf numFmtId="9" fontId="22" fillId="2" borderId="125" xfId="1" applyFont="1" applyFill="1" applyBorder="1" applyAlignment="1">
      <alignment horizontal="right" vertical="center"/>
    </xf>
    <xf numFmtId="9" fontId="22" fillId="2" borderId="138" xfId="1" applyFont="1" applyFill="1" applyBorder="1" applyAlignment="1">
      <alignment horizontal="right" vertical="center"/>
    </xf>
    <xf numFmtId="9" fontId="22" fillId="2" borderId="111" xfId="1" applyFont="1" applyFill="1" applyBorder="1" applyAlignment="1">
      <alignment horizontal="right" vertical="center"/>
    </xf>
    <xf numFmtId="9" fontId="22" fillId="4" borderId="132" xfId="0" applyNumberFormat="1" applyFont="1" applyFill="1" applyBorder="1" applyAlignment="1">
      <alignment horizontal="right" vertical="center"/>
    </xf>
    <xf numFmtId="3" fontId="22" fillId="2" borderId="133" xfId="0" applyNumberFormat="1" applyFont="1" applyFill="1" applyBorder="1" applyAlignment="1">
      <alignment horizontal="right" vertical="center"/>
    </xf>
    <xf numFmtId="0" fontId="21" fillId="0" borderId="125" xfId="0" applyFont="1" applyBorder="1" applyAlignment="1">
      <alignment horizontal="left" vertical="center" wrapText="1"/>
    </xf>
    <xf numFmtId="0" fontId="21" fillId="0" borderId="138" xfId="0" applyFont="1" applyBorder="1" applyAlignment="1">
      <alignment horizontal="left" vertical="center" wrapText="1"/>
    </xf>
    <xf numFmtId="0" fontId="21" fillId="0" borderId="111" xfId="0" applyFont="1" applyBorder="1" applyAlignment="1">
      <alignment horizontal="left" vertical="center" wrapText="1"/>
    </xf>
    <xf numFmtId="0" fontId="21" fillId="0" borderId="110" xfId="0" applyFont="1" applyBorder="1" applyAlignment="1">
      <alignment horizontal="center"/>
    </xf>
    <xf numFmtId="0" fontId="21" fillId="0" borderId="101" xfId="0" applyFont="1" applyBorder="1" applyAlignment="1">
      <alignment horizontal="center"/>
    </xf>
    <xf numFmtId="0" fontId="21" fillId="0" borderId="109" xfId="0" applyFont="1" applyBorder="1" applyAlignment="1">
      <alignment horizontal="center"/>
    </xf>
    <xf numFmtId="0" fontId="6" fillId="0" borderId="132" xfId="0" applyFont="1" applyBorder="1" applyAlignment="1">
      <alignment horizontal="center" vertical="center" wrapText="1"/>
    </xf>
    <xf numFmtId="0" fontId="22" fillId="0" borderId="132" xfId="0" applyFont="1" applyBorder="1" applyAlignment="1">
      <alignment horizontal="center" vertical="center" wrapText="1"/>
    </xf>
    <xf numFmtId="3" fontId="22" fillId="0" borderId="133" xfId="0" applyNumberFormat="1" applyFont="1" applyBorder="1" applyAlignment="1">
      <alignment horizontal="center" vertical="center" wrapText="1"/>
    </xf>
    <xf numFmtId="3" fontId="22" fillId="0" borderId="134" xfId="0" applyNumberFormat="1" applyFont="1" applyBorder="1" applyAlignment="1">
      <alignment horizontal="center" vertical="center" wrapText="1"/>
    </xf>
    <xf numFmtId="3" fontId="22" fillId="0" borderId="132" xfId="0" applyNumberFormat="1" applyFont="1" applyBorder="1" applyAlignment="1">
      <alignment horizontal="center" vertical="center" wrapText="1"/>
    </xf>
    <xf numFmtId="0" fontId="21" fillId="0" borderId="37" xfId="0" applyNumberFormat="1" applyFont="1" applyBorder="1" applyAlignment="1">
      <alignment horizontal="center" vertical="center" wrapText="1"/>
    </xf>
    <xf numFmtId="0" fontId="22" fillId="0" borderId="133" xfId="0" applyNumberFormat="1" applyFont="1" applyBorder="1" applyAlignment="1">
      <alignment horizontal="left" vertical="center" wrapText="1"/>
    </xf>
    <xf numFmtId="0" fontId="22" fillId="0" borderId="134" xfId="0" applyNumberFormat="1" applyFont="1" applyBorder="1" applyAlignment="1">
      <alignment horizontal="left" vertical="center" wrapText="1"/>
    </xf>
    <xf numFmtId="0" fontId="22" fillId="0" borderId="132" xfId="0" applyNumberFormat="1" applyFont="1" applyBorder="1" applyAlignment="1">
      <alignment horizontal="left" vertical="center" wrapText="1"/>
    </xf>
    <xf numFmtId="0" fontId="21" fillId="0" borderId="96" xfId="0" applyFont="1" applyBorder="1" applyAlignment="1">
      <alignment horizontal="right" vertical="center" wrapText="1"/>
    </xf>
    <xf numFmtId="0" fontId="21" fillId="0" borderId="97" xfId="0" applyFont="1" applyBorder="1" applyAlignment="1">
      <alignment horizontal="right" vertical="center" wrapText="1"/>
    </xf>
    <xf numFmtId="0" fontId="21" fillId="0" borderId="98" xfId="0" applyFont="1" applyBorder="1" applyAlignment="1">
      <alignment horizontal="right" vertical="center" wrapText="1"/>
    </xf>
    <xf numFmtId="0" fontId="21" fillId="0" borderId="100" xfId="0" applyFont="1" applyBorder="1" applyAlignment="1">
      <alignment horizontal="right" vertical="center" wrapText="1"/>
    </xf>
    <xf numFmtId="0" fontId="21" fillId="0" borderId="101" xfId="0" applyFont="1" applyBorder="1" applyAlignment="1">
      <alignment horizontal="right" vertical="center" wrapText="1"/>
    </xf>
    <xf numFmtId="0" fontId="21" fillId="0" borderId="13" xfId="0" applyFont="1" applyBorder="1" applyAlignment="1">
      <alignment horizontal="right" vertical="center" wrapText="1"/>
    </xf>
    <xf numFmtId="10" fontId="6" fillId="4" borderId="126" xfId="0" applyNumberFormat="1" applyFont="1" applyFill="1" applyBorder="1" applyAlignment="1">
      <alignment horizontal="right" vertical="center"/>
    </xf>
    <xf numFmtId="10" fontId="22" fillId="4" borderId="117" xfId="0" applyNumberFormat="1" applyFont="1" applyFill="1" applyBorder="1" applyAlignment="1">
      <alignment horizontal="right" vertical="center"/>
    </xf>
    <xf numFmtId="10" fontId="22" fillId="4" borderId="114" xfId="0" applyNumberFormat="1" applyFont="1" applyFill="1" applyBorder="1" applyAlignment="1">
      <alignment horizontal="right" vertical="center"/>
    </xf>
    <xf numFmtId="3" fontId="22" fillId="0" borderId="133" xfId="0" applyNumberFormat="1" applyFont="1" applyFill="1" applyBorder="1" applyAlignment="1">
      <alignment horizontal="right" vertical="center"/>
    </xf>
    <xf numFmtId="0" fontId="29" fillId="0" borderId="88" xfId="2" applyFont="1" applyBorder="1" applyAlignment="1">
      <alignment horizontal="center"/>
    </xf>
    <xf numFmtId="0" fontId="29" fillId="0" borderId="103" xfId="2" applyFont="1" applyBorder="1" applyAlignment="1">
      <alignment horizontal="center"/>
    </xf>
    <xf numFmtId="0" fontId="29" fillId="0" borderId="89" xfId="2" applyFont="1" applyBorder="1" applyAlignment="1">
      <alignment horizontal="center"/>
    </xf>
    <xf numFmtId="0" fontId="29" fillId="0" borderId="119" xfId="2" applyFont="1" applyBorder="1" applyAlignment="1">
      <alignment horizontal="left" vertical="top" wrapText="1"/>
    </xf>
    <xf numFmtId="0" fontId="29" fillId="0" borderId="123" xfId="2" applyFont="1" applyBorder="1" applyAlignment="1">
      <alignment horizontal="left" vertical="top" wrapText="1"/>
    </xf>
    <xf numFmtId="0" fontId="29" fillId="0" borderId="122" xfId="2" applyFont="1" applyBorder="1" applyAlignment="1">
      <alignment horizontal="left" vertical="top" wrapText="1"/>
    </xf>
    <xf numFmtId="0" fontId="29" fillId="0" borderId="79" xfId="2" applyFont="1" applyBorder="1" applyAlignment="1">
      <alignment horizontal="left" vertical="top" wrapText="1"/>
    </xf>
    <xf numFmtId="0" fontId="29" fillId="0" borderId="0" xfId="2" applyFont="1" applyBorder="1" applyAlignment="1">
      <alignment horizontal="left" vertical="top" wrapText="1"/>
    </xf>
    <xf numFmtId="0" fontId="29" fillId="0" borderId="81" xfId="2" applyFont="1" applyBorder="1" applyAlignment="1">
      <alignment horizontal="left" vertical="top" wrapText="1"/>
    </xf>
    <xf numFmtId="0" fontId="93" fillId="0" borderId="91" xfId="0" applyFont="1" applyBorder="1" applyAlignment="1">
      <alignment horizontal="center"/>
    </xf>
    <xf numFmtId="0" fontId="93" fillId="0" borderId="92" xfId="0" applyFont="1" applyBorder="1" applyAlignment="1">
      <alignment horizontal="center"/>
    </xf>
    <xf numFmtId="0" fontId="93" fillId="0" borderId="93" xfId="0" applyFont="1" applyBorder="1" applyAlignment="1">
      <alignment horizontal="center"/>
    </xf>
    <xf numFmtId="3" fontId="22" fillId="2" borderId="64" xfId="0" applyNumberFormat="1" applyFont="1" applyFill="1" applyBorder="1" applyAlignment="1">
      <alignment horizontal="right" vertical="center"/>
    </xf>
    <xf numFmtId="3" fontId="22" fillId="2" borderId="65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justify" vertical="top"/>
    </xf>
    <xf numFmtId="0" fontId="13" fillId="0" borderId="0" xfId="0" applyFont="1" applyFill="1" applyAlignment="1">
      <alignment horizontal="justify" vertical="top" wrapText="1"/>
    </xf>
    <xf numFmtId="0" fontId="22" fillId="0" borderId="133" xfId="0" applyFont="1" applyBorder="1" applyAlignment="1">
      <alignment horizontal="left" vertical="center" wrapText="1"/>
    </xf>
    <xf numFmtId="0" fontId="21" fillId="0" borderId="37" xfId="0" applyFont="1" applyBorder="1" applyAlignment="1">
      <alignment horizontal="left" vertical="center"/>
    </xf>
    <xf numFmtId="0" fontId="22" fillId="0" borderId="132" xfId="0" applyFont="1" applyBorder="1" applyAlignment="1">
      <alignment horizontal="left" vertical="center" wrapText="1"/>
    </xf>
    <xf numFmtId="3" fontId="22" fillId="2" borderId="132" xfId="0" applyNumberFormat="1" applyFont="1" applyFill="1" applyBorder="1" applyAlignment="1">
      <alignment horizontal="right" vertical="center"/>
    </xf>
    <xf numFmtId="3" fontId="5" fillId="0" borderId="134" xfId="0" quotePrefix="1" applyNumberFormat="1" applyFont="1" applyBorder="1" applyAlignment="1">
      <alignment horizontal="right" vertical="center"/>
    </xf>
    <xf numFmtId="3" fontId="21" fillId="2" borderId="133" xfId="0" applyNumberFormat="1" applyFont="1" applyFill="1" applyBorder="1" applyAlignment="1">
      <alignment horizontal="right" vertical="center"/>
    </xf>
    <xf numFmtId="0" fontId="21" fillId="0" borderId="129" xfId="0" applyFont="1" applyBorder="1" applyAlignment="1">
      <alignment horizontal="left" vertical="center" wrapText="1"/>
    </xf>
    <xf numFmtId="3" fontId="21" fillId="2" borderId="129" xfId="0" applyNumberFormat="1" applyFont="1" applyFill="1" applyBorder="1" applyAlignment="1">
      <alignment horizontal="right" vertical="center"/>
    </xf>
    <xf numFmtId="3" fontId="22" fillId="0" borderId="128" xfId="0" applyNumberFormat="1" applyFont="1" applyBorder="1" applyAlignment="1">
      <alignment horizontal="right" vertical="center"/>
    </xf>
    <xf numFmtId="3" fontId="22" fillId="0" borderId="98" xfId="0" applyNumberFormat="1" applyFont="1" applyBorder="1" applyAlignment="1">
      <alignment horizontal="right" vertical="center"/>
    </xf>
    <xf numFmtId="3" fontId="22" fillId="0" borderId="106" xfId="0" applyNumberFormat="1" applyFont="1" applyBorder="1" applyAlignment="1">
      <alignment horizontal="right" vertical="center"/>
    </xf>
    <xf numFmtId="3" fontId="21" fillId="2" borderId="11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left" vertical="top"/>
    </xf>
    <xf numFmtId="0" fontId="21" fillId="0" borderId="94" xfId="0" applyFont="1" applyBorder="1" applyAlignment="1">
      <alignment horizontal="center" vertical="center" wrapText="1"/>
    </xf>
    <xf numFmtId="0" fontId="21" fillId="0" borderId="95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3" fontId="21" fillId="2" borderId="13" xfId="0" applyNumberFormat="1" applyFont="1" applyFill="1" applyBorder="1" applyAlignment="1">
      <alignment horizontal="right" vertical="center"/>
    </xf>
    <xf numFmtId="0" fontId="22" fillId="0" borderId="102" xfId="0" applyFont="1" applyBorder="1" applyAlignment="1">
      <alignment horizontal="left" vertical="center" wrapText="1"/>
    </xf>
    <xf numFmtId="0" fontId="22" fillId="0" borderId="103" xfId="0" applyFont="1" applyBorder="1" applyAlignment="1">
      <alignment horizontal="left" vertical="center" wrapText="1"/>
    </xf>
    <xf numFmtId="0" fontId="22" fillId="0" borderId="104" xfId="0" applyFont="1" applyBorder="1" applyAlignment="1">
      <alignment horizontal="left" vertical="center" wrapText="1"/>
    </xf>
    <xf numFmtId="3" fontId="22" fillId="0" borderId="104" xfId="0" applyNumberFormat="1" applyFont="1" applyBorder="1" applyAlignment="1">
      <alignment horizontal="right" vertical="center"/>
    </xf>
    <xf numFmtId="3" fontId="22" fillId="0" borderId="140" xfId="0" applyNumberFormat="1" applyFont="1" applyBorder="1" applyAlignment="1">
      <alignment horizontal="right" vertical="center"/>
    </xf>
    <xf numFmtId="3" fontId="21" fillId="0" borderId="37" xfId="0" applyNumberFormat="1" applyFont="1" applyBorder="1" applyAlignment="1">
      <alignment horizontal="right" vertical="center"/>
    </xf>
    <xf numFmtId="3" fontId="21" fillId="0" borderId="94" xfId="0" applyNumberFormat="1" applyFont="1" applyBorder="1" applyAlignment="1">
      <alignment horizontal="right" vertical="center"/>
    </xf>
    <xf numFmtId="3" fontId="21" fillId="0" borderId="95" xfId="0" applyNumberFormat="1" applyFont="1" applyBorder="1" applyAlignment="1">
      <alignment horizontal="right" vertical="center"/>
    </xf>
    <xf numFmtId="3" fontId="21" fillId="0" borderId="17" xfId="0" applyNumberFormat="1" applyFont="1" applyBorder="1" applyAlignment="1">
      <alignment horizontal="right" vertical="center"/>
    </xf>
    <xf numFmtId="0" fontId="6" fillId="0" borderId="132" xfId="0" applyFont="1" applyBorder="1" applyAlignment="1">
      <alignment horizontal="left" vertical="center" wrapText="1"/>
    </xf>
    <xf numFmtId="3" fontId="22" fillId="0" borderId="44" xfId="0" applyNumberFormat="1" applyFont="1" applyFill="1" applyBorder="1" applyAlignment="1">
      <alignment horizontal="right"/>
    </xf>
    <xf numFmtId="3" fontId="22" fillId="0" borderId="44" xfId="0" applyNumberFormat="1" applyFont="1" applyBorder="1" applyAlignment="1">
      <alignment horizontal="right"/>
    </xf>
    <xf numFmtId="0" fontId="6" fillId="0" borderId="133" xfId="0" applyFont="1" applyBorder="1" applyAlignment="1">
      <alignment horizontal="left" vertical="center" wrapText="1"/>
    </xf>
    <xf numFmtId="0" fontId="21" fillId="0" borderId="132" xfId="0" applyFont="1" applyBorder="1" applyAlignment="1">
      <alignment horizontal="center" vertical="center" wrapText="1"/>
    </xf>
    <xf numFmtId="0" fontId="6" fillId="0" borderId="99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3" fontId="22" fillId="0" borderId="99" xfId="0" applyNumberFormat="1" applyFont="1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29" xfId="0" applyBorder="1" applyAlignment="1">
      <alignment horizontal="right"/>
    </xf>
    <xf numFmtId="3" fontId="22" fillId="0" borderId="133" xfId="0" applyNumberFormat="1" applyFont="1" applyBorder="1" applyAlignment="1">
      <alignment horizontal="right"/>
    </xf>
    <xf numFmtId="0" fontId="21" fillId="0" borderId="125" xfId="0" applyFont="1" applyBorder="1" applyAlignment="1">
      <alignment horizontal="left"/>
    </xf>
    <xf numFmtId="0" fontId="21" fillId="0" borderId="138" xfId="0" applyFont="1" applyBorder="1" applyAlignment="1">
      <alignment horizontal="left"/>
    </xf>
    <xf numFmtId="0" fontId="21" fillId="0" borderId="111" xfId="0" applyFont="1" applyBorder="1" applyAlignment="1">
      <alignment horizontal="left"/>
    </xf>
    <xf numFmtId="0" fontId="22" fillId="0" borderId="105" xfId="0" applyFont="1" applyBorder="1" applyAlignment="1">
      <alignment horizontal="left"/>
    </xf>
    <xf numFmtId="0" fontId="22" fillId="0" borderId="92" xfId="0" applyFont="1" applyBorder="1" applyAlignment="1">
      <alignment horizontal="left"/>
    </xf>
    <xf numFmtId="0" fontId="22" fillId="0" borderId="106" xfId="0" applyFont="1" applyBorder="1" applyAlignment="1">
      <alignment horizontal="left"/>
    </xf>
    <xf numFmtId="0" fontId="2" fillId="0" borderId="94" xfId="0" applyFont="1" applyBorder="1" applyAlignment="1">
      <alignment horizontal="left"/>
    </xf>
    <xf numFmtId="0" fontId="2" fillId="0" borderId="9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1" fillId="0" borderId="94" xfId="0" applyFont="1" applyBorder="1" applyAlignment="1">
      <alignment horizontal="center"/>
    </xf>
    <xf numFmtId="0" fontId="21" fillId="0" borderId="95" xfId="0" applyFont="1" applyBorder="1" applyAlignment="1">
      <alignment horizontal="center"/>
    </xf>
    <xf numFmtId="0" fontId="21" fillId="0" borderId="17" xfId="0" applyFont="1" applyBorder="1" applyAlignment="1">
      <alignment horizontal="center"/>
    </xf>
    <xf numFmtId="3" fontId="6" fillId="0" borderId="125" xfId="0" applyNumberFormat="1" applyFont="1" applyFill="1" applyBorder="1" applyAlignment="1">
      <alignment horizontal="right" vertical="center"/>
    </xf>
    <xf numFmtId="3" fontId="22" fillId="0" borderId="138" xfId="0" applyNumberFormat="1" applyFont="1" applyFill="1" applyBorder="1" applyAlignment="1">
      <alignment horizontal="right" vertical="center"/>
    </xf>
    <xf numFmtId="3" fontId="22" fillId="0" borderId="111" xfId="0" applyNumberFormat="1" applyFont="1" applyFill="1" applyBorder="1" applyAlignment="1">
      <alignment horizontal="right" vertical="center"/>
    </xf>
    <xf numFmtId="3" fontId="22" fillId="0" borderId="37" xfId="0" applyNumberFormat="1" applyFont="1" applyBorder="1" applyAlignment="1">
      <alignment horizontal="right" vertical="center"/>
    </xf>
    <xf numFmtId="0" fontId="22" fillId="0" borderId="130" xfId="0" applyFont="1" applyBorder="1" applyAlignment="1">
      <alignment horizontal="left" vertical="center" wrapText="1"/>
    </xf>
    <xf numFmtId="3" fontId="22" fillId="0" borderId="130" xfId="0" applyNumberFormat="1" applyFont="1" applyBorder="1" applyAlignment="1">
      <alignment horizontal="right" vertical="center"/>
    </xf>
    <xf numFmtId="3" fontId="22" fillId="0" borderId="130" xfId="0" applyNumberFormat="1" applyFont="1" applyFill="1" applyBorder="1" applyAlignment="1">
      <alignment horizontal="right" vertical="center"/>
    </xf>
    <xf numFmtId="3" fontId="5" fillId="0" borderId="134" xfId="0" quotePrefix="1" applyNumberFormat="1" applyFont="1" applyBorder="1" applyAlignment="1">
      <alignment horizontal="right" vertical="center" wrapText="1"/>
    </xf>
    <xf numFmtId="3" fontId="5" fillId="0" borderId="37" xfId="0" quotePrefix="1" applyNumberFormat="1" applyFont="1" applyBorder="1" applyAlignment="1">
      <alignment horizontal="right" vertical="center"/>
    </xf>
    <xf numFmtId="3" fontId="22" fillId="2" borderId="37" xfId="0" applyNumberFormat="1" applyFont="1" applyFill="1" applyBorder="1" applyAlignment="1">
      <alignment horizontal="right" vertical="center"/>
    </xf>
    <xf numFmtId="3" fontId="22" fillId="0" borderId="37" xfId="0" applyNumberFormat="1" applyFont="1" applyBorder="1" applyAlignment="1">
      <alignment horizontal="right" vertical="center" wrapText="1"/>
    </xf>
    <xf numFmtId="3" fontId="22" fillId="0" borderId="115" xfId="0" applyNumberFormat="1" applyFont="1" applyBorder="1" applyAlignment="1">
      <alignment horizontal="right" vertical="center"/>
    </xf>
    <xf numFmtId="3" fontId="22" fillId="0" borderId="117" xfId="0" applyNumberFormat="1" applyFont="1" applyBorder="1" applyAlignment="1">
      <alignment horizontal="right" vertical="center"/>
    </xf>
    <xf numFmtId="3" fontId="22" fillId="0" borderId="116" xfId="0" applyNumberFormat="1" applyFont="1" applyBorder="1" applyAlignment="1">
      <alignment horizontal="right" vertical="center"/>
    </xf>
    <xf numFmtId="0" fontId="21" fillId="0" borderId="94" xfId="0" applyFont="1" applyBorder="1" applyAlignment="1">
      <alignment horizontal="left" vertical="center" wrapText="1"/>
    </xf>
    <xf numFmtId="0" fontId="21" fillId="0" borderId="95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 wrapText="1"/>
    </xf>
    <xf numFmtId="3" fontId="22" fillId="0" borderId="135" xfId="0" applyNumberFormat="1" applyFont="1" applyBorder="1" applyAlignment="1">
      <alignment horizontal="right" vertical="center"/>
    </xf>
    <xf numFmtId="3" fontId="22" fillId="0" borderId="139" xfId="0" applyNumberFormat="1" applyFont="1" applyBorder="1" applyAlignment="1">
      <alignment horizontal="right" vertical="center"/>
    </xf>
    <xf numFmtId="3" fontId="22" fillId="0" borderId="136" xfId="0" applyNumberFormat="1" applyFont="1" applyBorder="1" applyAlignment="1">
      <alignment horizontal="right" vertical="center"/>
    </xf>
    <xf numFmtId="3" fontId="22" fillId="0" borderId="95" xfId="0" applyNumberFormat="1" applyFont="1" applyBorder="1" applyAlignment="1">
      <alignment horizontal="right" vertical="center"/>
    </xf>
    <xf numFmtId="3" fontId="22" fillId="0" borderId="137" xfId="0" applyNumberFormat="1" applyFont="1" applyBorder="1" applyAlignment="1">
      <alignment horizontal="right" vertical="center"/>
    </xf>
    <xf numFmtId="3" fontId="22" fillId="2" borderId="139" xfId="0" applyNumberFormat="1" applyFont="1" applyFill="1" applyBorder="1" applyAlignment="1">
      <alignment horizontal="right" vertical="center"/>
    </xf>
    <xf numFmtId="3" fontId="22" fillId="2" borderId="127" xfId="0" applyNumberFormat="1" applyFont="1" applyFill="1" applyBorder="1" applyAlignment="1">
      <alignment horizontal="right" vertical="center"/>
    </xf>
    <xf numFmtId="0" fontId="6" fillId="0" borderId="126" xfId="0" applyFont="1" applyBorder="1" applyAlignment="1">
      <alignment horizontal="left" vertical="center" wrapText="1"/>
    </xf>
    <xf numFmtId="0" fontId="21" fillId="0" borderId="135" xfId="0" applyFont="1" applyBorder="1" applyAlignment="1">
      <alignment horizontal="center" vertical="center" wrapText="1"/>
    </xf>
    <xf numFmtId="0" fontId="21" fillId="0" borderId="139" xfId="0" applyFont="1" applyBorder="1" applyAlignment="1">
      <alignment horizontal="center" vertical="center" wrapText="1"/>
    </xf>
    <xf numFmtId="0" fontId="6" fillId="0" borderId="105" xfId="0" applyFont="1" applyBorder="1" applyAlignment="1">
      <alignment horizontal="left" vertical="center" wrapText="1"/>
    </xf>
    <xf numFmtId="0" fontId="6" fillId="0" borderId="102" xfId="0" applyFont="1" applyBorder="1" applyAlignment="1">
      <alignment horizontal="left" vertical="center" wrapText="1"/>
    </xf>
    <xf numFmtId="3" fontId="22" fillId="0" borderId="72" xfId="0" applyNumberFormat="1" applyFont="1" applyBorder="1" applyAlignment="1">
      <alignment horizontal="right" vertical="center"/>
    </xf>
    <xf numFmtId="3" fontId="22" fillId="0" borderId="73" xfId="0" applyNumberFormat="1" applyFont="1" applyBorder="1" applyAlignment="1">
      <alignment horizontal="right" vertical="center"/>
    </xf>
    <xf numFmtId="3" fontId="22" fillId="0" borderId="88" xfId="0" applyNumberFormat="1" applyFont="1" applyBorder="1" applyAlignment="1">
      <alignment horizontal="right" vertical="center"/>
    </xf>
    <xf numFmtId="3" fontId="22" fillId="0" borderId="103" xfId="0" applyNumberFormat="1" applyFont="1" applyBorder="1" applyAlignment="1">
      <alignment horizontal="right" vertical="center"/>
    </xf>
    <xf numFmtId="3" fontId="22" fillId="0" borderId="89" xfId="0" applyNumberFormat="1" applyFont="1" applyBorder="1" applyAlignment="1">
      <alignment horizontal="right" vertical="center"/>
    </xf>
    <xf numFmtId="3" fontId="6" fillId="0" borderId="76" xfId="0" applyNumberFormat="1" applyFont="1" applyBorder="1" applyAlignment="1">
      <alignment horizontal="right" vertical="center"/>
    </xf>
    <xf numFmtId="3" fontId="6" fillId="0" borderId="77" xfId="0" applyNumberFormat="1" applyFont="1" applyBorder="1" applyAlignment="1">
      <alignment horizontal="right" vertical="center"/>
    </xf>
    <xf numFmtId="3" fontId="21" fillId="0" borderId="77" xfId="0" applyNumberFormat="1" applyFont="1" applyBorder="1" applyAlignment="1">
      <alignment horizontal="right" vertical="center"/>
    </xf>
    <xf numFmtId="3" fontId="21" fillId="0" borderId="112" xfId="0" applyNumberFormat="1" applyFont="1" applyBorder="1" applyAlignment="1">
      <alignment horizontal="right" vertical="center"/>
    </xf>
    <xf numFmtId="3" fontId="21" fillId="0" borderId="138" xfId="0" applyNumberFormat="1" applyFont="1" applyBorder="1" applyAlignment="1">
      <alignment horizontal="right" vertical="center"/>
    </xf>
    <xf numFmtId="3" fontId="21" fillId="0" borderId="113" xfId="0" applyNumberFormat="1" applyFont="1" applyBorder="1" applyAlignment="1">
      <alignment horizontal="right" vertical="center"/>
    </xf>
    <xf numFmtId="3" fontId="22" fillId="2" borderId="77" xfId="0" applyNumberFormat="1" applyFont="1" applyFill="1" applyBorder="1" applyAlignment="1">
      <alignment horizontal="right" vertical="center"/>
    </xf>
    <xf numFmtId="0" fontId="6" fillId="0" borderId="142" xfId="0" applyFont="1" applyBorder="1" applyAlignment="1">
      <alignment horizontal="left" vertical="center" wrapText="1"/>
    </xf>
    <xf numFmtId="0" fontId="22" fillId="0" borderId="123" xfId="0" applyFont="1" applyBorder="1" applyAlignment="1">
      <alignment horizontal="left" vertical="center" wrapText="1"/>
    </xf>
    <xf numFmtId="0" fontId="22" fillId="0" borderId="141" xfId="0" applyFont="1" applyBorder="1" applyAlignment="1">
      <alignment horizontal="left" vertical="center" wrapText="1"/>
    </xf>
    <xf numFmtId="3" fontId="22" fillId="0" borderId="121" xfId="0" applyNumberFormat="1" applyFont="1" applyBorder="1" applyAlignment="1">
      <alignment horizontal="right" vertical="center"/>
    </xf>
    <xf numFmtId="3" fontId="22" fillId="0" borderId="120" xfId="0" applyNumberFormat="1" applyFont="1" applyBorder="1" applyAlignment="1">
      <alignment horizontal="right" vertical="center"/>
    </xf>
    <xf numFmtId="3" fontId="22" fillId="2" borderId="93" xfId="0" applyNumberFormat="1" applyFont="1" applyFill="1" applyBorder="1" applyAlignment="1">
      <alignment horizontal="right" vertical="center"/>
    </xf>
    <xf numFmtId="3" fontId="22" fillId="2" borderId="92" xfId="0" applyNumberFormat="1" applyFont="1" applyFill="1" applyBorder="1" applyAlignment="1">
      <alignment horizontal="right" vertical="center"/>
    </xf>
    <xf numFmtId="3" fontId="22" fillId="2" borderId="106" xfId="0" applyNumberFormat="1" applyFont="1" applyFill="1" applyBorder="1" applyAlignment="1">
      <alignment horizontal="right" vertical="center"/>
    </xf>
    <xf numFmtId="3" fontId="22" fillId="2" borderId="137" xfId="0" applyNumberFormat="1" applyFont="1" applyFill="1" applyBorder="1" applyAlignment="1">
      <alignment horizontal="right" vertical="center"/>
    </xf>
    <xf numFmtId="3" fontId="22" fillId="2" borderId="116" xfId="0" applyNumberFormat="1" applyFont="1" applyFill="1" applyBorder="1" applyAlignment="1">
      <alignment horizontal="right" vertical="center"/>
    </xf>
    <xf numFmtId="0" fontId="6" fillId="0" borderId="129" xfId="0" applyFont="1" applyBorder="1" applyAlignment="1">
      <alignment horizontal="left" vertical="center" wrapText="1"/>
    </xf>
    <xf numFmtId="3" fontId="4" fillId="0" borderId="77" xfId="0" applyNumberFormat="1" applyFont="1" applyBorder="1" applyAlignment="1">
      <alignment horizontal="right" vertical="center"/>
    </xf>
    <xf numFmtId="3" fontId="22" fillId="2" borderId="113" xfId="0" applyNumberFormat="1" applyFont="1" applyFill="1" applyBorder="1" applyAlignment="1">
      <alignment horizontal="right" vertical="center"/>
    </xf>
    <xf numFmtId="0" fontId="21" fillId="0" borderId="105" xfId="0" applyFont="1" applyBorder="1" applyAlignment="1">
      <alignment horizontal="left" vertical="center" wrapText="1"/>
    </xf>
    <xf numFmtId="0" fontId="21" fillId="0" borderId="92" xfId="0" applyFont="1" applyBorder="1" applyAlignment="1">
      <alignment horizontal="left" vertical="center" wrapText="1"/>
    </xf>
    <xf numFmtId="0" fontId="21" fillId="0" borderId="106" xfId="0" applyFont="1" applyBorder="1" applyAlignment="1">
      <alignment horizontal="left" vertical="center" wrapText="1"/>
    </xf>
    <xf numFmtId="3" fontId="21" fillId="0" borderId="132" xfId="0" applyNumberFormat="1" applyFont="1" applyBorder="1" applyAlignment="1">
      <alignment horizontal="right" vertical="center"/>
    </xf>
    <xf numFmtId="3" fontId="21" fillId="0" borderId="134" xfId="0" applyNumberFormat="1" applyFont="1" applyBorder="1" applyAlignment="1">
      <alignment horizontal="right" vertical="center"/>
    </xf>
    <xf numFmtId="3" fontId="21" fillId="0" borderId="129" xfId="0" applyNumberFormat="1" applyFont="1" applyBorder="1" applyAlignment="1">
      <alignment horizontal="right" vertical="center"/>
    </xf>
    <xf numFmtId="0" fontId="22" fillId="0" borderId="105" xfId="0" applyFont="1" applyBorder="1" applyAlignment="1">
      <alignment horizontal="left" vertical="center"/>
    </xf>
    <xf numFmtId="0" fontId="22" fillId="0" borderId="92" xfId="0" applyFont="1" applyBorder="1" applyAlignment="1">
      <alignment horizontal="left" vertical="center"/>
    </xf>
    <xf numFmtId="0" fontId="22" fillId="0" borderId="106" xfId="0" applyFont="1" applyBorder="1" applyAlignment="1">
      <alignment horizontal="left" vertical="center"/>
    </xf>
    <xf numFmtId="3" fontId="6" fillId="0" borderId="126" xfId="0" applyNumberFormat="1" applyFont="1" applyBorder="1" applyAlignment="1">
      <alignment horizontal="right" vertical="center"/>
    </xf>
    <xf numFmtId="3" fontId="6" fillId="0" borderId="117" xfId="0" applyNumberFormat="1" applyFont="1" applyBorder="1" applyAlignment="1">
      <alignment horizontal="right" vertical="center"/>
    </xf>
    <xf numFmtId="3" fontId="6" fillId="0" borderId="114" xfId="0" applyNumberFormat="1" applyFont="1" applyBorder="1" applyAlignment="1">
      <alignment horizontal="right" vertical="center"/>
    </xf>
    <xf numFmtId="3" fontId="6" fillId="0" borderId="105" xfId="0" applyNumberFormat="1" applyFont="1" applyBorder="1" applyAlignment="1">
      <alignment horizontal="right" vertical="center"/>
    </xf>
    <xf numFmtId="3" fontId="6" fillId="0" borderId="92" xfId="0" applyNumberFormat="1" applyFont="1" applyBorder="1" applyAlignment="1">
      <alignment horizontal="right" vertical="center"/>
    </xf>
    <xf numFmtId="3" fontId="6" fillId="0" borderId="106" xfId="0" applyNumberFormat="1" applyFont="1" applyBorder="1" applyAlignment="1">
      <alignment horizontal="right" vertical="center"/>
    </xf>
    <xf numFmtId="0" fontId="21" fillId="0" borderId="105" xfId="0" applyFont="1" applyBorder="1" applyAlignment="1">
      <alignment horizontal="left" vertical="center"/>
    </xf>
    <xf numFmtId="0" fontId="21" fillId="0" borderId="92" xfId="0" applyFont="1" applyBorder="1" applyAlignment="1">
      <alignment horizontal="left" vertical="center"/>
    </xf>
    <xf numFmtId="0" fontId="21" fillId="0" borderId="106" xfId="0" applyFont="1" applyBorder="1" applyAlignment="1">
      <alignment horizontal="left" vertical="center"/>
    </xf>
    <xf numFmtId="0" fontId="21" fillId="0" borderId="125" xfId="0" applyFont="1" applyBorder="1" applyAlignment="1">
      <alignment horizontal="left" vertical="center"/>
    </xf>
    <xf numFmtId="0" fontId="21" fillId="0" borderId="138" xfId="0" applyFont="1" applyBorder="1" applyAlignment="1">
      <alignment horizontal="left" vertical="center"/>
    </xf>
    <xf numFmtId="0" fontId="21" fillId="0" borderId="111" xfId="0" applyFont="1" applyBorder="1" applyAlignment="1">
      <alignment horizontal="left" vertical="center"/>
    </xf>
    <xf numFmtId="3" fontId="5" fillId="0" borderId="91" xfId="0" quotePrefix="1" applyNumberFormat="1" applyFont="1" applyBorder="1" applyAlignment="1">
      <alignment horizontal="right"/>
    </xf>
    <xf numFmtId="3" fontId="0" fillId="0" borderId="92" xfId="0" applyNumberFormat="1" applyBorder="1" applyAlignment="1">
      <alignment horizontal="right"/>
    </xf>
    <xf numFmtId="3" fontId="0" fillId="0" borderId="93" xfId="0" applyNumberFormat="1" applyBorder="1" applyAlignment="1">
      <alignment horizontal="right"/>
    </xf>
    <xf numFmtId="3" fontId="22" fillId="0" borderId="91" xfId="0" applyNumberFormat="1" applyFont="1" applyBorder="1" applyAlignment="1"/>
    <xf numFmtId="3" fontId="0" fillId="0" borderId="92" xfId="0" applyNumberFormat="1" applyBorder="1" applyAlignment="1"/>
    <xf numFmtId="3" fontId="0" fillId="0" borderId="93" xfId="0" applyNumberFormat="1" applyBorder="1" applyAlignment="1"/>
    <xf numFmtId="3" fontId="21" fillId="0" borderId="91" xfId="0" applyNumberFormat="1" applyFont="1" applyBorder="1" applyAlignment="1"/>
    <xf numFmtId="3" fontId="20" fillId="0" borderId="92" xfId="0" applyNumberFormat="1" applyFont="1" applyBorder="1" applyAlignment="1"/>
    <xf numFmtId="3" fontId="20" fillId="0" borderId="93" xfId="0" applyNumberFormat="1" applyFont="1" applyBorder="1" applyAlignment="1"/>
    <xf numFmtId="0" fontId="6" fillId="0" borderId="92" xfId="0" applyFont="1" applyBorder="1" applyAlignment="1">
      <alignment horizontal="left" vertical="center" wrapText="1"/>
    </xf>
    <xf numFmtId="0" fontId="6" fillId="0" borderId="106" xfId="0" applyFont="1" applyBorder="1" applyAlignment="1">
      <alignment horizontal="left" vertical="center" wrapText="1"/>
    </xf>
    <xf numFmtId="3" fontId="22" fillId="0" borderId="91" xfId="0" applyNumberFormat="1" applyFont="1" applyBorder="1" applyAlignment="1">
      <alignment horizontal="right"/>
    </xf>
    <xf numFmtId="0" fontId="6" fillId="0" borderId="91" xfId="0" applyFont="1" applyBorder="1" applyAlignment="1"/>
    <xf numFmtId="0" fontId="0" fillId="0" borderId="92" xfId="0" applyBorder="1" applyAlignment="1"/>
    <xf numFmtId="0" fontId="0" fillId="0" borderId="93" xfId="0" applyBorder="1" applyAlignment="1"/>
    <xf numFmtId="0" fontId="2" fillId="0" borderId="105" xfId="0" applyFont="1" applyBorder="1" applyAlignment="1">
      <alignment horizontal="left" vertical="center" wrapText="1"/>
    </xf>
    <xf numFmtId="0" fontId="2" fillId="0" borderId="92" xfId="0" applyFont="1" applyBorder="1" applyAlignment="1">
      <alignment horizontal="left" vertical="center" wrapText="1"/>
    </xf>
    <xf numFmtId="0" fontId="2" fillId="0" borderId="106" xfId="0" applyFont="1" applyBorder="1" applyAlignment="1">
      <alignment horizontal="left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6" fillId="0" borderId="91" xfId="0" applyFont="1" applyBorder="1" applyAlignment="1">
      <alignment horizontal="left" vertical="top"/>
    </xf>
    <xf numFmtId="0" fontId="88" fillId="0" borderId="92" xfId="0" applyFont="1" applyBorder="1" applyAlignment="1">
      <alignment horizontal="left" vertical="top"/>
    </xf>
    <xf numFmtId="0" fontId="21" fillId="0" borderId="91" xfId="0" applyFont="1" applyBorder="1" applyAlignment="1"/>
    <xf numFmtId="0" fontId="20" fillId="0" borderId="92" xfId="0" applyFont="1" applyBorder="1" applyAlignment="1"/>
    <xf numFmtId="0" fontId="20" fillId="0" borderId="93" xfId="0" applyFont="1" applyBorder="1" applyAlignment="1"/>
    <xf numFmtId="0" fontId="6" fillId="0" borderId="91" xfId="0" applyFont="1" applyBorder="1" applyAlignment="1">
      <alignment horizontal="center"/>
    </xf>
    <xf numFmtId="0" fontId="0" fillId="0" borderId="92" xfId="0" applyBorder="1" applyAlignment="1">
      <alignment horizontal="center"/>
    </xf>
    <xf numFmtId="0" fontId="0" fillId="0" borderId="93" xfId="0" applyBorder="1" applyAlignment="1">
      <alignment horizontal="center"/>
    </xf>
    <xf numFmtId="0" fontId="22" fillId="0" borderId="91" xfId="0" applyFont="1" applyBorder="1" applyAlignment="1"/>
    <xf numFmtId="3" fontId="6" fillId="0" borderId="134" xfId="0" applyNumberFormat="1" applyFont="1" applyBorder="1" applyAlignment="1">
      <alignment horizontal="right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3" fontId="5" fillId="2" borderId="134" xfId="0" quotePrefix="1" applyNumberFormat="1" applyFont="1" applyFill="1" applyBorder="1" applyAlignment="1">
      <alignment horizontal="right" vertical="center"/>
    </xf>
    <xf numFmtId="3" fontId="22" fillId="0" borderId="37" xfId="0" applyNumberFormat="1" applyFont="1" applyFill="1" applyBorder="1" applyAlignment="1">
      <alignment horizontal="right" vertical="center"/>
    </xf>
    <xf numFmtId="3" fontId="22" fillId="0" borderId="0" xfId="0" applyNumberFormat="1" applyFont="1" applyFill="1" applyBorder="1" applyAlignment="1">
      <alignment horizontal="right" vertical="center"/>
    </xf>
    <xf numFmtId="0" fontId="21" fillId="0" borderId="134" xfId="0" applyFont="1" applyBorder="1" applyAlignment="1">
      <alignment horizontal="left" vertical="center" wrapText="1"/>
    </xf>
    <xf numFmtId="3" fontId="22" fillId="0" borderId="132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left" vertical="top"/>
    </xf>
    <xf numFmtId="0" fontId="21" fillId="0" borderId="132" xfId="0" applyFont="1" applyBorder="1" applyAlignment="1">
      <alignment horizontal="left" vertical="center" wrapText="1"/>
    </xf>
    <xf numFmtId="0" fontId="21" fillId="0" borderId="126" xfId="0" applyFont="1" applyBorder="1" applyAlignment="1">
      <alignment horizontal="left" vertical="center"/>
    </xf>
    <xf numFmtId="0" fontId="21" fillId="0" borderId="117" xfId="0" applyFont="1" applyBorder="1" applyAlignment="1">
      <alignment horizontal="left" vertical="center"/>
    </xf>
    <xf numFmtId="0" fontId="21" fillId="0" borderId="114" xfId="0" applyFont="1" applyBorder="1" applyAlignment="1">
      <alignment horizontal="left" vertical="center"/>
    </xf>
    <xf numFmtId="3" fontId="22" fillId="0" borderId="132" xfId="0" applyNumberFormat="1" applyFont="1" applyFill="1" applyBorder="1" applyAlignment="1">
      <alignment horizontal="right" vertical="center" wrapText="1"/>
    </xf>
    <xf numFmtId="0" fontId="6" fillId="2" borderId="101" xfId="0" applyFont="1" applyFill="1" applyBorder="1" applyAlignment="1">
      <alignment horizontal="center"/>
    </xf>
    <xf numFmtId="0" fontId="22" fillId="2" borderId="101" xfId="0" applyFont="1" applyFill="1" applyBorder="1" applyAlignment="1">
      <alignment horizontal="center"/>
    </xf>
    <xf numFmtId="0" fontId="22" fillId="2" borderId="109" xfId="0" applyFont="1" applyFill="1" applyBorder="1" applyAlignment="1">
      <alignment horizontal="center"/>
    </xf>
    <xf numFmtId="0" fontId="21" fillId="0" borderId="94" xfId="0" applyFont="1" applyBorder="1" applyAlignment="1">
      <alignment horizontal="center" vertical="center"/>
    </xf>
    <xf numFmtId="0" fontId="21" fillId="0" borderId="95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3" fontId="22" fillId="4" borderId="134" xfId="0" applyNumberFormat="1" applyFont="1" applyFill="1" applyBorder="1" applyAlignment="1">
      <alignment horizontal="right" vertical="center" wrapText="1"/>
    </xf>
    <xf numFmtId="3" fontId="22" fillId="2" borderId="129" xfId="0" applyNumberFormat="1" applyFont="1" applyFill="1" applyBorder="1" applyAlignment="1">
      <alignment horizontal="right" vertical="center" wrapText="1"/>
    </xf>
    <xf numFmtId="0" fontId="22" fillId="0" borderId="94" xfId="0" applyFont="1" applyBorder="1" applyAlignment="1">
      <alignment horizontal="left" vertical="center"/>
    </xf>
    <xf numFmtId="0" fontId="22" fillId="0" borderId="95" xfId="0" applyFont="1" applyBorder="1" applyAlignment="1">
      <alignment horizontal="left" vertical="center"/>
    </xf>
    <xf numFmtId="0" fontId="22" fillId="0" borderId="17" xfId="0" applyFont="1" applyBorder="1" applyAlignment="1">
      <alignment horizontal="left" vertical="center"/>
    </xf>
    <xf numFmtId="0" fontId="22" fillId="0" borderId="94" xfId="0" applyFont="1" applyFill="1" applyBorder="1" applyAlignment="1">
      <alignment horizontal="left" vertical="center"/>
    </xf>
    <xf numFmtId="0" fontId="22" fillId="0" borderId="95" xfId="0" applyFont="1" applyFill="1" applyBorder="1" applyAlignment="1">
      <alignment horizontal="left" vertical="center"/>
    </xf>
    <xf numFmtId="0" fontId="22" fillId="0" borderId="17" xfId="0" applyFont="1" applyFill="1" applyBorder="1" applyAlignment="1">
      <alignment horizontal="left" vertical="center"/>
    </xf>
    <xf numFmtId="3" fontId="6" fillId="0" borderId="126" xfId="0" applyNumberFormat="1" applyFont="1" applyFill="1" applyBorder="1" applyAlignment="1">
      <alignment horizontal="right" vertical="center" wrapText="1"/>
    </xf>
    <xf numFmtId="3" fontId="22" fillId="0" borderId="117" xfId="0" applyNumberFormat="1" applyFont="1" applyFill="1" applyBorder="1" applyAlignment="1">
      <alignment horizontal="right" vertical="center" wrapText="1"/>
    </xf>
    <xf numFmtId="3" fontId="22" fillId="0" borderId="114" xfId="0" applyNumberFormat="1" applyFont="1" applyFill="1" applyBorder="1" applyAlignment="1">
      <alignment horizontal="right" vertical="center" wrapText="1"/>
    </xf>
    <xf numFmtId="3" fontId="22" fillId="2" borderId="130" xfId="0" applyNumberFormat="1" applyFont="1" applyFill="1" applyBorder="1" applyAlignment="1">
      <alignment horizontal="right" vertical="center" wrapText="1"/>
    </xf>
    <xf numFmtId="0" fontId="21" fillId="0" borderId="130" xfId="0" applyFont="1" applyBorder="1" applyAlignment="1">
      <alignment horizontal="left" vertical="center" wrapText="1"/>
    </xf>
    <xf numFmtId="3" fontId="4" fillId="2" borderId="134" xfId="0" quotePrefix="1" applyNumberFormat="1" applyFont="1" applyFill="1" applyBorder="1" applyAlignment="1">
      <alignment horizontal="right" vertical="center"/>
    </xf>
    <xf numFmtId="0" fontId="0" fillId="0" borderId="43" xfId="0" applyBorder="1" applyAlignment="1">
      <alignment horizontal="right" vertical="center"/>
    </xf>
    <xf numFmtId="0" fontId="6" fillId="0" borderId="142" xfId="0" applyFont="1" applyBorder="1" applyAlignment="1">
      <alignment horizontal="left" vertical="center"/>
    </xf>
    <xf numFmtId="0" fontId="0" fillId="0" borderId="123" xfId="0" applyBorder="1" applyAlignment="1">
      <alignment horizontal="left" vertical="center"/>
    </xf>
    <xf numFmtId="0" fontId="0" fillId="0" borderId="141" xfId="0" applyBorder="1" applyAlignment="1">
      <alignment horizontal="left" vertical="center"/>
    </xf>
    <xf numFmtId="0" fontId="21" fillId="0" borderId="0" xfId="0" applyFont="1" applyBorder="1" applyAlignment="1">
      <alignment horizontal="center"/>
    </xf>
    <xf numFmtId="0" fontId="6" fillId="0" borderId="91" xfId="0" applyFont="1" applyBorder="1" applyAlignment="1">
      <alignment horizontal="center" wrapText="1"/>
    </xf>
    <xf numFmtId="0" fontId="0" fillId="0" borderId="92" xfId="0" applyBorder="1" applyAlignment="1">
      <alignment horizontal="center" wrapText="1"/>
    </xf>
    <xf numFmtId="0" fontId="0" fillId="0" borderId="93" xfId="0" applyBorder="1" applyAlignment="1">
      <alignment horizontal="center" wrapText="1"/>
    </xf>
    <xf numFmtId="0" fontId="21" fillId="0" borderId="133" xfId="0" applyFont="1" applyBorder="1" applyAlignment="1">
      <alignment horizontal="left"/>
    </xf>
    <xf numFmtId="0" fontId="6" fillId="0" borderId="67" xfId="0" applyFont="1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0" fontId="0" fillId="0" borderId="91" xfId="0" applyBorder="1" applyAlignment="1">
      <alignment horizontal="left" vertical="center" wrapText="1"/>
    </xf>
    <xf numFmtId="0" fontId="88" fillId="0" borderId="93" xfId="0" applyFont="1" applyBorder="1" applyAlignment="1">
      <alignment horizontal="left" vertical="top"/>
    </xf>
    <xf numFmtId="3" fontId="22" fillId="0" borderId="91" xfId="0" applyNumberFormat="1" applyFont="1" applyBorder="1" applyAlignment="1">
      <alignment horizontal="center"/>
    </xf>
    <xf numFmtId="0" fontId="6" fillId="0" borderId="132" xfId="0" applyFont="1" applyBorder="1" applyAlignment="1">
      <alignment horizontal="center"/>
    </xf>
    <xf numFmtId="0" fontId="22" fillId="0" borderId="132" xfId="0" applyFont="1" applyBorder="1" applyAlignment="1">
      <alignment horizontal="center"/>
    </xf>
    <xf numFmtId="3" fontId="31" fillId="0" borderId="0" xfId="2" applyNumberFormat="1" applyFont="1" applyAlignment="1">
      <alignment horizontal="left" vertical="center" wrapText="1"/>
    </xf>
    <xf numFmtId="3" fontId="31" fillId="0" borderId="0" xfId="2" applyNumberFormat="1" applyFont="1" applyAlignment="1">
      <alignment vertical="center" wrapText="1"/>
    </xf>
    <xf numFmtId="0" fontId="40" fillId="5" borderId="64" xfId="7" applyFont="1" applyFill="1" applyBorder="1" applyAlignment="1">
      <alignment horizontal="center" vertical="center"/>
    </xf>
    <xf numFmtId="0" fontId="40" fillId="5" borderId="65" xfId="7" applyFont="1" applyFill="1" applyBorder="1" applyAlignment="1">
      <alignment horizontal="center" vertical="center"/>
    </xf>
    <xf numFmtId="0" fontId="40" fillId="5" borderId="43" xfId="7" applyFont="1" applyFill="1" applyBorder="1" applyAlignment="1">
      <alignment horizontal="center" vertical="center"/>
    </xf>
    <xf numFmtId="0" fontId="40" fillId="5" borderId="68" xfId="7" applyFont="1" applyFill="1" applyBorder="1" applyAlignment="1">
      <alignment horizontal="center" vertical="center"/>
    </xf>
    <xf numFmtId="3" fontId="53" fillId="0" borderId="0" xfId="7" applyNumberFormat="1" applyFont="1" applyFill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79" xfId="0" applyFont="1" applyBorder="1" applyAlignment="1">
      <alignment horizontal="center"/>
    </xf>
    <xf numFmtId="0" fontId="21" fillId="0" borderId="81" xfId="0" applyFont="1" applyBorder="1" applyAlignment="1">
      <alignment horizontal="center"/>
    </xf>
    <xf numFmtId="0" fontId="21" fillId="0" borderId="9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0" fillId="0" borderId="79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81" xfId="0" applyFont="1" applyBorder="1" applyAlignment="1">
      <alignment horizontal="center"/>
    </xf>
    <xf numFmtId="0" fontId="21" fillId="0" borderId="22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0" fillId="0" borderId="86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20" fillId="0" borderId="85" xfId="0" applyFont="1" applyBorder="1" applyAlignment="1">
      <alignment horizontal="center"/>
    </xf>
    <xf numFmtId="0" fontId="21" fillId="0" borderId="2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35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54" fillId="0" borderId="86" xfId="0" applyNumberFormat="1" applyFont="1" applyBorder="1" applyAlignment="1">
      <alignment horizontal="center"/>
    </xf>
    <xf numFmtId="0" fontId="55" fillId="0" borderId="85" xfId="0" applyNumberFormat="1" applyFont="1" applyBorder="1" applyAlignment="1">
      <alignment horizontal="center"/>
    </xf>
    <xf numFmtId="0" fontId="20" fillId="0" borderId="88" xfId="0" applyFont="1" applyBorder="1" applyAlignment="1">
      <alignment horizontal="center"/>
    </xf>
    <xf numFmtId="0" fontId="20" fillId="0" borderId="89" xfId="0" applyFont="1" applyBorder="1" applyAlignment="1">
      <alignment horizontal="center"/>
    </xf>
    <xf numFmtId="0" fontId="22" fillId="0" borderId="1" xfId="0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0" fontId="22" fillId="0" borderId="28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21" fillId="0" borderId="19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 wrapText="1"/>
    </xf>
    <xf numFmtId="0" fontId="94" fillId="0" borderId="91" xfId="15" applyBorder="1" applyAlignment="1" applyProtection="1"/>
    <xf numFmtId="0" fontId="32" fillId="0" borderId="93" xfId="8" applyFont="1" applyBorder="1"/>
    <xf numFmtId="0" fontId="91" fillId="0" borderId="0" xfId="9" applyFont="1" applyFill="1" applyBorder="1" applyAlignment="1" applyProtection="1">
      <alignment horizontal="left" vertical="center" wrapText="1" indent="1"/>
      <protection hidden="1"/>
    </xf>
    <xf numFmtId="0" fontId="27" fillId="6" borderId="94" xfId="8" applyFont="1" applyFill="1" applyBorder="1" applyAlignment="1">
      <alignment horizontal="center" vertical="center" wrapText="1"/>
    </xf>
    <xf numFmtId="0" fontId="27" fillId="6" borderId="95" xfId="8" applyFont="1" applyFill="1" applyBorder="1" applyAlignment="1">
      <alignment horizontal="center" vertical="center" wrapText="1"/>
    </xf>
    <xf numFmtId="0" fontId="32" fillId="0" borderId="110" xfId="8" applyFont="1" applyBorder="1" applyAlignment="1">
      <alignment horizontal="center" vertical="top"/>
    </xf>
    <xf numFmtId="0" fontId="32" fillId="0" borderId="101" xfId="8" applyFont="1" applyBorder="1" applyAlignment="1">
      <alignment horizontal="center" vertical="top"/>
    </xf>
    <xf numFmtId="0" fontId="32" fillId="0" borderId="109" xfId="8" applyFont="1" applyBorder="1" applyAlignment="1">
      <alignment horizontal="center" vertical="top"/>
    </xf>
    <xf numFmtId="0" fontId="64" fillId="0" borderId="97" xfId="8" applyFont="1" applyFill="1" applyBorder="1" applyAlignment="1">
      <alignment horizontal="left" vertical="top" wrapText="1"/>
    </xf>
    <xf numFmtId="0" fontId="64" fillId="0" borderId="107" xfId="8" applyFont="1" applyFill="1" applyBorder="1" applyAlignment="1">
      <alignment horizontal="left" vertical="top" wrapText="1"/>
    </xf>
    <xf numFmtId="0" fontId="64" fillId="0" borderId="0" xfId="8" applyFont="1" applyFill="1" applyBorder="1" applyAlignment="1">
      <alignment horizontal="left" vertical="top" wrapText="1"/>
    </xf>
    <xf numFmtId="0" fontId="64" fillId="0" borderId="81" xfId="8" applyFont="1" applyFill="1" applyBorder="1" applyAlignment="1">
      <alignment horizontal="left" vertical="top" wrapText="1"/>
    </xf>
    <xf numFmtId="0" fontId="64" fillId="0" borderId="108" xfId="8" applyFont="1" applyFill="1" applyBorder="1" applyAlignment="1">
      <alignment horizontal="center" vertical="top" wrapText="1"/>
    </xf>
    <xf numFmtId="0" fontId="64" fillId="0" borderId="97" xfId="8" applyFont="1" applyFill="1" applyBorder="1" applyAlignment="1">
      <alignment horizontal="center" vertical="top" wrapText="1"/>
    </xf>
    <xf numFmtId="0" fontId="64" fillId="0" borderId="98" xfId="8" applyFont="1" applyFill="1" applyBorder="1" applyAlignment="1">
      <alignment horizontal="center" vertical="top" wrapText="1"/>
    </xf>
    <xf numFmtId="0" fontId="64" fillId="0" borderId="79" xfId="8" applyFont="1" applyFill="1" applyBorder="1" applyAlignment="1">
      <alignment horizontal="center" vertical="top" wrapText="1"/>
    </xf>
    <xf numFmtId="0" fontId="64" fillId="0" borderId="0" xfId="8" applyFont="1" applyFill="1" applyBorder="1" applyAlignment="1">
      <alignment horizontal="center" vertical="top" wrapText="1"/>
    </xf>
    <xf numFmtId="0" fontId="64" fillId="0" borderId="29" xfId="8" applyFont="1" applyFill="1" applyBorder="1" applyAlignment="1">
      <alignment horizontal="center" vertical="top" wrapText="1"/>
    </xf>
    <xf numFmtId="0" fontId="64" fillId="0" borderId="107" xfId="8" applyFont="1" applyFill="1" applyBorder="1" applyAlignment="1">
      <alignment horizontal="center" vertical="top" wrapText="1"/>
    </xf>
    <xf numFmtId="0" fontId="64" fillId="0" borderId="81" xfId="8" applyFont="1" applyFill="1" applyBorder="1" applyAlignment="1">
      <alignment horizontal="center" vertical="top" wrapText="1"/>
    </xf>
    <xf numFmtId="0" fontId="32" fillId="0" borderId="110" xfId="8" applyFont="1" applyFill="1" applyBorder="1" applyAlignment="1">
      <alignment horizontal="center" vertical="top"/>
    </xf>
    <xf numFmtId="0" fontId="32" fillId="0" borderId="13" xfId="8" applyFont="1" applyBorder="1" applyAlignment="1">
      <alignment horizontal="center" vertical="top"/>
    </xf>
    <xf numFmtId="171" fontId="76" fillId="0" borderId="91" xfId="8" applyNumberFormat="1" applyFont="1" applyFill="1" applyBorder="1" applyAlignment="1">
      <alignment horizontal="right" vertical="center"/>
    </xf>
    <xf numFmtId="171" fontId="76" fillId="0" borderId="92" xfId="8" applyNumberFormat="1" applyFont="1" applyFill="1" applyBorder="1" applyAlignment="1">
      <alignment horizontal="right" vertical="center"/>
    </xf>
    <xf numFmtId="171" fontId="76" fillId="0" borderId="106" xfId="8" applyNumberFormat="1" applyFont="1" applyFill="1" applyBorder="1" applyAlignment="1">
      <alignment horizontal="right" vertical="center"/>
    </xf>
    <xf numFmtId="171" fontId="76" fillId="0" borderId="93" xfId="8" applyNumberFormat="1" applyFont="1" applyFill="1" applyBorder="1" applyAlignment="1">
      <alignment horizontal="right" vertical="center"/>
    </xf>
    <xf numFmtId="171" fontId="76" fillId="0" borderId="43" xfId="8" applyNumberFormat="1" applyFont="1" applyFill="1" applyBorder="1" applyAlignment="1">
      <alignment horizontal="right" vertical="center"/>
    </xf>
    <xf numFmtId="0" fontId="78" fillId="0" borderId="91" xfId="8" applyFont="1" applyFill="1" applyBorder="1" applyAlignment="1">
      <alignment horizontal="center" vertical="center" wrapText="1"/>
    </xf>
    <xf numFmtId="0" fontId="78" fillId="0" borderId="106" xfId="8" applyFont="1" applyFill="1" applyBorder="1" applyAlignment="1">
      <alignment horizontal="center" vertical="center" wrapText="1"/>
    </xf>
    <xf numFmtId="0" fontId="78" fillId="0" borderId="88" xfId="8" applyFont="1" applyFill="1" applyBorder="1" applyAlignment="1">
      <alignment horizontal="center" vertical="center" wrapText="1"/>
    </xf>
    <xf numFmtId="0" fontId="78" fillId="0" borderId="103" xfId="8" applyFont="1" applyFill="1" applyBorder="1" applyAlignment="1">
      <alignment horizontal="center" vertical="center" wrapText="1"/>
    </xf>
    <xf numFmtId="0" fontId="78" fillId="0" borderId="89" xfId="8" applyFont="1" applyFill="1" applyBorder="1" applyAlignment="1">
      <alignment horizontal="center" vertical="center" wrapText="1"/>
    </xf>
    <xf numFmtId="0" fontId="78" fillId="0" borderId="91" xfId="8" applyFont="1" applyFill="1" applyBorder="1" applyAlignment="1">
      <alignment horizontal="center" wrapText="1"/>
    </xf>
    <xf numFmtId="0" fontId="78" fillId="0" borderId="93" xfId="8" applyFont="1" applyFill="1" applyBorder="1" applyAlignment="1">
      <alignment horizontal="center" wrapText="1"/>
    </xf>
    <xf numFmtId="0" fontId="78" fillId="0" borderId="88" xfId="8" applyFont="1" applyFill="1" applyBorder="1" applyAlignment="1">
      <alignment horizontal="center" wrapText="1"/>
    </xf>
    <xf numFmtId="0" fontId="78" fillId="0" borderId="89" xfId="8" applyFont="1" applyFill="1" applyBorder="1" applyAlignment="1">
      <alignment horizontal="center" wrapText="1"/>
    </xf>
    <xf numFmtId="0" fontId="78" fillId="0" borderId="79" xfId="8" applyFont="1" applyFill="1" applyBorder="1" applyAlignment="1">
      <alignment horizontal="center" vertical="center" wrapText="1"/>
    </xf>
    <xf numFmtId="0" fontId="78" fillId="0" borderId="29" xfId="8" applyFont="1" applyFill="1" applyBorder="1" applyAlignment="1">
      <alignment horizontal="center" vertical="center" wrapText="1"/>
    </xf>
    <xf numFmtId="0" fontId="78" fillId="0" borderId="104" xfId="8" applyFont="1" applyFill="1" applyBorder="1" applyAlignment="1">
      <alignment horizontal="center" vertical="center" wrapText="1"/>
    </xf>
    <xf numFmtId="0" fontId="78" fillId="0" borderId="108" xfId="8" applyFont="1" applyFill="1" applyBorder="1" applyAlignment="1">
      <alignment horizontal="center" vertical="center" wrapText="1"/>
    </xf>
    <xf numFmtId="0" fontId="78" fillId="0" borderId="98" xfId="8" applyFont="1" applyFill="1" applyBorder="1" applyAlignment="1">
      <alignment horizontal="center" vertical="center" wrapText="1"/>
    </xf>
    <xf numFmtId="0" fontId="78" fillId="0" borderId="115" xfId="8" applyFont="1" applyFill="1" applyBorder="1" applyAlignment="1">
      <alignment horizontal="center" vertical="center" wrapText="1"/>
    </xf>
    <xf numFmtId="0" fontId="78" fillId="0" borderId="117" xfId="8" applyFont="1" applyFill="1" applyBorder="1" applyAlignment="1">
      <alignment horizontal="center" vertical="center" wrapText="1"/>
    </xf>
    <xf numFmtId="0" fontId="78" fillId="0" borderId="116" xfId="8" applyFont="1" applyFill="1" applyBorder="1" applyAlignment="1">
      <alignment horizontal="center" vertical="center" wrapText="1"/>
    </xf>
    <xf numFmtId="0" fontId="78" fillId="0" borderId="43" xfId="8" applyFont="1" applyFill="1" applyBorder="1" applyAlignment="1">
      <alignment horizontal="center" vertical="center" wrapText="1"/>
    </xf>
    <xf numFmtId="1" fontId="78" fillId="0" borderId="43" xfId="8" applyNumberFormat="1" applyFont="1" applyFill="1" applyBorder="1" applyAlignment="1">
      <alignment horizontal="center" vertical="center"/>
    </xf>
    <xf numFmtId="0" fontId="77" fillId="0" borderId="43" xfId="8" applyFont="1" applyFill="1" applyBorder="1" applyAlignment="1">
      <alignment horizontal="left" vertical="top" wrapText="1"/>
    </xf>
    <xf numFmtId="0" fontId="29" fillId="0" borderId="43" xfId="8" applyFont="1" applyFill="1" applyBorder="1" applyAlignment="1">
      <alignment horizontal="left" vertical="top" wrapText="1"/>
    </xf>
    <xf numFmtId="0" fontId="78" fillId="0" borderId="43" xfId="8" applyFont="1" applyFill="1" applyBorder="1" applyAlignment="1">
      <alignment horizontal="left" vertical="top" wrapText="1"/>
    </xf>
    <xf numFmtId="0" fontId="29" fillId="0" borderId="43" xfId="8" applyFill="1" applyBorder="1" applyAlignment="1">
      <alignment horizontal="left" vertical="top" wrapText="1"/>
    </xf>
    <xf numFmtId="0" fontId="29" fillId="0" borderId="117" xfId="8" applyFill="1" applyBorder="1" applyAlignment="1">
      <alignment horizontal="center" vertical="center" wrapText="1"/>
    </xf>
    <xf numFmtId="0" fontId="29" fillId="0" borderId="116" xfId="8" applyFill="1" applyBorder="1" applyAlignment="1">
      <alignment horizontal="center" vertical="center" wrapText="1"/>
    </xf>
    <xf numFmtId="0" fontId="78" fillId="0" borderId="79" xfId="8" applyFont="1" applyFill="1" applyBorder="1" applyAlignment="1">
      <alignment horizontal="center" wrapText="1"/>
    </xf>
    <xf numFmtId="0" fontId="78" fillId="0" borderId="81" xfId="8" applyFont="1" applyFill="1" applyBorder="1" applyAlignment="1">
      <alignment horizontal="center" wrapText="1"/>
    </xf>
    <xf numFmtId="0" fontId="77" fillId="0" borderId="77" xfId="8" applyFont="1" applyFill="1" applyBorder="1" applyAlignment="1">
      <alignment horizontal="left" vertical="top" wrapText="1"/>
    </xf>
    <xf numFmtId="0" fontId="29" fillId="0" borderId="77" xfId="8" applyFont="1" applyFill="1" applyBorder="1" applyAlignment="1">
      <alignment horizontal="left" vertical="top" wrapText="1"/>
    </xf>
    <xf numFmtId="49" fontId="77" fillId="0" borderId="43" xfId="8" applyNumberFormat="1" applyFont="1" applyFill="1" applyBorder="1" applyAlignment="1">
      <alignment horizontal="center" vertical="top"/>
    </xf>
    <xf numFmtId="0" fontId="78" fillId="0" borderId="77" xfId="8" applyFont="1" applyFill="1" applyBorder="1" applyAlignment="1">
      <alignment horizontal="left" vertical="top" wrapText="1"/>
    </xf>
    <xf numFmtId="0" fontId="29" fillId="0" borderId="77" xfId="8" applyFill="1" applyBorder="1" applyAlignment="1">
      <alignment horizontal="left" vertical="top" wrapText="1"/>
    </xf>
    <xf numFmtId="0" fontId="78" fillId="0" borderId="119" xfId="8" applyFont="1" applyFill="1" applyBorder="1" applyAlignment="1">
      <alignment horizontal="center" vertical="center" wrapText="1"/>
    </xf>
    <xf numFmtId="1" fontId="78" fillId="0" borderId="120" xfId="8" applyNumberFormat="1" applyFont="1" applyFill="1" applyBorder="1" applyAlignment="1">
      <alignment horizontal="center" vertical="center"/>
    </xf>
    <xf numFmtId="0" fontId="77" fillId="0" borderId="67" xfId="8" applyFont="1" applyFill="1" applyBorder="1" applyAlignment="1">
      <alignment horizontal="right" vertical="top" wrapText="1"/>
    </xf>
    <xf numFmtId="0" fontId="77" fillId="0" borderId="67" xfId="8" quotePrefix="1" applyFont="1" applyFill="1" applyBorder="1" applyAlignment="1">
      <alignment horizontal="left" vertical="top" wrapText="1"/>
    </xf>
    <xf numFmtId="0" fontId="77" fillId="0" borderId="67" xfId="8" applyFont="1" applyFill="1" applyBorder="1"/>
    <xf numFmtId="49" fontId="77" fillId="0" borderId="120" xfId="8" applyNumberFormat="1" applyFont="1" applyFill="1" applyBorder="1" applyAlignment="1">
      <alignment horizontal="center" vertical="top"/>
    </xf>
    <xf numFmtId="49" fontId="77" fillId="0" borderId="73" xfId="8" applyNumberFormat="1" applyFont="1" applyFill="1" applyBorder="1" applyAlignment="1">
      <alignment horizontal="center" vertical="top"/>
    </xf>
    <xf numFmtId="0" fontId="78" fillId="0" borderId="67" xfId="8" applyFont="1" applyFill="1" applyBorder="1" applyAlignment="1">
      <alignment horizontal="left" vertical="top" wrapText="1"/>
    </xf>
    <xf numFmtId="0" fontId="78" fillId="0" borderId="43" xfId="8" quotePrefix="1" applyFont="1" applyFill="1" applyBorder="1" applyAlignment="1">
      <alignment horizontal="left" vertical="top" wrapText="1"/>
    </xf>
    <xf numFmtId="49" fontId="78" fillId="0" borderId="43" xfId="8" applyNumberFormat="1" applyFont="1" applyFill="1" applyBorder="1" applyAlignment="1">
      <alignment horizontal="center" vertical="top"/>
    </xf>
    <xf numFmtId="0" fontId="79" fillId="0" borderId="63" xfId="8" applyFont="1" applyFill="1" applyBorder="1" applyAlignment="1">
      <alignment horizontal="center" vertical="center" wrapText="1"/>
    </xf>
    <xf numFmtId="0" fontId="79" fillId="0" borderId="67" xfId="8" applyFont="1" applyFill="1" applyBorder="1" applyAlignment="1">
      <alignment horizontal="center" vertical="center" wrapText="1"/>
    </xf>
    <xf numFmtId="0" fontId="78" fillId="0" borderId="64" xfId="8" applyFont="1" applyFill="1" applyBorder="1" applyAlignment="1">
      <alignment horizontal="center" vertical="center" wrapText="1"/>
    </xf>
    <xf numFmtId="0" fontId="78" fillId="0" borderId="67" xfId="8" applyFont="1" applyFill="1" applyBorder="1" applyAlignment="1">
      <alignment horizontal="left" vertical="center"/>
    </xf>
    <xf numFmtId="0" fontId="79" fillId="0" borderId="64" xfId="8" applyFont="1" applyFill="1" applyBorder="1" applyAlignment="1">
      <alignment horizontal="center" vertical="center" wrapText="1"/>
    </xf>
    <xf numFmtId="0" fontId="79" fillId="0" borderId="43" xfId="8" applyFont="1" applyFill="1" applyBorder="1" applyAlignment="1">
      <alignment horizontal="center" vertical="center" wrapText="1"/>
    </xf>
    <xf numFmtId="0" fontId="78" fillId="0" borderId="67" xfId="8" quotePrefix="1" applyFont="1" applyFill="1" applyBorder="1" applyAlignment="1">
      <alignment horizontal="left" vertical="top" wrapText="1"/>
    </xf>
    <xf numFmtId="49" fontId="78" fillId="0" borderId="120" xfId="8" applyNumberFormat="1" applyFont="1" applyFill="1" applyBorder="1" applyAlignment="1">
      <alignment horizontal="center" vertical="top"/>
    </xf>
    <xf numFmtId="49" fontId="78" fillId="0" borderId="73" xfId="8" applyNumberFormat="1" applyFont="1" applyFill="1" applyBorder="1" applyAlignment="1">
      <alignment horizontal="center" vertical="top"/>
    </xf>
    <xf numFmtId="0" fontId="77" fillId="0" borderId="67" xfId="8" applyFont="1" applyFill="1" applyBorder="1" applyAlignment="1">
      <alignment horizontal="left" vertical="top" wrapText="1"/>
    </xf>
    <xf numFmtId="0" fontId="77" fillId="0" borderId="67" xfId="8" quotePrefix="1" applyFont="1" applyFill="1" applyBorder="1" applyAlignment="1">
      <alignment horizontal="center" vertical="top" wrapText="1"/>
    </xf>
    <xf numFmtId="0" fontId="78" fillId="0" borderId="73" xfId="8" applyFont="1" applyFill="1" applyBorder="1" applyAlignment="1">
      <alignment horizontal="center" vertical="center" wrapText="1"/>
    </xf>
    <xf numFmtId="0" fontId="79" fillId="0" borderId="72" xfId="8" applyFont="1" applyFill="1" applyBorder="1" applyAlignment="1">
      <alignment horizontal="center" vertical="center" wrapText="1"/>
    </xf>
    <xf numFmtId="0" fontId="79" fillId="0" borderId="121" xfId="8" applyFont="1" applyFill="1" applyBorder="1" applyAlignment="1">
      <alignment horizontal="center" vertical="center" wrapText="1"/>
    </xf>
    <xf numFmtId="0" fontId="78" fillId="0" borderId="120" xfId="8" applyFont="1" applyFill="1" applyBorder="1" applyAlignment="1">
      <alignment horizontal="center" vertical="center" wrapText="1"/>
    </xf>
    <xf numFmtId="0" fontId="77" fillId="0" borderId="67" xfId="8" applyFont="1" applyFill="1" applyBorder="1" applyAlignment="1">
      <alignment horizontal="center" vertical="top" wrapText="1"/>
    </xf>
    <xf numFmtId="0" fontId="78" fillId="0" borderId="67" xfId="8" quotePrefix="1" applyFont="1" applyFill="1" applyBorder="1" applyAlignment="1">
      <alignment horizontal="right" vertical="top" wrapText="1"/>
    </xf>
    <xf numFmtId="0" fontId="78" fillId="0" borderId="67" xfId="8" applyFont="1" applyFill="1" applyBorder="1" applyAlignment="1">
      <alignment horizontal="right" vertical="top" wrapText="1"/>
    </xf>
    <xf numFmtId="0" fontId="79" fillId="0" borderId="73" xfId="8" applyFont="1" applyFill="1" applyBorder="1" applyAlignment="1">
      <alignment horizontal="center" vertical="center" wrapText="1"/>
    </xf>
    <xf numFmtId="0" fontId="78" fillId="0" borderId="73" xfId="8" quotePrefix="1" applyFont="1" applyFill="1" applyBorder="1" applyAlignment="1">
      <alignment horizontal="left" vertical="top" wrapText="1"/>
    </xf>
    <xf numFmtId="0" fontId="78" fillId="0" borderId="72" xfId="8" quotePrefix="1" applyFont="1" applyFill="1" applyBorder="1" applyAlignment="1">
      <alignment horizontal="right" vertical="top" wrapText="1"/>
    </xf>
    <xf numFmtId="0" fontId="77" fillId="0" borderId="72" xfId="8" applyFont="1" applyFill="1" applyBorder="1" applyAlignment="1">
      <alignment horizontal="right" vertical="top" wrapText="1"/>
    </xf>
    <xf numFmtId="0" fontId="77" fillId="0" borderId="73" xfId="8" applyFont="1" applyFill="1" applyBorder="1" applyAlignment="1">
      <alignment horizontal="left" vertical="top" wrapText="1"/>
    </xf>
    <xf numFmtId="0" fontId="78" fillId="0" borderId="114" xfId="8" applyFont="1" applyFill="1" applyBorder="1" applyAlignment="1">
      <alignment horizontal="center" vertical="center" wrapText="1"/>
    </xf>
    <xf numFmtId="0" fontId="62" fillId="0" borderId="0" xfId="8" applyFont="1" applyFill="1" applyAlignment="1">
      <alignment horizontal="center" vertical="center" wrapText="1"/>
    </xf>
    <xf numFmtId="0" fontId="62" fillId="0" borderId="101" xfId="8" applyFont="1" applyFill="1" applyBorder="1" applyAlignment="1">
      <alignment horizontal="center" vertical="center" wrapText="1"/>
    </xf>
    <xf numFmtId="0" fontId="78" fillId="0" borderId="65" xfId="8" applyFont="1" applyFill="1" applyBorder="1" applyAlignment="1">
      <alignment horizontal="center" vertical="center" wrapText="1"/>
    </xf>
  </cellXfs>
  <cellStyles count="16">
    <cellStyle name="Comma 2" xfId="13"/>
    <cellStyle name="Hyperlink 2" xfId="11"/>
    <cellStyle name="Hypertextový odkaz" xfId="15" builtinId="8"/>
    <cellStyle name="Normal 2" xfId="2"/>
    <cellStyle name="Normal 3" xfId="8"/>
    <cellStyle name="Normal 4" xfId="4"/>
    <cellStyle name="Normal 5" xfId="12"/>
    <cellStyle name="Normal_Coffee Exporter FR1" xfId="9"/>
    <cellStyle name="Normal_FS Conoco Slovakia final 2001-rounding" xfId="5"/>
    <cellStyle name="Normal_Notes to FS1234" xfId="6"/>
    <cellStyle name="Normal_Slovak statutory FS2004(Slovak)" xfId="7"/>
    <cellStyle name="Normal_TSS report template v4" xfId="10"/>
    <cellStyle name="normálne_Tax bridge and Specification of deferred taxcomm_poslane_svedsko" xfId="14"/>
    <cellStyle name="Normální" xfId="0" builtinId="0"/>
    <cellStyle name="Percent 2" xfId="3"/>
    <cellStyle name="Procenta" xfId="1" builtinId="5"/>
  </cellStyles>
  <dxfs count="278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1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by21\data$\DOCUME~1\mrnkp\LOCALS~1\Temp\notes42C9D0\smigi\testi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by21\data$\Documents%20and%20Settings\vladimir.jacko\My%20Documents\Useful\FY%2012%20Lead%20Sheet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 - Prelim"/>
      <sheetName val="Import - Final"/>
      <sheetName val="Account determination"/>
      <sheetName val="OAR"/>
      <sheetName val="Ratios"/>
      <sheetName val="BS"/>
      <sheetName val="P&amp;L"/>
      <sheetName val="C"/>
      <sheetName val="F"/>
      <sheetName val="E (ST)"/>
      <sheetName val="E (LT)"/>
      <sheetName val="H"/>
      <sheetName val="G"/>
      <sheetName val="K"/>
      <sheetName val="L"/>
      <sheetName val="N (ST)"/>
      <sheetName val="N (LT)"/>
      <sheetName val="O"/>
      <sheetName val="P"/>
      <sheetName val="P (Deferrals)"/>
      <sheetName val="Q"/>
      <sheetName val="T"/>
      <sheetName val="VA;UA"/>
      <sheetName val="VB"/>
      <sheetName val="VC;UB"/>
      <sheetName val="VE;UC"/>
      <sheetName val="Cash Flow"/>
      <sheetName val="CF - Worksheet"/>
      <sheetName val="Suvaha"/>
      <sheetName val="Vysledovka"/>
    </sheetNames>
    <sheetDataSet>
      <sheetData sheetId="0" refreshError="1"/>
      <sheetData sheetId="1" refreshError="1"/>
      <sheetData sheetId="2" refreshError="1">
        <row r="3">
          <cell r="C3">
            <v>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>
        <row r="9">
          <cell r="G9">
            <v>0</v>
          </cell>
        </row>
        <row r="18">
          <cell r="L18">
            <v>0</v>
          </cell>
        </row>
        <row r="20">
          <cell r="L20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7">
          <cell r="G7">
            <v>0</v>
          </cell>
        </row>
        <row r="15">
          <cell r="G15">
            <v>0</v>
          </cell>
          <cell r="J15">
            <v>0</v>
          </cell>
          <cell r="L15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K687"/>
  <sheetViews>
    <sheetView showGridLines="0" tabSelected="1" view="pageLayout" topLeftCell="B169" zoomScale="110" zoomScaleNormal="115" zoomScaleSheetLayoutView="115" zoomScalePageLayoutView="110" workbookViewId="0">
      <selection activeCell="O177" sqref="O177:S177"/>
    </sheetView>
  </sheetViews>
  <sheetFormatPr defaultColWidth="9.140625" defaultRowHeight="14.25" customHeight="1" x14ac:dyDescent="0.2"/>
  <cols>
    <col min="1" max="1" width="3.42578125" style="666" customWidth="1"/>
    <col min="2" max="2" width="1.5703125" style="18" customWidth="1"/>
    <col min="3" max="34" width="3.42578125" style="18" customWidth="1"/>
    <col min="35" max="16384" width="9.140625" style="18"/>
  </cols>
  <sheetData>
    <row r="1" spans="1:43" s="671" customFormat="1" ht="15.75" customHeight="1" thickBot="1" x14ac:dyDescent="0.25">
      <c r="A1" s="839" t="s">
        <v>1496</v>
      </c>
      <c r="B1" s="1265" t="s">
        <v>1492</v>
      </c>
      <c r="C1" s="1266"/>
      <c r="D1" s="1266"/>
      <c r="E1" s="1266"/>
      <c r="F1" s="1266"/>
      <c r="G1" s="1266"/>
      <c r="H1" s="1266"/>
      <c r="I1" s="1266"/>
      <c r="J1" s="1266"/>
      <c r="K1" s="1266"/>
      <c r="L1" s="1266"/>
      <c r="M1" s="1266"/>
      <c r="N1" s="1266"/>
      <c r="O1" s="1266"/>
      <c r="P1" s="1266"/>
      <c r="Q1" s="1266"/>
      <c r="R1" s="1266"/>
      <c r="S1" s="1266"/>
      <c r="T1" s="1266"/>
      <c r="U1" s="1266"/>
      <c r="V1" s="1266"/>
      <c r="W1" s="1266"/>
      <c r="X1" s="1266"/>
      <c r="Y1" s="1266"/>
      <c r="Z1" s="1266"/>
      <c r="AA1" s="1266"/>
      <c r="AB1" s="1266"/>
      <c r="AC1" s="1266"/>
      <c r="AD1" s="1266"/>
      <c r="AE1" s="1266"/>
      <c r="AF1" s="1266"/>
      <c r="AG1" s="1266"/>
      <c r="AH1" s="1267"/>
      <c r="AI1" s="1061" t="s">
        <v>1497</v>
      </c>
      <c r="AJ1" s="1062"/>
      <c r="AK1" s="1062"/>
      <c r="AL1" s="1062"/>
      <c r="AM1" s="1063"/>
      <c r="AN1" s="837"/>
      <c r="AO1" s="838" t="s">
        <v>1141</v>
      </c>
      <c r="AP1" s="698"/>
      <c r="AQ1" s="837"/>
    </row>
    <row r="2" spans="1:43" s="656" customFormat="1" ht="16.5" customHeight="1" x14ac:dyDescent="0.2">
      <c r="A2" s="666"/>
      <c r="AI2" s="18"/>
      <c r="AJ2" s="18"/>
      <c r="AK2" s="18"/>
      <c r="AL2" s="18"/>
      <c r="AM2" s="18"/>
      <c r="AN2" s="18"/>
      <c r="AO2" s="18"/>
      <c r="AP2" s="18"/>
      <c r="AQ2" s="18"/>
    </row>
    <row r="3" spans="1:43" s="656" customFormat="1" ht="16.5" customHeight="1" x14ac:dyDescent="0.2">
      <c r="A3" s="666"/>
      <c r="Z3" s="1092" t="s">
        <v>1502</v>
      </c>
      <c r="AA3" s="1093"/>
      <c r="AB3" s="1093"/>
      <c r="AC3" s="1093"/>
      <c r="AD3" s="1093"/>
      <c r="AE3" s="1094"/>
      <c r="AI3" s="18"/>
      <c r="AJ3" s="18"/>
      <c r="AK3" s="18"/>
      <c r="AL3" s="18"/>
      <c r="AM3" s="18"/>
      <c r="AN3" s="18"/>
      <c r="AO3" s="18"/>
      <c r="AP3" s="18"/>
      <c r="AQ3" s="18"/>
    </row>
    <row r="4" spans="1:43" s="656" customFormat="1" ht="16.5" customHeight="1" x14ac:dyDescent="0.2">
      <c r="A4" s="666"/>
      <c r="AI4" s="18"/>
      <c r="AJ4" s="18"/>
      <c r="AK4" s="18"/>
      <c r="AL4" s="18"/>
      <c r="AM4" s="18"/>
      <c r="AN4" s="18"/>
      <c r="AO4" s="18"/>
      <c r="AP4" s="18"/>
      <c r="AQ4" s="18"/>
    </row>
    <row r="5" spans="1:43" s="656" customFormat="1" ht="16.5" customHeight="1" x14ac:dyDescent="0.2">
      <c r="A5" s="666"/>
      <c r="AI5" s="18"/>
      <c r="AJ5" s="18"/>
      <c r="AK5" s="18"/>
      <c r="AL5" s="18"/>
      <c r="AM5" s="18"/>
      <c r="AN5" s="18"/>
      <c r="AO5" s="18"/>
      <c r="AP5" s="18"/>
      <c r="AQ5" s="18"/>
    </row>
    <row r="6" spans="1:43" s="656" customFormat="1" ht="16.5" customHeight="1" x14ac:dyDescent="0.2">
      <c r="A6" s="666"/>
      <c r="AI6" s="18"/>
      <c r="AJ6" s="18"/>
      <c r="AK6" s="18"/>
      <c r="AL6" s="18"/>
      <c r="AM6" s="18"/>
      <c r="AN6" s="18"/>
      <c r="AO6" s="18"/>
      <c r="AP6" s="18"/>
      <c r="AQ6" s="18"/>
    </row>
    <row r="7" spans="1:43" s="656" customFormat="1" ht="16.5" customHeight="1" x14ac:dyDescent="0.2">
      <c r="A7" s="666"/>
      <c r="Q7" s="849" t="s">
        <v>1503</v>
      </c>
      <c r="AI7" s="18"/>
      <c r="AJ7" s="18"/>
      <c r="AK7" s="18"/>
      <c r="AL7" s="18"/>
      <c r="AM7" s="18"/>
      <c r="AN7" s="18"/>
      <c r="AO7" s="18"/>
      <c r="AP7" s="18"/>
      <c r="AQ7" s="18"/>
    </row>
    <row r="8" spans="1:43" s="656" customFormat="1" ht="16.5" customHeight="1" x14ac:dyDescent="0.2">
      <c r="A8" s="666"/>
      <c r="Q8" s="849"/>
      <c r="AI8" s="18"/>
      <c r="AJ8" s="18"/>
      <c r="AK8" s="18"/>
      <c r="AL8" s="18"/>
      <c r="AM8" s="18"/>
      <c r="AN8" s="18"/>
      <c r="AO8" s="18"/>
      <c r="AP8" s="18"/>
      <c r="AQ8" s="18"/>
    </row>
    <row r="9" spans="1:43" s="656" customFormat="1" ht="16.5" customHeight="1" x14ac:dyDescent="0.2">
      <c r="A9" s="666"/>
      <c r="O9" s="840" t="s">
        <v>1504</v>
      </c>
      <c r="AI9" s="18"/>
      <c r="AJ9" s="18"/>
      <c r="AK9" s="18"/>
      <c r="AL9" s="18"/>
      <c r="AM9" s="18"/>
      <c r="AN9" s="18"/>
      <c r="AO9" s="18"/>
      <c r="AP9" s="18"/>
      <c r="AQ9" s="18"/>
    </row>
    <row r="10" spans="1:43" s="656" customFormat="1" ht="16.5" customHeight="1" x14ac:dyDescent="0.2">
      <c r="A10" s="666"/>
      <c r="O10" s="840"/>
      <c r="AI10" s="18"/>
      <c r="AJ10" s="18"/>
      <c r="AK10" s="18"/>
      <c r="AL10" s="18"/>
      <c r="AM10" s="18"/>
      <c r="AN10" s="18"/>
      <c r="AO10" s="18"/>
      <c r="AP10" s="18"/>
      <c r="AQ10" s="18"/>
    </row>
    <row r="11" spans="1:43" s="656" customFormat="1" ht="16.5" customHeight="1" x14ac:dyDescent="0.2">
      <c r="A11" s="666"/>
      <c r="R11" s="892" t="s">
        <v>1666</v>
      </c>
      <c r="S11" s="847"/>
      <c r="AI11" s="18"/>
      <c r="AJ11" s="18"/>
      <c r="AK11" s="18"/>
      <c r="AL11" s="18"/>
      <c r="AM11" s="18"/>
      <c r="AN11" s="18"/>
      <c r="AO11" s="18"/>
      <c r="AP11" s="18"/>
      <c r="AQ11" s="18"/>
    </row>
    <row r="12" spans="1:43" s="656" customFormat="1" ht="16.5" customHeight="1" x14ac:dyDescent="0.2">
      <c r="A12" s="666"/>
      <c r="AI12" s="18"/>
      <c r="AJ12" s="18"/>
      <c r="AK12" s="18"/>
      <c r="AL12" s="18"/>
      <c r="AM12" s="18"/>
      <c r="AN12" s="18"/>
      <c r="AO12" s="18"/>
      <c r="AP12" s="18"/>
      <c r="AQ12" s="18"/>
    </row>
    <row r="13" spans="1:43" s="656" customFormat="1" ht="16.5" customHeight="1" x14ac:dyDescent="0.2">
      <c r="A13" s="666"/>
      <c r="P13" s="840"/>
      <c r="Q13" s="840" t="s">
        <v>1505</v>
      </c>
      <c r="R13" s="850"/>
      <c r="S13" s="840" t="s">
        <v>1436</v>
      </c>
      <c r="T13" s="840" t="s">
        <v>1506</v>
      </c>
      <c r="U13" s="840"/>
      <c r="V13" s="840"/>
      <c r="W13" s="840"/>
      <c r="X13" s="864" t="s">
        <v>18</v>
      </c>
      <c r="Y13" s="656" t="s">
        <v>1436</v>
      </c>
      <c r="Z13" s="840" t="s">
        <v>1507</v>
      </c>
      <c r="AI13" s="18"/>
      <c r="AJ13" s="18"/>
      <c r="AK13" s="18"/>
      <c r="AL13" s="18"/>
      <c r="AM13" s="18"/>
      <c r="AN13" s="18"/>
      <c r="AO13" s="18"/>
      <c r="AP13" s="18"/>
      <c r="AQ13" s="18"/>
    </row>
    <row r="14" spans="1:43" s="656" customFormat="1" ht="16.5" customHeight="1" x14ac:dyDescent="0.2">
      <c r="A14" s="666"/>
      <c r="E14" s="848"/>
      <c r="AI14" s="18"/>
      <c r="AJ14" s="18"/>
      <c r="AK14" s="18"/>
      <c r="AL14" s="18"/>
      <c r="AM14" s="18"/>
      <c r="AN14" s="18"/>
      <c r="AO14" s="18"/>
      <c r="AP14" s="18"/>
      <c r="AQ14" s="18"/>
    </row>
    <row r="15" spans="1:43" s="840" customFormat="1" ht="16.5" customHeight="1" x14ac:dyDescent="0.2">
      <c r="A15" s="851"/>
      <c r="R15" s="840" t="s">
        <v>1510</v>
      </c>
      <c r="U15" s="840" t="s">
        <v>1511</v>
      </c>
      <c r="Z15" s="840" t="s">
        <v>1510</v>
      </c>
      <c r="AC15" s="840" t="s">
        <v>1511</v>
      </c>
    </row>
    <row r="16" spans="1:43" s="656" customFormat="1" ht="16.5" customHeight="1" x14ac:dyDescent="0.2">
      <c r="A16" s="666"/>
      <c r="E16" s="848" t="s">
        <v>1508</v>
      </c>
      <c r="R16" s="865" t="str">
        <f>MID('Input data'!$B$8,1,1)</f>
        <v>0</v>
      </c>
      <c r="S16" s="865" t="str">
        <f>MID('Input data'!$B$8,2,1)</f>
        <v>1</v>
      </c>
      <c r="U16" s="865" t="str">
        <f>MID('Input data'!$B$9,1,1)</f>
        <v>2</v>
      </c>
      <c r="V16" s="865" t="str">
        <f>MID('Input data'!$B$9,2,1)</f>
        <v>0</v>
      </c>
      <c r="W16" s="865" t="str">
        <f>MID('Input data'!$B$9,3,1)</f>
        <v>1</v>
      </c>
      <c r="X16" s="865" t="str">
        <f>MID('Input data'!$B$9,4,1)</f>
        <v>3</v>
      </c>
      <c r="Y16" s="851" t="s">
        <v>1163</v>
      </c>
      <c r="Z16" s="865" t="str">
        <f>MID('Input data'!$B$13,1,1)</f>
        <v>1</v>
      </c>
      <c r="AA16" s="865" t="str">
        <f>MID('Input data'!$B$13,2,1)</f>
        <v>2</v>
      </c>
      <c r="AC16" s="865" t="str">
        <f>MID('Input data'!$B$14,1,1)</f>
        <v>2</v>
      </c>
      <c r="AD16" s="865" t="str">
        <f>MID('Input data'!$B$14,2,1)</f>
        <v>0</v>
      </c>
      <c r="AE16" s="865" t="str">
        <f>MID('Input data'!$B$14,3,1)</f>
        <v>1</v>
      </c>
      <c r="AF16" s="865" t="str">
        <f>MID('Input data'!$B$14,4,1)</f>
        <v>3</v>
      </c>
      <c r="AI16" s="18"/>
      <c r="AJ16" s="18"/>
      <c r="AK16" s="18"/>
      <c r="AL16" s="18"/>
      <c r="AM16" s="18"/>
      <c r="AN16" s="18"/>
      <c r="AO16" s="18"/>
      <c r="AP16" s="18"/>
      <c r="AQ16" s="18"/>
    </row>
    <row r="17" spans="1:43" s="656" customFormat="1" ht="16.5" customHeight="1" x14ac:dyDescent="0.2">
      <c r="A17" s="666"/>
      <c r="E17" s="848"/>
      <c r="Y17" s="851"/>
      <c r="AI17" s="18"/>
      <c r="AJ17" s="18"/>
      <c r="AK17" s="18"/>
      <c r="AL17" s="18"/>
      <c r="AM17" s="18"/>
      <c r="AN17" s="18"/>
      <c r="AO17" s="18"/>
      <c r="AP17" s="18"/>
      <c r="AQ17" s="18"/>
    </row>
    <row r="18" spans="1:43" s="656" customFormat="1" ht="16.5" customHeight="1" x14ac:dyDescent="0.2">
      <c r="A18" s="666"/>
      <c r="E18" s="848" t="s">
        <v>1509</v>
      </c>
      <c r="R18" s="865" t="str">
        <f>MID('Input data'!$B$18,1,1)</f>
        <v>0</v>
      </c>
      <c r="S18" s="865" t="str">
        <f>MID('Input data'!$B$18,2,1)</f>
        <v>1</v>
      </c>
      <c r="U18" s="865" t="str">
        <f>MID('Input data'!$B$19,1,1)</f>
        <v>2</v>
      </c>
      <c r="V18" s="865" t="str">
        <f>MID('Input data'!$B$19,2,1)</f>
        <v>0</v>
      </c>
      <c r="W18" s="865" t="str">
        <f>MID('Input data'!$B$19,3,1)</f>
        <v>1</v>
      </c>
      <c r="X18" s="865" t="str">
        <f>MID('Input data'!$B$19,4,1)</f>
        <v>2</v>
      </c>
      <c r="Y18" s="851" t="s">
        <v>1163</v>
      </c>
      <c r="Z18" s="865" t="str">
        <f>MID('Input data'!$B$21,1,1)</f>
        <v>1</v>
      </c>
      <c r="AA18" s="865" t="str">
        <f>MID('Input data'!$B$21,2,1)</f>
        <v>2</v>
      </c>
      <c r="AC18" s="865" t="str">
        <f>MID('Input data'!$B$22,1,1)</f>
        <v>2</v>
      </c>
      <c r="AD18" s="865" t="str">
        <f>MID('Input data'!$B$22,2,1)</f>
        <v>0</v>
      </c>
      <c r="AE18" s="865" t="str">
        <f>MID('Input data'!$B$22,3,1)</f>
        <v>1</v>
      </c>
      <c r="AF18" s="865" t="str">
        <f>MID('Input data'!$B$22,4,1)</f>
        <v>2</v>
      </c>
      <c r="AI18" s="18"/>
      <c r="AJ18" s="18"/>
      <c r="AK18" s="18"/>
      <c r="AL18" s="18"/>
      <c r="AM18" s="18"/>
      <c r="AN18" s="18"/>
      <c r="AO18" s="18"/>
      <c r="AP18" s="18"/>
      <c r="AQ18" s="18"/>
    </row>
    <row r="19" spans="1:43" s="656" customFormat="1" ht="16.5" customHeight="1" x14ac:dyDescent="0.2">
      <c r="A19" s="666"/>
      <c r="E19" s="848"/>
      <c r="AI19" s="18"/>
      <c r="AJ19" s="18"/>
      <c r="AK19" s="18"/>
      <c r="AL19" s="18"/>
      <c r="AM19" s="18"/>
      <c r="AN19" s="18"/>
      <c r="AO19" s="18"/>
      <c r="AP19" s="18"/>
      <c r="AQ19" s="18"/>
    </row>
    <row r="20" spans="1:43" s="656" customFormat="1" ht="16.5" customHeight="1" x14ac:dyDescent="0.2">
      <c r="A20" s="666"/>
      <c r="E20" s="848"/>
      <c r="AI20" s="18"/>
      <c r="AJ20" s="18"/>
      <c r="AK20" s="18"/>
      <c r="AL20" s="18"/>
      <c r="AM20" s="18"/>
      <c r="AN20" s="18"/>
      <c r="AO20" s="18"/>
      <c r="AP20" s="18"/>
      <c r="AQ20" s="18"/>
    </row>
    <row r="21" spans="1:43" s="849" customFormat="1" ht="16.5" customHeight="1" x14ac:dyDescent="0.2">
      <c r="A21" s="852"/>
      <c r="E21" s="849" t="s">
        <v>1512</v>
      </c>
      <c r="S21" s="849" t="s">
        <v>1513</v>
      </c>
      <c r="Z21" s="849" t="s">
        <v>1513</v>
      </c>
    </row>
    <row r="22" spans="1:43" s="656" customFormat="1" ht="16.5" customHeight="1" x14ac:dyDescent="0.2">
      <c r="A22" s="666"/>
      <c r="AI22" s="18"/>
      <c r="AJ22" s="18"/>
      <c r="AK22" s="18"/>
      <c r="AL22" s="18"/>
      <c r="AM22" s="18"/>
      <c r="AN22" s="18"/>
      <c r="AO22" s="18"/>
      <c r="AP22" s="18"/>
      <c r="AQ22" s="18"/>
    </row>
    <row r="23" spans="1:43" s="656" customFormat="1" ht="16.5" customHeight="1" x14ac:dyDescent="0.2">
      <c r="A23" s="666"/>
      <c r="E23" s="864">
        <v>1</v>
      </c>
      <c r="F23" s="864">
        <v>8</v>
      </c>
      <c r="H23" s="864">
        <v>0</v>
      </c>
      <c r="I23" s="864">
        <v>5</v>
      </c>
      <c r="K23" s="864">
        <v>1</v>
      </c>
      <c r="L23" s="864">
        <v>9</v>
      </c>
      <c r="M23" s="864">
        <v>9</v>
      </c>
      <c r="N23" s="864">
        <v>3</v>
      </c>
      <c r="S23" s="866" t="str">
        <f>'Input data'!D7</f>
        <v>x</v>
      </c>
      <c r="T23" s="674" t="s">
        <v>1436</v>
      </c>
      <c r="U23" s="863" t="s">
        <v>1161</v>
      </c>
      <c r="V23" s="674"/>
      <c r="Z23" s="866" t="str">
        <f>'Input data'!D16</f>
        <v>x</v>
      </c>
      <c r="AA23" s="674" t="s">
        <v>1436</v>
      </c>
      <c r="AB23" s="863" t="s">
        <v>1162</v>
      </c>
      <c r="AI23" s="18"/>
      <c r="AJ23" s="18"/>
      <c r="AK23" s="18"/>
      <c r="AL23" s="18"/>
      <c r="AM23" s="18"/>
      <c r="AN23" s="18"/>
      <c r="AO23" s="18"/>
      <c r="AP23" s="18"/>
      <c r="AQ23" s="18"/>
    </row>
    <row r="24" spans="1:43" s="656" customFormat="1" ht="16.5" customHeight="1" x14ac:dyDescent="0.2">
      <c r="A24" s="666"/>
      <c r="S24" s="866">
        <f>'Input data'!D8</f>
        <v>0</v>
      </c>
      <c r="T24" s="674" t="s">
        <v>1436</v>
      </c>
      <c r="U24" s="863" t="s">
        <v>1164</v>
      </c>
      <c r="V24" s="674"/>
      <c r="Z24" s="866">
        <f>'Input data'!D17</f>
        <v>0</v>
      </c>
      <c r="AA24" s="674" t="s">
        <v>1436</v>
      </c>
      <c r="AB24" s="863" t="s">
        <v>1165</v>
      </c>
      <c r="AI24" s="18"/>
      <c r="AJ24" s="18"/>
      <c r="AK24" s="18"/>
      <c r="AL24" s="18"/>
      <c r="AM24" s="18"/>
      <c r="AN24" s="18"/>
      <c r="AO24" s="18"/>
      <c r="AP24" s="18"/>
      <c r="AQ24" s="18"/>
    </row>
    <row r="25" spans="1:43" s="656" customFormat="1" ht="16.5" customHeight="1" x14ac:dyDescent="0.2">
      <c r="A25" s="666"/>
      <c r="S25" s="866">
        <f>'Input data'!D9</f>
        <v>0</v>
      </c>
      <c r="T25" s="674" t="s">
        <v>1436</v>
      </c>
      <c r="U25" s="863" t="s">
        <v>1514</v>
      </c>
      <c r="V25" s="674"/>
      <c r="AI25" s="18"/>
      <c r="AJ25" s="18"/>
      <c r="AK25" s="18"/>
      <c r="AL25" s="18"/>
      <c r="AM25" s="18"/>
      <c r="AN25" s="18"/>
      <c r="AO25" s="18"/>
      <c r="AP25" s="18"/>
      <c r="AQ25" s="18"/>
    </row>
    <row r="26" spans="1:43" s="656" customFormat="1" ht="16.5" customHeight="1" x14ac:dyDescent="0.2">
      <c r="A26" s="666"/>
      <c r="AI26" s="18"/>
      <c r="AJ26" s="18"/>
      <c r="AK26" s="18"/>
      <c r="AL26" s="18"/>
      <c r="AM26" s="18"/>
      <c r="AN26" s="18"/>
      <c r="AO26" s="18"/>
      <c r="AP26" s="18"/>
      <c r="AQ26" s="18"/>
    </row>
    <row r="27" spans="1:43" s="656" customFormat="1" ht="16.5" customHeight="1" x14ac:dyDescent="0.2">
      <c r="A27" s="666"/>
      <c r="E27" s="849" t="s">
        <v>1515</v>
      </c>
      <c r="N27" s="849" t="s">
        <v>1320</v>
      </c>
      <c r="Z27" s="849" t="s">
        <v>1516</v>
      </c>
      <c r="AI27" s="18"/>
      <c r="AJ27" s="18"/>
      <c r="AK27" s="18"/>
      <c r="AL27" s="18"/>
      <c r="AM27" s="18"/>
      <c r="AN27" s="18"/>
      <c r="AO27" s="18"/>
      <c r="AP27" s="18"/>
      <c r="AQ27" s="18"/>
    </row>
    <row r="28" spans="1:43" s="656" customFormat="1" ht="16.5" customHeight="1" x14ac:dyDescent="0.2">
      <c r="A28" s="666"/>
      <c r="E28" s="867">
        <v>3</v>
      </c>
      <c r="F28" s="867">
        <v>1</v>
      </c>
      <c r="G28" s="867">
        <v>3</v>
      </c>
      <c r="H28" s="867">
        <v>5</v>
      </c>
      <c r="I28" s="867">
        <v>2</v>
      </c>
      <c r="J28" s="867">
        <v>3</v>
      </c>
      <c r="K28" s="867">
        <v>1</v>
      </c>
      <c r="L28" s="867">
        <v>6</v>
      </c>
      <c r="N28" s="867">
        <v>2</v>
      </c>
      <c r="O28" s="867">
        <v>0</v>
      </c>
      <c r="P28" s="867">
        <v>2</v>
      </c>
      <c r="Q28" s="867">
        <v>0</v>
      </c>
      <c r="R28" s="867">
        <v>3</v>
      </c>
      <c r="S28" s="867">
        <v>1</v>
      </c>
      <c r="T28" s="867">
        <v>3</v>
      </c>
      <c r="U28" s="867">
        <v>9</v>
      </c>
      <c r="V28" s="867">
        <v>4</v>
      </c>
      <c r="W28" s="868">
        <v>4</v>
      </c>
      <c r="X28" s="842"/>
      <c r="Z28" s="867">
        <v>4</v>
      </c>
      <c r="AA28" s="867">
        <v>6</v>
      </c>
      <c r="AB28" s="835" t="s">
        <v>1149</v>
      </c>
      <c r="AC28" s="867">
        <v>3</v>
      </c>
      <c r="AD28" s="867">
        <v>9</v>
      </c>
      <c r="AE28" s="835" t="s">
        <v>1149</v>
      </c>
      <c r="AF28" s="867">
        <v>0</v>
      </c>
      <c r="AI28" s="18"/>
      <c r="AJ28" s="18"/>
      <c r="AK28" s="18"/>
      <c r="AL28" s="18"/>
      <c r="AM28" s="18"/>
      <c r="AN28" s="18"/>
      <c r="AO28" s="18"/>
      <c r="AP28" s="18"/>
      <c r="AQ28" s="18"/>
    </row>
    <row r="29" spans="1:43" s="656" customFormat="1" ht="16.5" customHeight="1" x14ac:dyDescent="0.2">
      <c r="A29" s="666"/>
      <c r="AI29" s="18"/>
      <c r="AJ29" s="18"/>
      <c r="AK29" s="18"/>
      <c r="AL29" s="18"/>
      <c r="AM29" s="18"/>
      <c r="AN29" s="18"/>
      <c r="AO29" s="18"/>
      <c r="AP29" s="18"/>
      <c r="AQ29" s="18"/>
    </row>
    <row r="30" spans="1:43" s="656" customFormat="1" ht="16.5" customHeight="1" x14ac:dyDescent="0.2">
      <c r="A30" s="666"/>
      <c r="AI30" s="18"/>
      <c r="AJ30" s="18"/>
      <c r="AK30" s="18"/>
      <c r="AL30" s="18"/>
      <c r="AM30" s="18"/>
      <c r="AN30" s="18"/>
      <c r="AO30" s="18"/>
      <c r="AP30" s="18"/>
      <c r="AQ30" s="18"/>
    </row>
    <row r="31" spans="1:43" s="656" customFormat="1" ht="16.5" customHeight="1" x14ac:dyDescent="0.2">
      <c r="A31" s="666"/>
      <c r="C31" s="853" t="s">
        <v>1170</v>
      </c>
      <c r="D31" s="855"/>
      <c r="E31" s="855"/>
      <c r="F31" s="855"/>
      <c r="G31" s="855"/>
      <c r="H31" s="855"/>
      <c r="I31" s="855"/>
      <c r="J31" s="855"/>
      <c r="K31" s="855"/>
      <c r="L31" s="855"/>
      <c r="M31" s="855"/>
      <c r="N31" s="855"/>
      <c r="O31" s="855"/>
      <c r="P31" s="855"/>
      <c r="Q31" s="855"/>
      <c r="R31" s="855"/>
      <c r="S31" s="855"/>
      <c r="T31" s="855"/>
      <c r="U31" s="855"/>
      <c r="V31" s="855"/>
      <c r="W31" s="855"/>
      <c r="X31" s="855"/>
      <c r="Y31" s="855"/>
      <c r="Z31" s="855"/>
      <c r="AA31" s="855"/>
      <c r="AB31" s="855"/>
      <c r="AC31" s="855"/>
      <c r="AD31" s="855"/>
      <c r="AE31" s="855"/>
      <c r="AF31" s="855"/>
      <c r="AG31" s="855"/>
      <c r="AI31" s="18"/>
      <c r="AJ31" s="18"/>
      <c r="AK31" s="18"/>
      <c r="AL31" s="18"/>
      <c r="AM31" s="18"/>
      <c r="AN31" s="18"/>
      <c r="AO31" s="18"/>
      <c r="AP31" s="18"/>
      <c r="AQ31" s="18"/>
    </row>
    <row r="32" spans="1:43" s="656" customFormat="1" ht="16.5" customHeight="1" x14ac:dyDescent="0.2">
      <c r="A32" s="666"/>
      <c r="C32" s="870" t="s">
        <v>1638</v>
      </c>
      <c r="D32" s="870" t="s">
        <v>1639</v>
      </c>
      <c r="E32" s="870" t="s">
        <v>1640</v>
      </c>
      <c r="F32" s="870" t="s">
        <v>1641</v>
      </c>
      <c r="G32" s="870" t="s">
        <v>1642</v>
      </c>
      <c r="H32" s="870" t="s">
        <v>1641</v>
      </c>
      <c r="I32" s="870" t="str">
        <f>+MID('Input data'!$F$3,7,1)</f>
        <v/>
      </c>
      <c r="J32" s="870" t="s">
        <v>1643</v>
      </c>
      <c r="K32" s="870" t="s">
        <v>1644</v>
      </c>
      <c r="L32" s="870" t="s">
        <v>1645</v>
      </c>
      <c r="M32" s="870" t="s">
        <v>1638</v>
      </c>
      <c r="N32" s="870" t="s">
        <v>1646</v>
      </c>
      <c r="O32" s="893" t="s">
        <v>1642</v>
      </c>
      <c r="P32" s="870" t="s">
        <v>1643</v>
      </c>
      <c r="Q32" s="870" t="s">
        <v>1647</v>
      </c>
      <c r="R32" s="870" t="s">
        <v>1645</v>
      </c>
      <c r="S32" s="870" t="s">
        <v>1648</v>
      </c>
      <c r="T32" s="870" t="str">
        <f>+MID('Input data'!$F$3,18,1)</f>
        <v/>
      </c>
      <c r="U32" s="870" t="s">
        <v>1649</v>
      </c>
      <c r="V32" s="870" t="s">
        <v>1149</v>
      </c>
      <c r="W32" s="870" t="s">
        <v>1650</v>
      </c>
      <c r="X32" s="870" t="s">
        <v>1149</v>
      </c>
      <c r="Y32" s="870" t="s">
        <v>1651</v>
      </c>
      <c r="Z32" s="870" t="s">
        <v>1149</v>
      </c>
      <c r="AA32" s="870" t="str">
        <f>+MID('Input data'!$F$3,25,1)</f>
        <v/>
      </c>
      <c r="AB32" s="870" t="str">
        <f>+MID('Input data'!$F$3,26,1)</f>
        <v/>
      </c>
      <c r="AC32" s="870" t="str">
        <f>+MID('Input data'!$F$3,27,1)</f>
        <v/>
      </c>
      <c r="AD32" s="870" t="str">
        <f>+MID('Input data'!$F$3,28,1)</f>
        <v/>
      </c>
      <c r="AE32" s="870" t="str">
        <f>+MID('Input data'!$F$3,29,1)</f>
        <v/>
      </c>
      <c r="AF32" s="870" t="str">
        <f>+MID('Input data'!$F$3,30,1)</f>
        <v/>
      </c>
      <c r="AG32" s="870" t="str">
        <f>+MID('Input data'!$F$3,31,1)</f>
        <v/>
      </c>
      <c r="AI32" s="18"/>
      <c r="AJ32" s="18"/>
      <c r="AK32" s="18"/>
      <c r="AL32" s="18"/>
      <c r="AM32" s="18"/>
      <c r="AN32" s="18"/>
      <c r="AO32" s="18"/>
      <c r="AP32" s="18"/>
      <c r="AQ32" s="18"/>
    </row>
    <row r="33" spans="1:43" s="656" customFormat="1" ht="16.5" customHeight="1" x14ac:dyDescent="0.2">
      <c r="A33" s="666"/>
      <c r="C33" s="867" t="str">
        <f>+MID('Input data'!$F$3,32,1)</f>
        <v/>
      </c>
      <c r="D33" s="870" t="str">
        <f>+MID('Input data'!$F$3,33,1)</f>
        <v/>
      </c>
      <c r="E33" s="870" t="str">
        <f>+MID('Input data'!$F$3,34,1)</f>
        <v/>
      </c>
      <c r="F33" s="870" t="str">
        <f>+MID('Input data'!$F$3,35,1)</f>
        <v/>
      </c>
      <c r="G33" s="870" t="str">
        <f>+MID('Input data'!$F$3,36,1)</f>
        <v/>
      </c>
      <c r="H33" s="870" t="str">
        <f>+MID('Input data'!$F$3,37,1)</f>
        <v/>
      </c>
      <c r="I33" s="870" t="str">
        <f>+MID('Input data'!$F$3,38,1)</f>
        <v/>
      </c>
      <c r="J33" s="870" t="str">
        <f>+MID('Input data'!$F$3,39,1)</f>
        <v/>
      </c>
      <c r="K33" s="870" t="str">
        <f>+MID('Input data'!$F$3,40,1)</f>
        <v/>
      </c>
      <c r="L33" s="870" t="str">
        <f>+MID('Input data'!$F$3,41,1)</f>
        <v/>
      </c>
      <c r="M33" s="870" t="str">
        <f>+MID('Input data'!$F$3,42,1)</f>
        <v/>
      </c>
      <c r="N33" s="870" t="str">
        <f>+MID('Input data'!$F$3,43,1)</f>
        <v/>
      </c>
      <c r="O33" s="870" t="str">
        <f>+MID('Input data'!$F$3,44,1)</f>
        <v/>
      </c>
      <c r="P33" s="870" t="str">
        <f>+MID('Input data'!$F$3,45,1)</f>
        <v/>
      </c>
      <c r="Q33" s="870" t="str">
        <f>+MID('Input data'!$F$3,46,1)</f>
        <v/>
      </c>
      <c r="R33" s="870" t="str">
        <f>+MID('Input data'!$F$3,47,1)</f>
        <v/>
      </c>
      <c r="S33" s="870" t="str">
        <f>+MID('Input data'!$F$3,48,1)</f>
        <v/>
      </c>
      <c r="T33" s="870" t="str">
        <f>+MID('Input data'!$F$3,49,1)</f>
        <v/>
      </c>
      <c r="U33" s="870" t="str">
        <f>+MID('Input data'!$F$3,50,1)</f>
        <v/>
      </c>
      <c r="V33" s="870" t="str">
        <f>+MID('Input data'!$F$3,51,1)</f>
        <v/>
      </c>
      <c r="W33" s="870" t="str">
        <f>+MID('Input data'!$F$3,52,1)</f>
        <v/>
      </c>
      <c r="X33" s="870" t="str">
        <f>+MID('Input data'!$F$3,53,1)</f>
        <v/>
      </c>
      <c r="Y33" s="870" t="str">
        <f>+MID('Input data'!$F$3,54,1)</f>
        <v/>
      </c>
      <c r="Z33" s="870" t="str">
        <f>+MID('Input data'!$F$3,55,1)</f>
        <v/>
      </c>
      <c r="AA33" s="870" t="str">
        <f>+MID('Input data'!$F$3,56,1)</f>
        <v/>
      </c>
      <c r="AB33" s="870" t="str">
        <f>+MID('Input data'!$F$3,57,1)</f>
        <v/>
      </c>
      <c r="AC33" s="870" t="str">
        <f>+MID('Input data'!$F$3,58,1)</f>
        <v/>
      </c>
      <c r="AD33" s="870" t="str">
        <f>+MID('Input data'!$F$3,59,1)</f>
        <v/>
      </c>
      <c r="AE33" s="870" t="str">
        <f>+MID('Input data'!$F$3,60,1)</f>
        <v/>
      </c>
      <c r="AF33" s="870" t="str">
        <f>+MID('Input data'!$F$3,61,1)</f>
        <v/>
      </c>
      <c r="AG33" s="870" t="str">
        <f>+MID('Input data'!$F$3,62,1)</f>
        <v/>
      </c>
      <c r="AI33" s="18"/>
      <c r="AJ33" s="18"/>
      <c r="AK33" s="18"/>
      <c r="AL33" s="18"/>
      <c r="AM33" s="18"/>
      <c r="AN33" s="18"/>
      <c r="AO33" s="18"/>
      <c r="AP33" s="18"/>
      <c r="AQ33" s="18"/>
    </row>
    <row r="34" spans="1:43" s="656" customFormat="1" ht="16.5" customHeight="1" x14ac:dyDescent="0.2">
      <c r="A34" s="666"/>
      <c r="C34" s="853" t="s">
        <v>1171</v>
      </c>
      <c r="D34" s="855"/>
      <c r="E34" s="855"/>
      <c r="F34" s="855"/>
      <c r="G34" s="855"/>
      <c r="H34" s="855"/>
      <c r="I34" s="855"/>
      <c r="J34" s="855"/>
      <c r="K34" s="855"/>
      <c r="L34" s="855"/>
      <c r="M34" s="855"/>
      <c r="N34" s="855"/>
      <c r="O34" s="855"/>
      <c r="P34" s="855"/>
      <c r="Q34" s="855"/>
      <c r="R34" s="855"/>
      <c r="S34" s="855"/>
      <c r="T34" s="855"/>
      <c r="U34" s="855"/>
      <c r="V34" s="855"/>
      <c r="W34" s="855"/>
      <c r="X34" s="855"/>
      <c r="Y34" s="855"/>
      <c r="Z34" s="855"/>
      <c r="AA34" s="855"/>
      <c r="AB34" s="855"/>
      <c r="AC34" s="855"/>
      <c r="AD34" s="855"/>
      <c r="AE34" s="855"/>
      <c r="AF34" s="855"/>
      <c r="AG34" s="855"/>
      <c r="AI34" s="18"/>
      <c r="AJ34" s="18"/>
      <c r="AK34" s="18"/>
      <c r="AL34" s="18"/>
      <c r="AM34" s="18"/>
      <c r="AN34" s="18"/>
      <c r="AO34" s="18"/>
      <c r="AP34" s="18"/>
      <c r="AQ34" s="18"/>
    </row>
    <row r="35" spans="1:43" s="656" customFormat="1" ht="16.5" customHeight="1" x14ac:dyDescent="0.2">
      <c r="A35" s="666"/>
      <c r="C35" s="855" t="s">
        <v>1172</v>
      </c>
      <c r="D35" s="855"/>
      <c r="E35" s="855"/>
      <c r="F35" s="855"/>
      <c r="G35" s="855"/>
      <c r="H35" s="855"/>
      <c r="I35" s="855"/>
      <c r="J35" s="855"/>
      <c r="K35" s="855"/>
      <c r="L35" s="855"/>
      <c r="M35" s="855"/>
      <c r="N35" s="855"/>
      <c r="O35" s="855"/>
      <c r="P35" s="855"/>
      <c r="Q35" s="855"/>
      <c r="R35" s="855"/>
      <c r="S35" s="855"/>
      <c r="T35" s="855"/>
      <c r="U35" s="855"/>
      <c r="V35" s="855"/>
      <c r="W35" s="855"/>
      <c r="X35" s="855"/>
      <c r="Y35" s="855"/>
      <c r="Z35" s="855" t="s">
        <v>1173</v>
      </c>
      <c r="AA35" s="855"/>
      <c r="AB35" s="855"/>
      <c r="AC35" s="855"/>
      <c r="AD35" s="855"/>
      <c r="AE35" s="855"/>
      <c r="AF35" s="855"/>
      <c r="AG35" s="855"/>
      <c r="AI35" s="18"/>
      <c r="AJ35" s="18"/>
      <c r="AK35" s="18"/>
      <c r="AL35" s="18"/>
      <c r="AM35" s="18"/>
      <c r="AN35" s="18"/>
      <c r="AO35" s="18"/>
      <c r="AP35" s="18"/>
      <c r="AQ35" s="18"/>
    </row>
    <row r="36" spans="1:43" s="656" customFormat="1" ht="16.5" customHeight="1" x14ac:dyDescent="0.2">
      <c r="A36" s="666"/>
      <c r="C36" s="870" t="s">
        <v>1652</v>
      </c>
      <c r="D36" s="870" t="s">
        <v>1653</v>
      </c>
      <c r="E36" s="870" t="s">
        <v>1654</v>
      </c>
      <c r="F36" s="870" t="s">
        <v>1649</v>
      </c>
      <c r="G36" s="870" t="s">
        <v>1649</v>
      </c>
      <c r="H36" s="870" t="s">
        <v>1655</v>
      </c>
      <c r="I36" s="870" t="s">
        <v>1651</v>
      </c>
      <c r="J36" s="870" t="s">
        <v>1505</v>
      </c>
      <c r="K36" s="870" t="s">
        <v>518</v>
      </c>
      <c r="L36" s="870" t="str">
        <f>+MID('Input data'!$C$28,10,1)</f>
        <v/>
      </c>
      <c r="M36" s="870" t="str">
        <f>+MID('Input data'!$C$28,11,1)</f>
        <v/>
      </c>
      <c r="N36" s="870" t="str">
        <f>+MID('Input data'!$C$28,12,1)</f>
        <v/>
      </c>
      <c r="O36" s="870" t="str">
        <f>+MID('Input data'!$C$28,13,1)</f>
        <v/>
      </c>
      <c r="P36" s="870" t="str">
        <f>+MID('Input data'!$C$28,14,1)</f>
        <v/>
      </c>
      <c r="Q36" s="870" t="str">
        <f>+MID('Input data'!$C$28,15,1)</f>
        <v/>
      </c>
      <c r="R36" s="870" t="str">
        <f>+MID('Input data'!$C$28,16,1)</f>
        <v/>
      </c>
      <c r="S36" s="870" t="str">
        <f>+MID('Input data'!$C$28,17,1)</f>
        <v/>
      </c>
      <c r="T36" s="870" t="str">
        <f>+MID('Input data'!$C$28,18,1)</f>
        <v/>
      </c>
      <c r="U36" s="870" t="str">
        <f>+MID('Input data'!$C$28,19,1)</f>
        <v/>
      </c>
      <c r="V36" s="870" t="str">
        <f>+MID('Input data'!$C$28,20,1)</f>
        <v/>
      </c>
      <c r="W36" s="870" t="str">
        <f>+MID('Input data'!$C$28,21,1)</f>
        <v/>
      </c>
      <c r="X36" s="870" t="str">
        <f>+MID('Input data'!$C$28,22,1)</f>
        <v/>
      </c>
      <c r="Y36" s="856"/>
      <c r="Z36" s="870">
        <v>5</v>
      </c>
      <c r="AA36" s="870" t="str">
        <f>+MID('Input data'!$C$30,2,1)</f>
        <v/>
      </c>
      <c r="AB36" s="870" t="str">
        <f>+MID('Input data'!$C$30,3,1)</f>
        <v/>
      </c>
      <c r="AC36" s="870" t="str">
        <f>+MID('Input data'!$C$30,4,1)</f>
        <v/>
      </c>
      <c r="AD36" s="870" t="str">
        <f>+MID('Input data'!$C$30,5,1)</f>
        <v/>
      </c>
      <c r="AE36" s="870" t="str">
        <f>+MID('Input data'!$C$30,6,1)</f>
        <v/>
      </c>
      <c r="AF36" s="870" t="str">
        <f>+MID('Input data'!$C$30,7,1)</f>
        <v/>
      </c>
      <c r="AG36" s="870" t="str">
        <f>+MID('Input data'!$C$30,8,1)</f>
        <v/>
      </c>
      <c r="AI36" s="18"/>
      <c r="AJ36" s="18"/>
      <c r="AK36" s="18"/>
      <c r="AL36" s="18"/>
      <c r="AM36" s="18"/>
      <c r="AN36" s="18"/>
      <c r="AO36" s="18"/>
      <c r="AP36" s="18"/>
      <c r="AQ36" s="18"/>
    </row>
    <row r="37" spans="1:43" s="656" customFormat="1" ht="16.5" customHeight="1" x14ac:dyDescent="0.2">
      <c r="A37" s="666"/>
      <c r="C37" s="855" t="s">
        <v>1174</v>
      </c>
      <c r="D37" s="855"/>
      <c r="E37" s="855"/>
      <c r="F37" s="855"/>
      <c r="G37" s="855"/>
      <c r="H37" s="855"/>
      <c r="I37" s="855" t="s">
        <v>1517</v>
      </c>
      <c r="J37" s="855"/>
      <c r="K37" s="855"/>
      <c r="L37" s="855"/>
      <c r="M37" s="855"/>
      <c r="N37" s="855"/>
      <c r="O37" s="855"/>
      <c r="P37" s="855"/>
      <c r="Q37" s="855"/>
      <c r="R37" s="855"/>
      <c r="S37" s="855"/>
      <c r="T37" s="855"/>
      <c r="U37" s="855"/>
      <c r="V37" s="855"/>
      <c r="W37" s="855"/>
      <c r="X37" s="855"/>
      <c r="Y37" s="855"/>
      <c r="Z37" s="855"/>
      <c r="AA37" s="855"/>
      <c r="AB37" s="855"/>
      <c r="AC37" s="855"/>
      <c r="AD37" s="855"/>
      <c r="AE37" s="855"/>
      <c r="AF37" s="855"/>
      <c r="AG37" s="855"/>
      <c r="AI37" s="18"/>
      <c r="AJ37" s="18"/>
      <c r="AK37" s="18"/>
      <c r="AL37" s="18"/>
      <c r="AM37" s="18"/>
      <c r="AN37" s="18"/>
      <c r="AO37" s="18"/>
      <c r="AP37" s="18"/>
      <c r="AQ37" s="18"/>
    </row>
    <row r="38" spans="1:43" s="656" customFormat="1" ht="16.5" customHeight="1" x14ac:dyDescent="0.2">
      <c r="A38" s="666"/>
      <c r="C38" s="870">
        <v>9</v>
      </c>
      <c r="D38" s="870">
        <v>0</v>
      </c>
      <c r="E38" s="870">
        <v>2</v>
      </c>
      <c r="F38" s="870">
        <v>0</v>
      </c>
      <c r="G38" s="870">
        <v>1</v>
      </c>
      <c r="H38" s="856"/>
      <c r="I38" s="870" t="s">
        <v>1656</v>
      </c>
      <c r="J38" s="870" t="s">
        <v>1653</v>
      </c>
      <c r="K38" s="870" t="s">
        <v>1657</v>
      </c>
      <c r="L38" s="870" t="s">
        <v>1654</v>
      </c>
      <c r="M38" s="870" t="s">
        <v>1658</v>
      </c>
      <c r="N38" s="870" t="s">
        <v>1651</v>
      </c>
      <c r="O38" s="870" t="s">
        <v>1148</v>
      </c>
      <c r="P38" s="869" t="str">
        <f>+MID('Input data'!$C$34,8,1)</f>
        <v/>
      </c>
      <c r="Q38" s="869" t="str">
        <f>+MID('Input data'!$C$34,9,1)</f>
        <v/>
      </c>
      <c r="R38" s="869" t="str">
        <f>+MID('Input data'!$C$34,10,1)</f>
        <v/>
      </c>
      <c r="S38" s="869" t="str">
        <f>+MID('Input data'!$C$34,11,1)</f>
        <v/>
      </c>
      <c r="T38" s="870" t="str">
        <f>+MID('Input data'!$C$34,12,1)</f>
        <v/>
      </c>
      <c r="U38" s="870" t="str">
        <f>+MID('Input data'!$C$34,13,1)</f>
        <v/>
      </c>
      <c r="V38" s="870" t="str">
        <f>+MID('Input data'!$C$34,14,1)</f>
        <v/>
      </c>
      <c r="W38" s="870" t="str">
        <f>+MID('Input data'!$C$34,15,1)</f>
        <v/>
      </c>
      <c r="X38" s="870" t="str">
        <f>+MID('Input data'!$C$34,16,1)</f>
        <v/>
      </c>
      <c r="Y38" s="870" t="str">
        <f>+MID('Input data'!$C$34,17,1)</f>
        <v/>
      </c>
      <c r="Z38" s="870" t="str">
        <f>+MID('Input data'!$C$34,18,1)</f>
        <v/>
      </c>
      <c r="AA38" s="870" t="str">
        <f>+MID('Input data'!$C$34,19,1)</f>
        <v/>
      </c>
      <c r="AB38" s="870" t="str">
        <f>+MID('Input data'!$C$34,20,1)</f>
        <v/>
      </c>
      <c r="AC38" s="870" t="str">
        <f>+MID('Input data'!$C$34,21,1)</f>
        <v/>
      </c>
      <c r="AD38" s="870" t="str">
        <f>+MID('Input data'!$C$34,22,1)</f>
        <v/>
      </c>
      <c r="AE38" s="870" t="str">
        <f>+MID('Input data'!$C$34,23,1)</f>
        <v/>
      </c>
      <c r="AF38" s="870" t="str">
        <f>+MID('Input data'!$C$34,24,1)</f>
        <v/>
      </c>
      <c r="AG38" s="870" t="str">
        <f>+MID('Input data'!$C$34,25,1)</f>
        <v/>
      </c>
      <c r="AI38" s="18"/>
      <c r="AJ38" s="18"/>
      <c r="AK38" s="18"/>
      <c r="AL38" s="18"/>
      <c r="AM38" s="18"/>
      <c r="AN38" s="18"/>
      <c r="AO38" s="18"/>
      <c r="AP38" s="18"/>
      <c r="AQ38" s="18"/>
    </row>
    <row r="39" spans="1:43" s="656" customFormat="1" ht="16.5" customHeight="1" x14ac:dyDescent="0.2">
      <c r="A39" s="666"/>
      <c r="C39" s="855" t="s">
        <v>1176</v>
      </c>
      <c r="D39" s="855"/>
      <c r="E39" s="855"/>
      <c r="F39" s="855"/>
      <c r="G39" s="855"/>
      <c r="H39" s="855"/>
      <c r="I39" s="855"/>
      <c r="J39" s="855"/>
      <c r="K39" s="855"/>
      <c r="L39" s="855"/>
      <c r="M39" s="855"/>
      <c r="N39" s="855"/>
      <c r="O39" s="855"/>
      <c r="P39" s="855"/>
      <c r="Q39" s="855"/>
      <c r="R39" s="855" t="s">
        <v>1518</v>
      </c>
      <c r="S39" s="855"/>
      <c r="T39" s="855"/>
      <c r="U39" s="855"/>
      <c r="V39" s="855"/>
      <c r="W39" s="855"/>
      <c r="X39" s="855"/>
      <c r="Y39" s="855"/>
      <c r="Z39" s="855"/>
      <c r="AA39" s="855"/>
      <c r="AB39" s="855"/>
      <c r="AC39" s="855"/>
      <c r="AD39" s="855"/>
      <c r="AE39" s="855"/>
      <c r="AF39" s="855"/>
      <c r="AG39" s="855"/>
      <c r="AI39" s="18"/>
      <c r="AJ39" s="18"/>
      <c r="AK39" s="18"/>
      <c r="AL39" s="18"/>
      <c r="AM39" s="18"/>
      <c r="AN39" s="18"/>
      <c r="AO39" s="18"/>
      <c r="AP39" s="18"/>
      <c r="AQ39" s="18"/>
    </row>
    <row r="40" spans="1:43" s="656" customFormat="1" ht="16.5" customHeight="1" x14ac:dyDescent="0.2">
      <c r="A40" s="666"/>
      <c r="C40" s="870">
        <v>0</v>
      </c>
      <c r="D40" s="870">
        <v>0</v>
      </c>
      <c r="E40" s="870">
        <v>3</v>
      </c>
      <c r="F40" s="870">
        <v>3</v>
      </c>
      <c r="G40" s="856" t="s">
        <v>1519</v>
      </c>
      <c r="H40" s="870">
        <v>5</v>
      </c>
      <c r="I40" s="870">
        <v>9</v>
      </c>
      <c r="J40" s="870">
        <v>1</v>
      </c>
      <c r="K40" s="870">
        <v>1</v>
      </c>
      <c r="L40" s="870">
        <v>1</v>
      </c>
      <c r="M40" s="870">
        <v>1</v>
      </c>
      <c r="N40" s="870">
        <v>1</v>
      </c>
      <c r="O40" s="870" t="str">
        <f>+MID('Input data'!$C$38,8,1)</f>
        <v/>
      </c>
      <c r="P40" s="855"/>
      <c r="Q40" s="856"/>
      <c r="R40" s="870">
        <v>0</v>
      </c>
      <c r="S40" s="870">
        <v>0</v>
      </c>
      <c r="T40" s="870">
        <v>3</v>
      </c>
      <c r="U40" s="870">
        <v>3</v>
      </c>
      <c r="V40" s="856" t="s">
        <v>1519</v>
      </c>
      <c r="W40" s="870">
        <v>5</v>
      </c>
      <c r="X40" s="870">
        <v>9</v>
      </c>
      <c r="Y40" s="870">
        <v>1</v>
      </c>
      <c r="Z40" s="870">
        <v>1</v>
      </c>
      <c r="AA40" s="870">
        <v>1</v>
      </c>
      <c r="AB40" s="870">
        <v>4</v>
      </c>
      <c r="AC40" s="870">
        <v>4</v>
      </c>
      <c r="AD40" s="870" t="str">
        <f>+MID('Input data'!$C$40,8,1)</f>
        <v/>
      </c>
      <c r="AE40" s="855"/>
      <c r="AF40" s="855"/>
      <c r="AG40" s="855"/>
      <c r="AI40" s="18"/>
      <c r="AJ40" s="18"/>
      <c r="AK40" s="18"/>
      <c r="AL40" s="18"/>
      <c r="AM40" s="18"/>
      <c r="AN40" s="18"/>
      <c r="AO40" s="18"/>
      <c r="AP40" s="18"/>
      <c r="AQ40" s="18"/>
    </row>
    <row r="41" spans="1:43" s="656" customFormat="1" ht="16.5" customHeight="1" x14ac:dyDescent="0.2">
      <c r="A41" s="666"/>
      <c r="C41" s="855" t="s">
        <v>1180</v>
      </c>
      <c r="D41" s="855"/>
      <c r="E41" s="855"/>
      <c r="F41" s="855"/>
      <c r="G41" s="855"/>
      <c r="H41" s="855"/>
      <c r="I41" s="855"/>
      <c r="J41" s="855"/>
      <c r="K41" s="855"/>
      <c r="L41" s="855"/>
      <c r="M41" s="855"/>
      <c r="N41" s="855"/>
      <c r="O41" s="855"/>
      <c r="P41" s="855"/>
      <c r="Q41" s="855"/>
      <c r="R41" s="855"/>
      <c r="S41" s="855"/>
      <c r="T41" s="855"/>
      <c r="U41" s="855"/>
      <c r="V41" s="855"/>
      <c r="W41" s="855"/>
      <c r="X41" s="855"/>
      <c r="Y41" s="855"/>
      <c r="Z41" s="855"/>
      <c r="AA41" s="855"/>
      <c r="AB41" s="855"/>
      <c r="AC41" s="855"/>
      <c r="AD41" s="855"/>
      <c r="AE41" s="855"/>
      <c r="AF41" s="855"/>
      <c r="AG41" s="855"/>
      <c r="AI41" s="18"/>
      <c r="AJ41" s="18"/>
      <c r="AK41" s="18"/>
      <c r="AL41" s="18"/>
      <c r="AM41" s="18"/>
      <c r="AN41" s="18"/>
      <c r="AO41" s="18"/>
      <c r="AP41" s="18"/>
      <c r="AQ41" s="18"/>
    </row>
    <row r="42" spans="1:43" s="656" customFormat="1" ht="16.5" customHeight="1" x14ac:dyDescent="0.2">
      <c r="A42" s="666"/>
      <c r="C42" s="870" t="str">
        <f>+LEFT('Input data'!$B$42,1)</f>
        <v/>
      </c>
      <c r="D42" s="870" t="str">
        <f>+MID('Input data'!$B$42,2,1)</f>
        <v/>
      </c>
      <c r="E42" s="870" t="str">
        <f>+MID('Input data'!$B$42,3,1)</f>
        <v/>
      </c>
      <c r="F42" s="870" t="str">
        <f>+MID('Input data'!$B$42,4,1)</f>
        <v/>
      </c>
      <c r="G42" s="870" t="str">
        <f>+MID('Input data'!$B$42,5,1)</f>
        <v/>
      </c>
      <c r="H42" s="870" t="str">
        <f>+MID('Input data'!$B$42,6,1)</f>
        <v/>
      </c>
      <c r="I42" s="870" t="str">
        <f>+MID('Input data'!$B$42,7,1)</f>
        <v/>
      </c>
      <c r="J42" s="870" t="str">
        <f>+MID('Input data'!$B$42,8,1)</f>
        <v/>
      </c>
      <c r="K42" s="870" t="str">
        <f>+MID('Input data'!$B$42,9,1)</f>
        <v/>
      </c>
      <c r="L42" s="870" t="str">
        <f>+MID('Input data'!$B$42,10,1)</f>
        <v/>
      </c>
      <c r="M42" s="870" t="str">
        <f>+MID('Input data'!$B$42,11,1)</f>
        <v/>
      </c>
      <c r="N42" s="870" t="str">
        <f>+MID('Input data'!$B$42,12,1)</f>
        <v/>
      </c>
      <c r="O42" s="870" t="str">
        <f>+MID('Input data'!$B$42,13,1)</f>
        <v/>
      </c>
      <c r="P42" s="870" t="str">
        <f>+MID('Input data'!$B$42,14,1)</f>
        <v/>
      </c>
      <c r="Q42" s="870" t="str">
        <f>+MID('Input data'!$B$42,15,1)</f>
        <v/>
      </c>
      <c r="R42" s="870" t="str">
        <f>+MID('Input data'!$B$42,16,1)</f>
        <v/>
      </c>
      <c r="S42" s="870" t="str">
        <f>+MID('Input data'!$B$42,17,1)</f>
        <v/>
      </c>
      <c r="T42" s="870" t="str">
        <f>+MID('Input data'!$B$42,18,1)</f>
        <v/>
      </c>
      <c r="U42" s="870" t="str">
        <f>+MID('Input data'!$B$42,19,1)</f>
        <v/>
      </c>
      <c r="V42" s="870" t="str">
        <f>+MID('Input data'!$B$42,20,1)</f>
        <v/>
      </c>
      <c r="W42" s="870" t="str">
        <f>+MID('Input data'!$B$42,21,1)</f>
        <v/>
      </c>
      <c r="X42" s="870" t="str">
        <f>+MID('Input data'!$B$42,22,1)</f>
        <v/>
      </c>
      <c r="Y42" s="870" t="str">
        <f>+MID('Input data'!$B$42,23,1)</f>
        <v/>
      </c>
      <c r="Z42" s="870" t="str">
        <f>+MID('Input data'!$B$42,24,1)</f>
        <v/>
      </c>
      <c r="AA42" s="870" t="str">
        <f>+MID('Input data'!$B$42,25,1)</f>
        <v/>
      </c>
      <c r="AB42" s="870" t="str">
        <f>+MID('Input data'!$B$42,26,1)</f>
        <v/>
      </c>
      <c r="AC42" s="870" t="str">
        <f>+MID('Input data'!$B$42,27,1)</f>
        <v/>
      </c>
      <c r="AD42" s="870" t="str">
        <f>+MID('Input data'!$B$42,28,1)</f>
        <v/>
      </c>
      <c r="AE42" s="870" t="str">
        <f>+MID('Input data'!$B$42,29,1)</f>
        <v/>
      </c>
      <c r="AF42" s="870" t="str">
        <f>+MID('Input data'!$B$42,30,1)</f>
        <v/>
      </c>
      <c r="AG42" s="870" t="str">
        <f>+MID('Input data'!$B$42,31,1)</f>
        <v/>
      </c>
      <c r="AI42" s="18"/>
      <c r="AJ42" s="18"/>
      <c r="AK42" s="18"/>
      <c r="AL42" s="18"/>
      <c r="AM42" s="18"/>
      <c r="AN42" s="18"/>
      <c r="AO42" s="18"/>
      <c r="AP42" s="18"/>
      <c r="AQ42" s="18"/>
    </row>
    <row r="43" spans="1:43" s="656" customFormat="1" ht="16.5" customHeight="1" x14ac:dyDescent="0.2">
      <c r="A43" s="666"/>
      <c r="C43" s="855"/>
      <c r="D43" s="855"/>
      <c r="E43" s="855"/>
      <c r="F43" s="855"/>
      <c r="G43" s="855"/>
      <c r="H43" s="855"/>
      <c r="I43" s="855"/>
      <c r="J43" s="855"/>
      <c r="K43" s="855"/>
      <c r="L43" s="855"/>
      <c r="M43" s="855"/>
      <c r="N43" s="855"/>
      <c r="O43" s="855"/>
      <c r="P43" s="855"/>
      <c r="Q43" s="855"/>
      <c r="R43" s="855"/>
      <c r="S43" s="855"/>
      <c r="T43" s="855"/>
      <c r="U43" s="855"/>
      <c r="V43" s="855"/>
      <c r="W43" s="855"/>
      <c r="X43" s="855"/>
      <c r="Y43" s="855"/>
      <c r="Z43" s="855"/>
      <c r="AA43" s="855"/>
      <c r="AB43" s="855"/>
      <c r="AC43" s="855"/>
      <c r="AD43" s="855"/>
      <c r="AE43" s="855"/>
      <c r="AF43" s="855"/>
      <c r="AG43" s="855"/>
      <c r="AI43" s="18"/>
      <c r="AJ43" s="18"/>
      <c r="AK43" s="18"/>
      <c r="AL43" s="18"/>
      <c r="AM43" s="18"/>
      <c r="AN43" s="18"/>
      <c r="AO43" s="18"/>
      <c r="AP43" s="18"/>
      <c r="AQ43" s="18"/>
    </row>
    <row r="44" spans="1:43" s="656" customFormat="1" ht="16.5" customHeight="1" x14ac:dyDescent="0.2">
      <c r="A44" s="666"/>
      <c r="C44" s="855"/>
      <c r="D44" s="855"/>
      <c r="E44" s="855"/>
      <c r="F44" s="855"/>
      <c r="G44" s="855"/>
      <c r="H44" s="855"/>
      <c r="I44" s="855"/>
      <c r="J44" s="855"/>
      <c r="K44" s="855"/>
      <c r="L44" s="855"/>
      <c r="M44" s="855"/>
      <c r="N44" s="855"/>
      <c r="O44" s="855"/>
      <c r="P44" s="855"/>
      <c r="Q44" s="855"/>
      <c r="R44" s="855"/>
      <c r="S44" s="855"/>
      <c r="T44" s="855"/>
      <c r="U44" s="855"/>
      <c r="V44" s="855"/>
      <c r="W44" s="855"/>
      <c r="X44" s="855"/>
      <c r="Y44" s="855"/>
      <c r="Z44" s="855"/>
      <c r="AA44" s="855"/>
      <c r="AB44" s="855"/>
      <c r="AC44" s="855"/>
      <c r="AD44" s="855"/>
      <c r="AE44" s="855"/>
      <c r="AF44" s="855"/>
      <c r="AG44" s="855"/>
      <c r="AI44" s="18"/>
      <c r="AJ44" s="18"/>
      <c r="AK44" s="18"/>
      <c r="AL44" s="18"/>
      <c r="AM44" s="18"/>
      <c r="AN44" s="18"/>
      <c r="AO44" s="18"/>
      <c r="AP44" s="18"/>
      <c r="AQ44" s="18"/>
    </row>
    <row r="45" spans="1:43" s="656" customFormat="1" ht="16.5" customHeight="1" x14ac:dyDescent="0.2">
      <c r="A45" s="666"/>
      <c r="C45" s="855"/>
      <c r="D45" s="855"/>
      <c r="E45" s="855"/>
      <c r="F45" s="855"/>
      <c r="G45" s="855"/>
      <c r="H45" s="855"/>
      <c r="I45" s="855"/>
      <c r="J45" s="855"/>
      <c r="K45" s="855"/>
      <c r="L45" s="855"/>
      <c r="M45" s="855"/>
      <c r="N45" s="855"/>
      <c r="O45" s="855"/>
      <c r="P45" s="855"/>
      <c r="Q45" s="855"/>
      <c r="R45" s="855"/>
      <c r="S45" s="855"/>
      <c r="T45" s="855"/>
      <c r="U45" s="855"/>
      <c r="V45" s="855"/>
      <c r="W45" s="855"/>
      <c r="X45" s="855"/>
      <c r="Y45" s="855"/>
      <c r="Z45" s="855"/>
      <c r="AA45" s="855"/>
      <c r="AB45" s="855"/>
      <c r="AC45" s="855"/>
      <c r="AD45" s="855"/>
      <c r="AE45" s="855"/>
      <c r="AF45" s="855"/>
      <c r="AG45" s="855"/>
      <c r="AI45" s="18"/>
      <c r="AJ45" s="18"/>
      <c r="AK45" s="18"/>
      <c r="AL45" s="18"/>
      <c r="AM45" s="18"/>
      <c r="AN45" s="18"/>
      <c r="AO45" s="18"/>
      <c r="AP45" s="18"/>
      <c r="AQ45" s="18"/>
    </row>
    <row r="46" spans="1:43" s="656" customFormat="1" ht="16.5" customHeight="1" x14ac:dyDescent="0.2">
      <c r="A46" s="666"/>
      <c r="C46" s="855"/>
      <c r="D46" s="855"/>
      <c r="E46" s="855"/>
      <c r="F46" s="855"/>
      <c r="G46" s="855"/>
      <c r="H46" s="855"/>
      <c r="I46" s="855"/>
      <c r="J46" s="855"/>
      <c r="K46" s="855"/>
      <c r="L46" s="855"/>
      <c r="M46" s="855"/>
      <c r="N46" s="855"/>
      <c r="O46" s="855"/>
      <c r="P46" s="855"/>
      <c r="Q46" s="855"/>
      <c r="R46" s="855"/>
      <c r="S46" s="855"/>
      <c r="T46" s="855"/>
      <c r="U46" s="855"/>
      <c r="V46" s="855"/>
      <c r="W46" s="855"/>
      <c r="X46" s="855"/>
      <c r="Y46" s="855"/>
      <c r="Z46" s="855"/>
      <c r="AA46" s="855"/>
      <c r="AB46" s="855"/>
      <c r="AC46" s="855"/>
      <c r="AD46" s="855"/>
      <c r="AE46" s="855"/>
      <c r="AF46" s="855"/>
      <c r="AG46" s="855"/>
      <c r="AI46" s="18"/>
      <c r="AJ46" s="18"/>
      <c r="AK46" s="18"/>
      <c r="AL46" s="18"/>
      <c r="AM46" s="18"/>
      <c r="AN46" s="18"/>
      <c r="AO46" s="18"/>
      <c r="AP46" s="18"/>
      <c r="AQ46" s="18"/>
    </row>
    <row r="47" spans="1:43" s="656" customFormat="1" ht="16.5" customHeight="1" x14ac:dyDescent="0.2">
      <c r="A47" s="666"/>
      <c r="C47" s="855"/>
      <c r="D47" s="855"/>
      <c r="E47" s="855"/>
      <c r="F47" s="855"/>
      <c r="G47" s="855"/>
      <c r="H47" s="855"/>
      <c r="I47" s="855"/>
      <c r="J47" s="855"/>
      <c r="K47" s="855"/>
      <c r="L47" s="855"/>
      <c r="M47" s="855"/>
      <c r="N47" s="855"/>
      <c r="O47" s="855"/>
      <c r="P47" s="855"/>
      <c r="Q47" s="855"/>
      <c r="R47" s="855"/>
      <c r="S47" s="855"/>
      <c r="T47" s="855"/>
      <c r="U47" s="855"/>
      <c r="V47" s="855"/>
      <c r="W47" s="855"/>
      <c r="X47" s="855"/>
      <c r="Y47" s="855"/>
      <c r="Z47" s="855"/>
      <c r="AA47" s="855"/>
      <c r="AB47" s="855"/>
      <c r="AC47" s="855"/>
      <c r="AD47" s="855"/>
      <c r="AE47" s="855"/>
      <c r="AF47" s="855"/>
      <c r="AG47" s="855"/>
      <c r="AI47" s="18"/>
      <c r="AJ47" s="18"/>
      <c r="AK47" s="18"/>
      <c r="AL47" s="18"/>
      <c r="AM47" s="18"/>
      <c r="AN47" s="18"/>
      <c r="AO47" s="18"/>
      <c r="AP47" s="18"/>
      <c r="AQ47" s="18"/>
    </row>
    <row r="48" spans="1:43" s="656" customFormat="1" ht="16.5" customHeight="1" x14ac:dyDescent="0.2">
      <c r="A48" s="666"/>
      <c r="C48" s="857" t="s">
        <v>1181</v>
      </c>
      <c r="D48" s="858"/>
      <c r="E48" s="858"/>
      <c r="F48" s="858"/>
      <c r="G48" s="858"/>
      <c r="H48" s="858"/>
      <c r="I48" s="858"/>
      <c r="J48" s="1086" t="s">
        <v>1184</v>
      </c>
      <c r="K48" s="1087"/>
      <c r="L48" s="1087"/>
      <c r="M48" s="1087"/>
      <c r="N48" s="1087"/>
      <c r="O48" s="1087"/>
      <c r="P48" s="1087"/>
      <c r="Q48" s="1088"/>
      <c r="R48" s="1086" t="s">
        <v>1183</v>
      </c>
      <c r="S48" s="1087"/>
      <c r="T48" s="1087"/>
      <c r="U48" s="1087"/>
      <c r="V48" s="1087"/>
      <c r="W48" s="1087"/>
      <c r="X48" s="1087"/>
      <c r="Y48" s="1088"/>
      <c r="Z48" s="1086" t="s">
        <v>1182</v>
      </c>
      <c r="AA48" s="1087"/>
      <c r="AB48" s="1087"/>
      <c r="AC48" s="1087"/>
      <c r="AD48" s="1087"/>
      <c r="AE48" s="1087"/>
      <c r="AF48" s="1087"/>
      <c r="AG48" s="1088"/>
      <c r="AI48" s="18"/>
      <c r="AJ48" s="18"/>
      <c r="AK48" s="18"/>
      <c r="AL48" s="18"/>
      <c r="AM48" s="18"/>
      <c r="AN48" s="18"/>
      <c r="AO48" s="18"/>
      <c r="AP48" s="18"/>
      <c r="AQ48" s="18"/>
    </row>
    <row r="49" spans="1:43" s="656" customFormat="1" ht="16.5" customHeight="1" x14ac:dyDescent="0.2">
      <c r="A49" s="666"/>
      <c r="C49" s="951">
        <v>41696</v>
      </c>
      <c r="D49" s="952"/>
      <c r="E49" s="952"/>
      <c r="F49" s="952"/>
      <c r="G49" s="952"/>
      <c r="H49" s="952"/>
      <c r="I49" s="953"/>
      <c r="J49" s="1089"/>
      <c r="K49" s="1090"/>
      <c r="L49" s="1090"/>
      <c r="M49" s="1090"/>
      <c r="N49" s="1090"/>
      <c r="O49" s="1090"/>
      <c r="P49" s="1090"/>
      <c r="Q49" s="1091"/>
      <c r="R49" s="1089"/>
      <c r="S49" s="1090"/>
      <c r="T49" s="1090"/>
      <c r="U49" s="1090"/>
      <c r="V49" s="1090"/>
      <c r="W49" s="1090"/>
      <c r="X49" s="1090"/>
      <c r="Y49" s="1091"/>
      <c r="Z49" s="1089"/>
      <c r="AA49" s="1090"/>
      <c r="AB49" s="1090"/>
      <c r="AC49" s="1090"/>
      <c r="AD49" s="1090"/>
      <c r="AE49" s="1090"/>
      <c r="AF49" s="1090"/>
      <c r="AG49" s="1091"/>
      <c r="AI49" s="18"/>
      <c r="AJ49" s="18"/>
      <c r="AK49" s="18"/>
      <c r="AL49" s="18"/>
      <c r="AM49" s="18"/>
      <c r="AN49" s="18"/>
      <c r="AO49" s="18"/>
      <c r="AP49" s="18"/>
      <c r="AQ49" s="18"/>
    </row>
    <row r="50" spans="1:43" s="656" customFormat="1" ht="16.5" customHeight="1" x14ac:dyDescent="0.2">
      <c r="A50" s="666"/>
      <c r="C50" s="908"/>
      <c r="D50" s="909"/>
      <c r="E50" s="909"/>
      <c r="F50" s="909"/>
      <c r="G50" s="909"/>
      <c r="H50" s="909"/>
      <c r="I50" s="909"/>
      <c r="J50" s="1089"/>
      <c r="K50" s="1090"/>
      <c r="L50" s="1090"/>
      <c r="M50" s="1090"/>
      <c r="N50" s="1090"/>
      <c r="O50" s="1090"/>
      <c r="P50" s="1090"/>
      <c r="Q50" s="1091"/>
      <c r="R50" s="1089"/>
      <c r="S50" s="1090"/>
      <c r="T50" s="1090"/>
      <c r="U50" s="1090"/>
      <c r="V50" s="1090"/>
      <c r="W50" s="1090"/>
      <c r="X50" s="1090"/>
      <c r="Y50" s="1091"/>
      <c r="Z50" s="1089"/>
      <c r="AA50" s="1090"/>
      <c r="AB50" s="1090"/>
      <c r="AC50" s="1090"/>
      <c r="AD50" s="1090"/>
      <c r="AE50" s="1090"/>
      <c r="AF50" s="1090"/>
      <c r="AG50" s="1091"/>
      <c r="AI50" s="18"/>
      <c r="AJ50" s="18"/>
      <c r="AK50" s="18"/>
      <c r="AL50" s="18"/>
      <c r="AM50" s="18"/>
      <c r="AN50" s="18"/>
      <c r="AO50" s="18"/>
      <c r="AP50" s="18"/>
      <c r="AQ50" s="18"/>
    </row>
    <row r="51" spans="1:43" s="656" customFormat="1" ht="24" customHeight="1" x14ac:dyDescent="0.2">
      <c r="A51" s="666"/>
      <c r="C51" s="859"/>
      <c r="D51" s="860"/>
      <c r="E51" s="860"/>
      <c r="F51" s="860"/>
      <c r="G51" s="860"/>
      <c r="H51" s="860"/>
      <c r="I51" s="860"/>
      <c r="J51" s="1089"/>
      <c r="K51" s="1090"/>
      <c r="L51" s="1090"/>
      <c r="M51" s="1090"/>
      <c r="N51" s="1090"/>
      <c r="O51" s="1090"/>
      <c r="P51" s="1090"/>
      <c r="Q51" s="1091"/>
      <c r="R51" s="1089"/>
      <c r="S51" s="1090"/>
      <c r="T51" s="1090"/>
      <c r="U51" s="1090"/>
      <c r="V51" s="1090"/>
      <c r="W51" s="1090"/>
      <c r="X51" s="1090"/>
      <c r="Y51" s="1091"/>
      <c r="Z51" s="1089"/>
      <c r="AA51" s="1090"/>
      <c r="AB51" s="1090"/>
      <c r="AC51" s="1090"/>
      <c r="AD51" s="1090"/>
      <c r="AE51" s="1090"/>
      <c r="AF51" s="1090"/>
      <c r="AG51" s="1091"/>
      <c r="AI51" s="18"/>
      <c r="AJ51" s="18"/>
      <c r="AK51" s="18"/>
      <c r="AL51" s="18"/>
      <c r="AM51" s="18"/>
      <c r="AN51" s="18"/>
      <c r="AO51" s="18"/>
      <c r="AP51" s="18"/>
      <c r="AQ51" s="18"/>
    </row>
    <row r="52" spans="1:43" s="656" customFormat="1" ht="16.5" customHeight="1" x14ac:dyDescent="0.2">
      <c r="A52" s="666"/>
      <c r="C52" s="857" t="s">
        <v>1185</v>
      </c>
      <c r="D52" s="858"/>
      <c r="E52" s="858"/>
      <c r="F52" s="858"/>
      <c r="G52" s="858"/>
      <c r="H52" s="858"/>
      <c r="I52" s="858"/>
      <c r="J52" s="861"/>
      <c r="K52" s="855"/>
      <c r="L52" s="855"/>
      <c r="M52" s="855"/>
      <c r="N52" s="855"/>
      <c r="O52" s="855"/>
      <c r="P52" s="855"/>
      <c r="Q52" s="855"/>
      <c r="R52" s="861"/>
      <c r="S52" s="855"/>
      <c r="T52" s="855"/>
      <c r="U52" s="855"/>
      <c r="V52" s="855"/>
      <c r="W52" s="855"/>
      <c r="X52" s="855"/>
      <c r="Y52" s="862"/>
      <c r="Z52" s="855"/>
      <c r="AA52" s="855"/>
      <c r="AB52" s="855"/>
      <c r="AC52" s="855"/>
      <c r="AD52" s="855"/>
      <c r="AE52" s="855"/>
      <c r="AF52" s="855"/>
      <c r="AG52" s="862"/>
      <c r="AI52" s="18"/>
      <c r="AJ52" s="18"/>
      <c r="AK52" s="18"/>
      <c r="AL52" s="18"/>
      <c r="AM52" s="18"/>
      <c r="AN52" s="18"/>
      <c r="AO52" s="18"/>
      <c r="AP52" s="18"/>
      <c r="AQ52" s="18"/>
    </row>
    <row r="53" spans="1:43" s="656" customFormat="1" ht="16.5" customHeight="1" x14ac:dyDescent="0.2">
      <c r="A53" s="666"/>
      <c r="C53" s="951">
        <v>41696</v>
      </c>
      <c r="D53" s="952"/>
      <c r="E53" s="952"/>
      <c r="F53" s="952"/>
      <c r="G53" s="952"/>
      <c r="H53" s="952"/>
      <c r="I53" s="953"/>
      <c r="J53" s="861"/>
      <c r="K53" s="855"/>
      <c r="L53" s="855"/>
      <c r="M53" s="910" t="s">
        <v>1676</v>
      </c>
      <c r="N53" s="855"/>
      <c r="O53" s="855"/>
      <c r="P53" s="855"/>
      <c r="Q53" s="855"/>
      <c r="R53" s="861"/>
      <c r="S53" s="855"/>
      <c r="T53" s="855"/>
      <c r="U53" s="910" t="s">
        <v>1677</v>
      </c>
      <c r="V53" s="855"/>
      <c r="W53" s="855"/>
      <c r="X53" s="855"/>
      <c r="Y53" s="862"/>
      <c r="Z53" s="855"/>
      <c r="AA53" s="911" t="s">
        <v>1678</v>
      </c>
      <c r="AB53" s="855"/>
      <c r="AC53" s="855"/>
      <c r="AD53" s="855"/>
      <c r="AE53" s="855"/>
      <c r="AF53" s="855"/>
      <c r="AG53" s="862"/>
      <c r="AI53" s="18"/>
      <c r="AJ53" s="18"/>
      <c r="AK53" s="18"/>
      <c r="AL53" s="18"/>
      <c r="AM53" s="18"/>
      <c r="AN53" s="18"/>
      <c r="AO53" s="18"/>
      <c r="AP53" s="18"/>
      <c r="AQ53" s="18"/>
    </row>
    <row r="54" spans="1:43" s="656" customFormat="1" ht="16.5" customHeight="1" x14ac:dyDescent="0.2">
      <c r="A54" s="666"/>
      <c r="C54" s="859"/>
      <c r="D54" s="860"/>
      <c r="E54" s="860"/>
      <c r="F54" s="860"/>
      <c r="G54" s="860"/>
      <c r="H54" s="860"/>
      <c r="I54" s="860"/>
      <c r="J54" s="1083"/>
      <c r="K54" s="1084"/>
      <c r="L54" s="1084"/>
      <c r="M54" s="1084"/>
      <c r="N54" s="1084"/>
      <c r="O54" s="1084"/>
      <c r="P54" s="1084"/>
      <c r="Q54" s="1085"/>
      <c r="R54" s="1083"/>
      <c r="S54" s="1084"/>
      <c r="T54" s="1084"/>
      <c r="U54" s="1084"/>
      <c r="V54" s="1084"/>
      <c r="W54" s="1084"/>
      <c r="X54" s="1084"/>
      <c r="Y54" s="1085"/>
      <c r="Z54" s="1083"/>
      <c r="AA54" s="1084"/>
      <c r="AB54" s="1084"/>
      <c r="AC54" s="1084"/>
      <c r="AD54" s="1084"/>
      <c r="AE54" s="1084"/>
      <c r="AF54" s="1084"/>
      <c r="AG54" s="1085"/>
      <c r="AI54" s="18"/>
      <c r="AJ54" s="18"/>
      <c r="AK54" s="18"/>
      <c r="AL54" s="18"/>
      <c r="AM54" s="18"/>
      <c r="AN54" s="18"/>
      <c r="AO54" s="18"/>
      <c r="AP54" s="18"/>
      <c r="AQ54" s="18"/>
    </row>
    <row r="55" spans="1:43" s="656" customFormat="1" ht="16.5" customHeight="1" x14ac:dyDescent="0.2">
      <c r="A55" s="666"/>
      <c r="AI55" s="18"/>
      <c r="AJ55" s="18"/>
      <c r="AK55" s="18"/>
      <c r="AL55" s="18"/>
      <c r="AM55" s="18"/>
      <c r="AN55" s="18"/>
      <c r="AO55" s="18"/>
      <c r="AP55" s="18"/>
      <c r="AQ55" s="18"/>
    </row>
    <row r="56" spans="1:43" s="656" customFormat="1" ht="16.5" customHeight="1" x14ac:dyDescent="0.2">
      <c r="A56" s="666"/>
      <c r="C56" s="854" t="s">
        <v>1520</v>
      </c>
      <c r="AI56" s="18"/>
      <c r="AJ56" s="18"/>
      <c r="AK56" s="18"/>
      <c r="AL56" s="18"/>
      <c r="AM56" s="18"/>
      <c r="AN56" s="18"/>
      <c r="AO56" s="18"/>
      <c r="AP56" s="18"/>
      <c r="AQ56" s="18"/>
    </row>
    <row r="57" spans="1:43" s="656" customFormat="1" ht="16.5" customHeight="1" x14ac:dyDescent="0.2">
      <c r="A57" s="666"/>
      <c r="AI57" s="18"/>
      <c r="AJ57" s="18"/>
      <c r="AK57" s="18"/>
      <c r="AL57" s="18"/>
      <c r="AM57" s="18"/>
      <c r="AN57" s="18"/>
      <c r="AO57" s="18"/>
      <c r="AP57" s="18"/>
      <c r="AQ57" s="18"/>
    </row>
    <row r="58" spans="1:43" s="656" customFormat="1" ht="16.5" customHeight="1" x14ac:dyDescent="0.2">
      <c r="A58" s="666"/>
      <c r="AI58" s="18"/>
      <c r="AJ58" s="18"/>
      <c r="AK58" s="18"/>
      <c r="AL58" s="18"/>
      <c r="AM58" s="18"/>
      <c r="AN58" s="18"/>
      <c r="AO58" s="18"/>
      <c r="AP58" s="18"/>
      <c r="AQ58" s="18"/>
    </row>
    <row r="59" spans="1:43" s="656" customFormat="1" x14ac:dyDescent="0.2">
      <c r="A59" s="666"/>
      <c r="D59" s="655" t="s">
        <v>1429</v>
      </c>
      <c r="AI59" s="18"/>
      <c r="AJ59" s="18"/>
      <c r="AK59" s="18"/>
      <c r="AL59" s="18"/>
      <c r="AM59" s="18"/>
      <c r="AN59" s="18"/>
      <c r="AO59" s="18"/>
      <c r="AP59" s="18"/>
      <c r="AQ59" s="18"/>
    </row>
    <row r="60" spans="1:43" s="656" customFormat="1" x14ac:dyDescent="0.2">
      <c r="A60" s="666"/>
      <c r="D60" s="655"/>
      <c r="AI60" s="18"/>
      <c r="AJ60" s="18"/>
      <c r="AK60" s="18"/>
      <c r="AL60" s="18"/>
      <c r="AM60" s="18"/>
      <c r="AN60" s="18"/>
      <c r="AO60" s="18"/>
      <c r="AP60" s="18"/>
      <c r="AQ60" s="18"/>
    </row>
    <row r="61" spans="1:43" s="656" customFormat="1" ht="15" customHeight="1" x14ac:dyDescent="0.2">
      <c r="A61" s="666"/>
      <c r="D61" s="1004" t="s">
        <v>1668</v>
      </c>
      <c r="E61" s="1003"/>
      <c r="F61" s="1003"/>
      <c r="G61" s="1003"/>
      <c r="H61" s="1003"/>
      <c r="I61" s="1003"/>
      <c r="J61" s="1003"/>
      <c r="K61" s="1003"/>
      <c r="L61" s="1003"/>
      <c r="M61" s="1003"/>
      <c r="N61" s="1003"/>
      <c r="O61" s="1003"/>
      <c r="P61" s="1003"/>
      <c r="Q61" s="1003"/>
      <c r="R61" s="1003"/>
      <c r="S61" s="1003"/>
      <c r="T61" s="1003"/>
      <c r="U61" s="1003"/>
      <c r="V61" s="1003"/>
      <c r="W61" s="1003"/>
      <c r="X61" s="1003"/>
      <c r="Y61" s="1003"/>
      <c r="Z61" s="1003"/>
      <c r="AA61" s="1003"/>
      <c r="AB61" s="1003"/>
      <c r="AC61" s="1003"/>
      <c r="AD61" s="1003"/>
      <c r="AE61" s="1003"/>
      <c r="AF61" s="1003"/>
      <c r="AG61" s="1003"/>
      <c r="AI61" s="18"/>
      <c r="AJ61" s="18"/>
      <c r="AK61" s="18"/>
      <c r="AL61" s="18"/>
      <c r="AM61" s="18"/>
      <c r="AN61" s="18"/>
      <c r="AO61" s="18"/>
      <c r="AP61" s="18"/>
      <c r="AQ61" s="18"/>
    </row>
    <row r="62" spans="1:43" s="656" customFormat="1" x14ac:dyDescent="0.2">
      <c r="A62" s="666"/>
      <c r="D62" s="1003"/>
      <c r="E62" s="1003"/>
      <c r="F62" s="1003"/>
      <c r="G62" s="1003"/>
      <c r="H62" s="1003"/>
      <c r="I62" s="1003"/>
      <c r="J62" s="1003"/>
      <c r="K62" s="1003"/>
      <c r="L62" s="1003"/>
      <c r="M62" s="1003"/>
      <c r="N62" s="1003"/>
      <c r="O62" s="1003"/>
      <c r="P62" s="1003"/>
      <c r="Q62" s="1003"/>
      <c r="R62" s="1003"/>
      <c r="S62" s="1003"/>
      <c r="T62" s="1003"/>
      <c r="U62" s="1003"/>
      <c r="V62" s="1003"/>
      <c r="W62" s="1003"/>
      <c r="X62" s="1003"/>
      <c r="Y62" s="1003"/>
      <c r="Z62" s="1003"/>
      <c r="AA62" s="1003"/>
      <c r="AB62" s="1003"/>
      <c r="AC62" s="1003"/>
      <c r="AD62" s="1003"/>
      <c r="AE62" s="1003"/>
      <c r="AF62" s="1003"/>
      <c r="AG62" s="1003"/>
      <c r="AI62" s="18"/>
      <c r="AJ62" s="18"/>
      <c r="AK62" s="18"/>
      <c r="AL62" s="18"/>
      <c r="AM62" s="18"/>
      <c r="AN62" s="18"/>
      <c r="AO62" s="18"/>
      <c r="AP62" s="18"/>
      <c r="AQ62" s="18"/>
    </row>
    <row r="63" spans="1:43" s="656" customFormat="1" x14ac:dyDescent="0.2">
      <c r="A63" s="666"/>
      <c r="D63" s="1003"/>
      <c r="E63" s="1003"/>
      <c r="F63" s="1003"/>
      <c r="G63" s="1003"/>
      <c r="H63" s="1003"/>
      <c r="I63" s="1003"/>
      <c r="J63" s="1003"/>
      <c r="K63" s="1003"/>
      <c r="L63" s="1003"/>
      <c r="M63" s="1003"/>
      <c r="N63" s="1003"/>
      <c r="O63" s="1003"/>
      <c r="P63" s="1003"/>
      <c r="Q63" s="1003"/>
      <c r="R63" s="1003"/>
      <c r="S63" s="1003"/>
      <c r="T63" s="1003"/>
      <c r="U63" s="1003"/>
      <c r="V63" s="1003"/>
      <c r="W63" s="1003"/>
      <c r="X63" s="1003"/>
      <c r="Y63" s="1003"/>
      <c r="Z63" s="1003"/>
      <c r="AA63" s="1003"/>
      <c r="AB63" s="1003"/>
      <c r="AC63" s="1003"/>
      <c r="AD63" s="1003"/>
      <c r="AE63" s="1003"/>
      <c r="AF63" s="1003"/>
      <c r="AG63" s="1003"/>
      <c r="AI63" s="18"/>
      <c r="AJ63" s="18"/>
      <c r="AK63" s="18"/>
      <c r="AL63" s="18"/>
      <c r="AM63" s="18"/>
      <c r="AN63" s="18"/>
      <c r="AO63" s="18"/>
      <c r="AP63" s="18"/>
      <c r="AQ63" s="18"/>
    </row>
    <row r="64" spans="1:43" s="656" customFormat="1" ht="173.25" customHeight="1" x14ac:dyDescent="0.2">
      <c r="A64" s="666"/>
      <c r="D64" s="1003"/>
      <c r="E64" s="1003"/>
      <c r="F64" s="1003"/>
      <c r="G64" s="1003"/>
      <c r="H64" s="1003"/>
      <c r="I64" s="1003"/>
      <c r="J64" s="1003"/>
      <c r="K64" s="1003"/>
      <c r="L64" s="1003"/>
      <c r="M64" s="1003"/>
      <c r="N64" s="1003"/>
      <c r="O64" s="1003"/>
      <c r="P64" s="1003"/>
      <c r="Q64" s="1003"/>
      <c r="R64" s="1003"/>
      <c r="S64" s="1003"/>
      <c r="T64" s="1003"/>
      <c r="U64" s="1003"/>
      <c r="V64" s="1003"/>
      <c r="W64" s="1003"/>
      <c r="X64" s="1003"/>
      <c r="Y64" s="1003"/>
      <c r="Z64" s="1003"/>
      <c r="AA64" s="1003"/>
      <c r="AB64" s="1003"/>
      <c r="AC64" s="1003"/>
      <c r="AD64" s="1003"/>
      <c r="AE64" s="1003"/>
      <c r="AF64" s="1003"/>
      <c r="AG64" s="1003"/>
      <c r="AI64" s="18"/>
      <c r="AJ64" s="18"/>
      <c r="AK64" s="18"/>
      <c r="AL64" s="18"/>
      <c r="AM64" s="18"/>
      <c r="AN64" s="18"/>
      <c r="AO64" s="18"/>
      <c r="AP64" s="18"/>
      <c r="AQ64" s="18"/>
    </row>
    <row r="65" spans="1:43" s="656" customFormat="1" x14ac:dyDescent="0.2">
      <c r="A65" s="666"/>
      <c r="AI65" s="18"/>
      <c r="AJ65" s="18"/>
      <c r="AK65" s="18"/>
      <c r="AL65" s="18"/>
      <c r="AM65" s="18"/>
      <c r="AN65" s="18"/>
      <c r="AO65" s="18"/>
      <c r="AP65" s="18"/>
      <c r="AQ65" s="18"/>
    </row>
    <row r="66" spans="1:43" s="656" customFormat="1" x14ac:dyDescent="0.2">
      <c r="A66" s="666"/>
      <c r="D66" s="665" t="s">
        <v>1424</v>
      </c>
      <c r="AI66" s="18"/>
      <c r="AJ66" s="18"/>
      <c r="AK66" s="18"/>
      <c r="AL66" s="18"/>
      <c r="AM66" s="18"/>
      <c r="AN66" s="18"/>
      <c r="AO66" s="18"/>
      <c r="AP66" s="18"/>
      <c r="AQ66" s="18"/>
    </row>
    <row r="67" spans="1:43" s="656" customFormat="1" ht="15" thickBot="1" x14ac:dyDescent="0.25">
      <c r="A67" s="666"/>
      <c r="AI67" s="18"/>
      <c r="AJ67" s="18"/>
      <c r="AK67" s="18"/>
      <c r="AL67" s="18"/>
      <c r="AM67" s="18"/>
      <c r="AN67" s="18"/>
      <c r="AO67" s="18"/>
      <c r="AP67" s="18"/>
      <c r="AQ67" s="18"/>
    </row>
    <row r="68" spans="1:43" s="656" customFormat="1" ht="34.5" customHeight="1" thickBot="1" x14ac:dyDescent="0.25">
      <c r="A68" s="666">
        <v>1</v>
      </c>
      <c r="D68" s="1069" t="s">
        <v>1</v>
      </c>
      <c r="E68" s="1069"/>
      <c r="F68" s="1069"/>
      <c r="G68" s="1069"/>
      <c r="H68" s="1069"/>
      <c r="I68" s="1069"/>
      <c r="J68" s="1069"/>
      <c r="K68" s="1069"/>
      <c r="L68" s="1069"/>
      <c r="M68" s="1069"/>
      <c r="N68" s="1069"/>
      <c r="O68" s="1069"/>
      <c r="P68" s="1069" t="s">
        <v>2</v>
      </c>
      <c r="Q68" s="1069"/>
      <c r="R68" s="1069"/>
      <c r="S68" s="1069"/>
      <c r="T68" s="1069"/>
      <c r="U68" s="1069"/>
      <c r="V68" s="1069"/>
      <c r="W68" s="1069"/>
      <c r="X68" s="1069"/>
      <c r="Y68" s="1069" t="s">
        <v>3</v>
      </c>
      <c r="Z68" s="1069"/>
      <c r="AA68" s="1069"/>
      <c r="AB68" s="1069"/>
      <c r="AC68" s="1069"/>
      <c r="AD68" s="1069"/>
      <c r="AE68" s="1069"/>
      <c r="AF68" s="1069"/>
      <c r="AG68" s="1069"/>
      <c r="AI68" s="18"/>
      <c r="AJ68" s="18"/>
      <c r="AK68" s="18"/>
      <c r="AL68" s="18"/>
      <c r="AM68" s="18"/>
      <c r="AN68" s="18"/>
      <c r="AO68" s="18"/>
      <c r="AP68" s="18"/>
      <c r="AQ68" s="18"/>
    </row>
    <row r="69" spans="1:43" s="656" customFormat="1" ht="30" customHeight="1" x14ac:dyDescent="0.2">
      <c r="A69" s="666"/>
      <c r="D69" s="1072" t="s">
        <v>4</v>
      </c>
      <c r="E69" s="1072"/>
      <c r="F69" s="1072"/>
      <c r="G69" s="1072"/>
      <c r="H69" s="1072"/>
      <c r="I69" s="1072"/>
      <c r="J69" s="1072"/>
      <c r="K69" s="1072"/>
      <c r="L69" s="1072"/>
      <c r="M69" s="1072"/>
      <c r="N69" s="1072"/>
      <c r="O69" s="1072"/>
      <c r="P69" s="1068">
        <v>44</v>
      </c>
      <c r="Q69" s="1068"/>
      <c r="R69" s="1068"/>
      <c r="S69" s="1068"/>
      <c r="T69" s="1068"/>
      <c r="U69" s="1068"/>
      <c r="V69" s="1068"/>
      <c r="W69" s="1068"/>
      <c r="X69" s="1068"/>
      <c r="Y69" s="1068">
        <v>47</v>
      </c>
      <c r="Z69" s="1068"/>
      <c r="AA69" s="1068"/>
      <c r="AB69" s="1068"/>
      <c r="AC69" s="1068"/>
      <c r="AD69" s="1068"/>
      <c r="AE69" s="1068"/>
      <c r="AF69" s="1068"/>
      <c r="AG69" s="1068"/>
      <c r="AI69" s="18"/>
      <c r="AJ69" s="18"/>
      <c r="AK69" s="18"/>
      <c r="AL69" s="18"/>
      <c r="AM69" s="18"/>
      <c r="AN69" s="18"/>
      <c r="AO69" s="18"/>
      <c r="AP69" s="18"/>
      <c r="AQ69" s="18"/>
    </row>
    <row r="70" spans="1:43" s="656" customFormat="1" ht="30" customHeight="1" x14ac:dyDescent="0.2">
      <c r="A70" s="666"/>
      <c r="D70" s="1071" t="s">
        <v>5</v>
      </c>
      <c r="E70" s="1071"/>
      <c r="F70" s="1071"/>
      <c r="G70" s="1071"/>
      <c r="H70" s="1071"/>
      <c r="I70" s="1071"/>
      <c r="J70" s="1071"/>
      <c r="K70" s="1071"/>
      <c r="L70" s="1071"/>
      <c r="M70" s="1071"/>
      <c r="N70" s="1071"/>
      <c r="O70" s="1071"/>
      <c r="P70" s="1067">
        <v>45</v>
      </c>
      <c r="Q70" s="1067"/>
      <c r="R70" s="1067"/>
      <c r="S70" s="1067"/>
      <c r="T70" s="1067"/>
      <c r="U70" s="1067"/>
      <c r="V70" s="1067"/>
      <c r="W70" s="1067"/>
      <c r="X70" s="1067"/>
      <c r="Y70" s="1067">
        <v>45</v>
      </c>
      <c r="Z70" s="1067"/>
      <c r="AA70" s="1067"/>
      <c r="AB70" s="1067"/>
      <c r="AC70" s="1067"/>
      <c r="AD70" s="1067"/>
      <c r="AE70" s="1067"/>
      <c r="AF70" s="1067"/>
      <c r="AG70" s="1067"/>
      <c r="AI70" s="18"/>
      <c r="AJ70" s="18"/>
      <c r="AK70" s="18"/>
      <c r="AL70" s="18"/>
      <c r="AM70" s="18"/>
      <c r="AN70" s="18"/>
      <c r="AO70" s="18"/>
      <c r="AP70" s="18"/>
      <c r="AQ70" s="18"/>
    </row>
    <row r="71" spans="1:43" s="656" customFormat="1" ht="30" customHeight="1" thickBot="1" x14ac:dyDescent="0.25">
      <c r="A71" s="666"/>
      <c r="D71" s="1070" t="s">
        <v>6</v>
      </c>
      <c r="E71" s="1070"/>
      <c r="F71" s="1070"/>
      <c r="G71" s="1070"/>
      <c r="H71" s="1070"/>
      <c r="I71" s="1070"/>
      <c r="J71" s="1070"/>
      <c r="K71" s="1070"/>
      <c r="L71" s="1070"/>
      <c r="M71" s="1070"/>
      <c r="N71" s="1070"/>
      <c r="O71" s="1070"/>
      <c r="P71" s="1066">
        <v>1</v>
      </c>
      <c r="Q71" s="1066"/>
      <c r="R71" s="1066"/>
      <c r="S71" s="1066"/>
      <c r="T71" s="1066"/>
      <c r="U71" s="1066"/>
      <c r="V71" s="1066"/>
      <c r="W71" s="1066"/>
      <c r="X71" s="1066"/>
      <c r="Y71" s="1066">
        <v>1</v>
      </c>
      <c r="Z71" s="1066"/>
      <c r="AA71" s="1066"/>
      <c r="AB71" s="1066"/>
      <c r="AC71" s="1066"/>
      <c r="AD71" s="1066"/>
      <c r="AE71" s="1066"/>
      <c r="AF71" s="1066"/>
      <c r="AG71" s="1066"/>
      <c r="AI71" s="18"/>
      <c r="AJ71" s="18"/>
      <c r="AK71" s="18"/>
      <c r="AL71" s="18"/>
      <c r="AM71" s="18"/>
      <c r="AN71" s="18"/>
      <c r="AO71" s="18"/>
      <c r="AP71" s="18"/>
      <c r="AQ71" s="18"/>
    </row>
    <row r="72" spans="1:43" s="656" customFormat="1" x14ac:dyDescent="0.2">
      <c r="A72" s="666"/>
      <c r="AI72" s="18"/>
      <c r="AJ72" s="18"/>
      <c r="AK72" s="18"/>
      <c r="AL72" s="18"/>
      <c r="AM72" s="18"/>
      <c r="AN72" s="18"/>
      <c r="AO72" s="18"/>
      <c r="AP72" s="18"/>
      <c r="AQ72" s="18"/>
    </row>
    <row r="73" spans="1:43" s="656" customFormat="1" x14ac:dyDescent="0.2">
      <c r="A73" s="666"/>
      <c r="AI73" s="18"/>
      <c r="AJ73" s="18"/>
      <c r="AK73" s="18"/>
      <c r="AL73" s="18"/>
      <c r="AM73" s="18"/>
      <c r="AN73" s="18"/>
      <c r="AO73" s="18"/>
      <c r="AP73" s="18"/>
      <c r="AQ73" s="18"/>
    </row>
    <row r="74" spans="1:43" s="656" customFormat="1" ht="15" customHeight="1" x14ac:dyDescent="0.2">
      <c r="A74" s="666"/>
      <c r="D74" s="1003" t="s">
        <v>1425</v>
      </c>
      <c r="E74" s="1003"/>
      <c r="F74" s="1003"/>
      <c r="G74" s="1003"/>
      <c r="H74" s="1003"/>
      <c r="I74" s="1003"/>
      <c r="J74" s="1003"/>
      <c r="K74" s="1003"/>
      <c r="L74" s="1003"/>
      <c r="M74" s="1003"/>
      <c r="N74" s="1003"/>
      <c r="O74" s="1003"/>
      <c r="P74" s="1003"/>
      <c r="Q74" s="1003"/>
      <c r="R74" s="1003"/>
      <c r="S74" s="1003"/>
      <c r="T74" s="1003"/>
      <c r="U74" s="1003"/>
      <c r="V74" s="1003"/>
      <c r="W74" s="1003"/>
      <c r="X74" s="1003"/>
      <c r="Y74" s="1003"/>
      <c r="Z74" s="1003"/>
      <c r="AA74" s="1003"/>
      <c r="AB74" s="1003"/>
      <c r="AC74" s="1003"/>
      <c r="AD74" s="1003"/>
      <c r="AE74" s="1003"/>
      <c r="AF74" s="1003"/>
      <c r="AG74" s="1003"/>
      <c r="AI74" s="18"/>
      <c r="AJ74" s="18"/>
      <c r="AK74" s="18"/>
      <c r="AL74" s="18"/>
      <c r="AM74" s="18"/>
      <c r="AN74" s="18"/>
      <c r="AO74" s="18"/>
      <c r="AP74" s="18"/>
      <c r="AQ74" s="18"/>
    </row>
    <row r="75" spans="1:43" s="656" customFormat="1" x14ac:dyDescent="0.2">
      <c r="A75" s="666"/>
      <c r="D75" s="1003"/>
      <c r="E75" s="1003"/>
      <c r="F75" s="1003"/>
      <c r="G75" s="1003"/>
      <c r="H75" s="1003"/>
      <c r="I75" s="1003"/>
      <c r="J75" s="1003"/>
      <c r="K75" s="1003"/>
      <c r="L75" s="1003"/>
      <c r="M75" s="1003"/>
      <c r="N75" s="1003"/>
      <c r="O75" s="1003"/>
      <c r="P75" s="1003"/>
      <c r="Q75" s="1003"/>
      <c r="R75" s="1003"/>
      <c r="S75" s="1003"/>
      <c r="T75" s="1003"/>
      <c r="U75" s="1003"/>
      <c r="V75" s="1003"/>
      <c r="W75" s="1003"/>
      <c r="X75" s="1003"/>
      <c r="Y75" s="1003"/>
      <c r="Z75" s="1003"/>
      <c r="AA75" s="1003"/>
      <c r="AB75" s="1003"/>
      <c r="AC75" s="1003"/>
      <c r="AD75" s="1003"/>
      <c r="AE75" s="1003"/>
      <c r="AF75" s="1003"/>
      <c r="AG75" s="1003"/>
      <c r="AI75" s="18"/>
      <c r="AJ75" s="18"/>
      <c r="AK75" s="18"/>
      <c r="AL75" s="18"/>
      <c r="AM75" s="18"/>
      <c r="AN75" s="18"/>
      <c r="AO75" s="18"/>
      <c r="AP75" s="18"/>
      <c r="AQ75" s="18"/>
    </row>
    <row r="76" spans="1:43" s="656" customFormat="1" ht="15" thickBot="1" x14ac:dyDescent="0.25">
      <c r="A76" s="666"/>
      <c r="AI76" s="18"/>
      <c r="AJ76" s="18"/>
      <c r="AK76" s="18"/>
      <c r="AL76" s="18"/>
      <c r="AM76" s="18"/>
      <c r="AN76" s="18"/>
      <c r="AO76" s="18"/>
      <c r="AP76" s="18"/>
      <c r="AQ76" s="18"/>
    </row>
    <row r="77" spans="1:43" s="656" customFormat="1" ht="24.75" customHeight="1" thickBot="1" x14ac:dyDescent="0.25">
      <c r="A77" s="666" t="s">
        <v>1426</v>
      </c>
      <c r="D77" s="959" t="s">
        <v>9</v>
      </c>
      <c r="E77" s="959"/>
      <c r="F77" s="959"/>
      <c r="G77" s="959"/>
      <c r="H77" s="959"/>
      <c r="I77" s="959"/>
      <c r="J77" s="959"/>
      <c r="K77" s="959"/>
      <c r="L77" s="959"/>
      <c r="M77" s="959"/>
      <c r="N77" s="959" t="s">
        <v>10</v>
      </c>
      <c r="O77" s="959"/>
      <c r="P77" s="959"/>
      <c r="Q77" s="959"/>
      <c r="R77" s="959"/>
      <c r="S77" s="959"/>
      <c r="T77" s="959"/>
      <c r="U77" s="959"/>
      <c r="V77" s="959"/>
      <c r="W77" s="959"/>
      <c r="X77" s="959" t="s">
        <v>11</v>
      </c>
      <c r="Y77" s="959"/>
      <c r="Z77" s="959"/>
      <c r="AA77" s="959"/>
      <c r="AB77" s="959"/>
      <c r="AC77" s="1073" t="s">
        <v>454</v>
      </c>
      <c r="AD77" s="1074"/>
      <c r="AE77" s="1074"/>
      <c r="AF77" s="1074"/>
      <c r="AG77" s="1075"/>
      <c r="AI77" s="18"/>
      <c r="AJ77" s="18"/>
      <c r="AK77" s="18"/>
      <c r="AL77" s="18"/>
      <c r="AM77" s="18"/>
      <c r="AN77" s="18"/>
      <c r="AO77" s="18"/>
      <c r="AP77" s="18"/>
      <c r="AQ77" s="18"/>
    </row>
    <row r="78" spans="1:43" s="656" customFormat="1" ht="24.75" customHeight="1" thickBot="1" x14ac:dyDescent="0.25">
      <c r="A78" s="666"/>
      <c r="D78" s="959"/>
      <c r="E78" s="959"/>
      <c r="F78" s="959"/>
      <c r="G78" s="959"/>
      <c r="H78" s="959"/>
      <c r="I78" s="959"/>
      <c r="J78" s="959"/>
      <c r="K78" s="959"/>
      <c r="L78" s="959"/>
      <c r="M78" s="959"/>
      <c r="N78" s="959" t="s">
        <v>13</v>
      </c>
      <c r="O78" s="959"/>
      <c r="P78" s="959"/>
      <c r="Q78" s="959"/>
      <c r="R78" s="959"/>
      <c r="S78" s="959" t="s">
        <v>12</v>
      </c>
      <c r="T78" s="959"/>
      <c r="U78" s="959"/>
      <c r="V78" s="959"/>
      <c r="W78" s="959"/>
      <c r="X78" s="959"/>
      <c r="Y78" s="959"/>
      <c r="Z78" s="959"/>
      <c r="AA78" s="959"/>
      <c r="AB78" s="959"/>
      <c r="AC78" s="1076"/>
      <c r="AD78" s="1077"/>
      <c r="AE78" s="1077"/>
      <c r="AF78" s="1077"/>
      <c r="AG78" s="1078"/>
      <c r="AI78" s="18"/>
      <c r="AJ78" s="18"/>
      <c r="AK78" s="18"/>
      <c r="AL78" s="18"/>
      <c r="AM78" s="18"/>
      <c r="AN78" s="18"/>
      <c r="AO78" s="18"/>
      <c r="AP78" s="18"/>
      <c r="AQ78" s="18"/>
    </row>
    <row r="79" spans="1:43" s="656" customFormat="1" ht="15.75" customHeight="1" thickBot="1" x14ac:dyDescent="0.25">
      <c r="A79" s="666"/>
      <c r="D79" s="1064" t="s">
        <v>1522</v>
      </c>
      <c r="E79" s="1065"/>
      <c r="F79" s="1065"/>
      <c r="G79" s="1065"/>
      <c r="H79" s="1065"/>
      <c r="I79" s="1065"/>
      <c r="J79" s="1065"/>
      <c r="K79" s="1065"/>
      <c r="L79" s="1065"/>
      <c r="M79" s="1065"/>
      <c r="N79" s="1082">
        <v>17928036</v>
      </c>
      <c r="O79" s="1082"/>
      <c r="P79" s="1082"/>
      <c r="Q79" s="1082"/>
      <c r="R79" s="1082"/>
      <c r="S79" s="1056">
        <v>1</v>
      </c>
      <c r="T79" s="1056"/>
      <c r="U79" s="1056"/>
      <c r="V79" s="1056"/>
      <c r="W79" s="1056"/>
      <c r="X79" s="1056">
        <v>1</v>
      </c>
      <c r="Y79" s="1056"/>
      <c r="Z79" s="1056"/>
      <c r="AA79" s="1056"/>
      <c r="AB79" s="1056"/>
      <c r="AC79" s="1079" t="s">
        <v>1436</v>
      </c>
      <c r="AD79" s="1080"/>
      <c r="AE79" s="1080"/>
      <c r="AF79" s="1080"/>
      <c r="AG79" s="1081"/>
      <c r="AI79" s="18"/>
      <c r="AJ79" s="18"/>
      <c r="AK79" s="18"/>
      <c r="AL79" s="18"/>
      <c r="AM79" s="18"/>
      <c r="AN79" s="18"/>
      <c r="AO79" s="18"/>
      <c r="AP79" s="18"/>
      <c r="AQ79" s="18"/>
    </row>
    <row r="80" spans="1:43" s="656" customFormat="1" ht="15.75" customHeight="1" thickBot="1" x14ac:dyDescent="0.25">
      <c r="A80" s="666"/>
      <c r="D80" s="1058" t="s">
        <v>14</v>
      </c>
      <c r="E80" s="1059"/>
      <c r="F80" s="1059"/>
      <c r="G80" s="1059"/>
      <c r="H80" s="1059"/>
      <c r="I80" s="1059"/>
      <c r="J80" s="1059"/>
      <c r="K80" s="1059"/>
      <c r="L80" s="1059"/>
      <c r="M80" s="1060"/>
      <c r="N80" s="1057">
        <f>SUM(N79:R79)</f>
        <v>17928036</v>
      </c>
      <c r="O80" s="1057"/>
      <c r="P80" s="1057"/>
      <c r="Q80" s="1057"/>
      <c r="R80" s="1057"/>
      <c r="S80" s="1053">
        <f>SUM(S79:W79)</f>
        <v>1</v>
      </c>
      <c r="T80" s="1054"/>
      <c r="U80" s="1054"/>
      <c r="V80" s="1054"/>
      <c r="W80" s="1055"/>
      <c r="X80" s="1053">
        <f>SUM(X79:AB79)</f>
        <v>1</v>
      </c>
      <c r="Y80" s="1054"/>
      <c r="Z80" s="1054"/>
      <c r="AA80" s="1054"/>
      <c r="AB80" s="1055"/>
      <c r="AC80" s="1053">
        <f>SUM(AC79:AG79)</f>
        <v>0</v>
      </c>
      <c r="AD80" s="1054"/>
      <c r="AE80" s="1054"/>
      <c r="AF80" s="1054"/>
      <c r="AG80" s="1055"/>
      <c r="AI80" s="18"/>
      <c r="AJ80" s="18"/>
      <c r="AK80" s="18"/>
      <c r="AL80" s="18"/>
      <c r="AM80" s="18"/>
      <c r="AN80" s="18"/>
      <c r="AO80" s="18"/>
      <c r="AP80" s="18"/>
      <c r="AQ80" s="18"/>
    </row>
    <row r="81" spans="1:43" s="656" customFormat="1" x14ac:dyDescent="0.2">
      <c r="A81" s="666"/>
      <c r="AI81" s="18"/>
      <c r="AJ81" s="18"/>
      <c r="AK81" s="18"/>
      <c r="AL81" s="18"/>
      <c r="AM81" s="18"/>
      <c r="AN81" s="18"/>
      <c r="AO81" s="18"/>
      <c r="AP81" s="18"/>
      <c r="AQ81" s="18"/>
    </row>
    <row r="82" spans="1:43" s="656" customFormat="1" x14ac:dyDescent="0.2">
      <c r="A82" s="666"/>
      <c r="AI82" s="18"/>
      <c r="AJ82" s="18"/>
      <c r="AK82" s="18"/>
      <c r="AL82" s="18"/>
      <c r="AM82" s="18"/>
      <c r="AN82" s="18"/>
      <c r="AO82" s="18"/>
      <c r="AP82" s="18"/>
      <c r="AQ82" s="18"/>
    </row>
    <row r="83" spans="1:43" s="656" customFormat="1" ht="14.25" customHeight="1" x14ac:dyDescent="0.2">
      <c r="A83" s="666"/>
      <c r="D83" s="1047" t="s">
        <v>1667</v>
      </c>
      <c r="E83" s="1048"/>
      <c r="F83" s="1048"/>
      <c r="G83" s="1048"/>
      <c r="H83" s="1048"/>
      <c r="I83" s="1048"/>
      <c r="J83" s="1048"/>
      <c r="K83" s="1048"/>
      <c r="L83" s="1048"/>
      <c r="M83" s="1048"/>
      <c r="N83" s="1048"/>
      <c r="O83" s="1048"/>
      <c r="P83" s="1048"/>
      <c r="Q83" s="1048"/>
      <c r="R83" s="1048"/>
      <c r="S83" s="1048"/>
      <c r="T83" s="1048"/>
      <c r="U83" s="1048"/>
      <c r="V83" s="1048"/>
      <c r="W83" s="1048"/>
      <c r="X83" s="1048"/>
      <c r="Y83" s="1048"/>
      <c r="Z83" s="1048"/>
      <c r="AA83" s="1048"/>
      <c r="AB83" s="1048"/>
      <c r="AC83" s="1048"/>
      <c r="AD83" s="1048"/>
      <c r="AE83" s="1048"/>
      <c r="AF83" s="1048"/>
      <c r="AG83" s="1048"/>
      <c r="AI83" s="18"/>
      <c r="AJ83" s="18"/>
      <c r="AK83" s="18"/>
      <c r="AL83" s="18"/>
      <c r="AM83" s="18"/>
      <c r="AN83" s="18"/>
      <c r="AO83" s="18"/>
      <c r="AP83" s="18"/>
      <c r="AQ83" s="18"/>
    </row>
    <row r="84" spans="1:43" s="656" customFormat="1" x14ac:dyDescent="0.2">
      <c r="A84" s="666"/>
      <c r="D84" s="1048"/>
      <c r="E84" s="1048"/>
      <c r="F84" s="1048"/>
      <c r="G84" s="1048"/>
      <c r="H84" s="1048"/>
      <c r="I84" s="1048"/>
      <c r="J84" s="1048"/>
      <c r="K84" s="1048"/>
      <c r="L84" s="1048"/>
      <c r="M84" s="1048"/>
      <c r="N84" s="1048"/>
      <c r="O84" s="1048"/>
      <c r="P84" s="1048"/>
      <c r="Q84" s="1048"/>
      <c r="R84" s="1048"/>
      <c r="S84" s="1048"/>
      <c r="T84" s="1048"/>
      <c r="U84" s="1048"/>
      <c r="V84" s="1048"/>
      <c r="W84" s="1048"/>
      <c r="X84" s="1048"/>
      <c r="Y84" s="1048"/>
      <c r="Z84" s="1048"/>
      <c r="AA84" s="1048"/>
      <c r="AB84" s="1048"/>
      <c r="AC84" s="1048"/>
      <c r="AD84" s="1048"/>
      <c r="AE84" s="1048"/>
      <c r="AF84" s="1048"/>
      <c r="AG84" s="1048"/>
      <c r="AI84" s="18"/>
      <c r="AJ84" s="18"/>
      <c r="AK84" s="18"/>
      <c r="AL84" s="18"/>
      <c r="AM84" s="18"/>
      <c r="AN84" s="18"/>
      <c r="AO84" s="18"/>
      <c r="AP84" s="18"/>
      <c r="AQ84" s="18"/>
    </row>
    <row r="85" spans="1:43" s="656" customFormat="1" x14ac:dyDescent="0.2">
      <c r="A85" s="666"/>
      <c r="D85" s="1048"/>
      <c r="E85" s="1048"/>
      <c r="F85" s="1048"/>
      <c r="G85" s="1048"/>
      <c r="H85" s="1048"/>
      <c r="I85" s="1048"/>
      <c r="J85" s="1048"/>
      <c r="K85" s="1048"/>
      <c r="L85" s="1048"/>
      <c r="M85" s="1048"/>
      <c r="N85" s="1048"/>
      <c r="O85" s="1048"/>
      <c r="P85" s="1048"/>
      <c r="Q85" s="1048"/>
      <c r="R85" s="1048"/>
      <c r="S85" s="1048"/>
      <c r="T85" s="1048"/>
      <c r="U85" s="1048"/>
      <c r="V85" s="1048"/>
      <c r="W85" s="1048"/>
      <c r="X85" s="1048"/>
      <c r="Y85" s="1048"/>
      <c r="Z85" s="1048"/>
      <c r="AA85" s="1048"/>
      <c r="AB85" s="1048"/>
      <c r="AC85" s="1048"/>
      <c r="AD85" s="1048"/>
      <c r="AE85" s="1048"/>
      <c r="AF85" s="1048"/>
      <c r="AG85" s="1048"/>
      <c r="AI85" s="18"/>
      <c r="AJ85" s="18"/>
      <c r="AK85" s="18"/>
      <c r="AL85" s="18"/>
      <c r="AM85" s="18"/>
      <c r="AN85" s="18"/>
      <c r="AO85" s="18"/>
      <c r="AP85" s="18"/>
      <c r="AQ85" s="18"/>
    </row>
    <row r="86" spans="1:43" s="656" customFormat="1" x14ac:dyDescent="0.2">
      <c r="A86" s="666"/>
      <c r="D86" s="1048"/>
      <c r="E86" s="1048"/>
      <c r="F86" s="1048"/>
      <c r="G86" s="1048"/>
      <c r="H86" s="1048"/>
      <c r="I86" s="1048"/>
      <c r="J86" s="1048"/>
      <c r="K86" s="1048"/>
      <c r="L86" s="1048"/>
      <c r="M86" s="1048"/>
      <c r="N86" s="1048"/>
      <c r="O86" s="1048"/>
      <c r="P86" s="1048"/>
      <c r="Q86" s="1048"/>
      <c r="R86" s="1048"/>
      <c r="S86" s="1048"/>
      <c r="T86" s="1048"/>
      <c r="U86" s="1048"/>
      <c r="V86" s="1048"/>
      <c r="W86" s="1048"/>
      <c r="X86" s="1048"/>
      <c r="Y86" s="1048"/>
      <c r="Z86" s="1048"/>
      <c r="AA86" s="1048"/>
      <c r="AB86" s="1048"/>
      <c r="AC86" s="1048"/>
      <c r="AD86" s="1048"/>
      <c r="AE86" s="1048"/>
      <c r="AF86" s="1048"/>
      <c r="AG86" s="1048"/>
      <c r="AI86" s="18"/>
      <c r="AJ86" s="18"/>
      <c r="AK86" s="18"/>
      <c r="AL86" s="18"/>
      <c r="AM86" s="18"/>
      <c r="AN86" s="18"/>
      <c r="AO86" s="18"/>
      <c r="AP86" s="18"/>
      <c r="AQ86" s="18"/>
    </row>
    <row r="87" spans="1:43" s="656" customFormat="1" x14ac:dyDescent="0.2">
      <c r="A87" s="666"/>
      <c r="AI87" s="18"/>
      <c r="AJ87" s="18"/>
      <c r="AK87" s="18"/>
      <c r="AL87" s="18"/>
      <c r="AM87" s="18"/>
      <c r="AN87" s="18"/>
      <c r="AO87" s="18"/>
      <c r="AP87" s="18"/>
      <c r="AQ87" s="18"/>
    </row>
    <row r="88" spans="1:43" s="656" customFormat="1" ht="14.25" customHeight="1" x14ac:dyDescent="0.2">
      <c r="A88" s="666"/>
      <c r="D88" s="1004" t="s">
        <v>1577</v>
      </c>
      <c r="E88" s="1049"/>
      <c r="F88" s="1049"/>
      <c r="G88" s="1049"/>
      <c r="H88" s="1049"/>
      <c r="I88" s="1049"/>
      <c r="J88" s="1049"/>
      <c r="K88" s="1049"/>
      <c r="L88" s="1049"/>
      <c r="M88" s="1049"/>
      <c r="N88" s="1049"/>
      <c r="O88" s="1049"/>
      <c r="P88" s="1049"/>
      <c r="Q88" s="1049"/>
      <c r="R88" s="1049"/>
      <c r="S88" s="1049"/>
      <c r="T88" s="1049"/>
      <c r="U88" s="1049"/>
      <c r="V88" s="1049"/>
      <c r="W88" s="1049"/>
      <c r="X88" s="1049"/>
      <c r="Y88" s="1049"/>
      <c r="Z88" s="1049"/>
      <c r="AA88" s="1049"/>
      <c r="AB88" s="1049"/>
      <c r="AC88" s="1049"/>
      <c r="AD88" s="1049"/>
      <c r="AE88" s="1049"/>
      <c r="AF88" s="1049"/>
      <c r="AG88" s="1049"/>
      <c r="AI88" s="18"/>
      <c r="AJ88" s="18"/>
      <c r="AK88" s="18"/>
      <c r="AL88" s="18"/>
      <c r="AM88" s="18"/>
      <c r="AN88" s="18"/>
      <c r="AO88" s="18"/>
      <c r="AP88" s="18"/>
      <c r="AQ88" s="18"/>
    </row>
    <row r="89" spans="1:43" s="656" customFormat="1" ht="14.25" customHeight="1" x14ac:dyDescent="0.2">
      <c r="A89" s="666"/>
      <c r="D89" s="1004"/>
      <c r="E89" s="1049"/>
      <c r="F89" s="1049"/>
      <c r="G89" s="1049"/>
      <c r="H89" s="1049"/>
      <c r="I89" s="1049"/>
      <c r="J89" s="1049"/>
      <c r="K89" s="1049"/>
      <c r="L89" s="1049"/>
      <c r="M89" s="1049"/>
      <c r="N89" s="1049"/>
      <c r="O89" s="1049"/>
      <c r="P89" s="1049"/>
      <c r="Q89" s="1049"/>
      <c r="R89" s="1049"/>
      <c r="S89" s="1049"/>
      <c r="T89" s="1049"/>
      <c r="U89" s="1049"/>
      <c r="V89" s="1049"/>
      <c r="W89" s="1049"/>
      <c r="X89" s="1049"/>
      <c r="Y89" s="1049"/>
      <c r="Z89" s="1049"/>
      <c r="AA89" s="1049"/>
      <c r="AB89" s="1049"/>
      <c r="AC89" s="1049"/>
      <c r="AD89" s="1049"/>
      <c r="AE89" s="1049"/>
      <c r="AF89" s="1049"/>
      <c r="AG89" s="1049"/>
      <c r="AI89" s="18"/>
      <c r="AJ89" s="18"/>
      <c r="AK89" s="18"/>
      <c r="AL89" s="18"/>
      <c r="AM89" s="18"/>
      <c r="AN89" s="18"/>
      <c r="AO89" s="18"/>
      <c r="AP89" s="18"/>
      <c r="AQ89" s="18"/>
    </row>
    <row r="90" spans="1:43" s="656" customFormat="1" x14ac:dyDescent="0.2">
      <c r="A90" s="666"/>
      <c r="D90" s="885" t="s">
        <v>1578</v>
      </c>
      <c r="E90" s="659"/>
      <c r="F90" s="659"/>
      <c r="G90" s="659"/>
      <c r="H90" s="659"/>
      <c r="I90" s="659"/>
      <c r="J90" s="659"/>
      <c r="K90" s="659"/>
      <c r="L90" s="659"/>
      <c r="M90" s="659"/>
      <c r="N90" s="659"/>
      <c r="O90" s="659"/>
      <c r="P90" s="659"/>
      <c r="Q90" s="659"/>
      <c r="R90" s="659"/>
      <c r="S90" s="659"/>
      <c r="T90" s="659"/>
      <c r="U90" s="659"/>
      <c r="V90" s="659"/>
      <c r="W90" s="659"/>
      <c r="X90" s="659"/>
      <c r="Y90" s="659"/>
      <c r="Z90" s="659"/>
      <c r="AA90" s="659"/>
      <c r="AB90" s="659"/>
      <c r="AC90" s="659"/>
      <c r="AD90" s="659"/>
      <c r="AE90" s="659"/>
      <c r="AF90" s="659"/>
      <c r="AG90" s="659"/>
      <c r="AI90" s="18"/>
      <c r="AJ90" s="18"/>
      <c r="AK90" s="18"/>
      <c r="AL90" s="18"/>
      <c r="AM90" s="18"/>
      <c r="AN90" s="18"/>
      <c r="AO90" s="18"/>
      <c r="AP90" s="18"/>
      <c r="AQ90" s="18"/>
    </row>
    <row r="91" spans="1:43" s="656" customFormat="1" x14ac:dyDescent="0.2">
      <c r="A91" s="666"/>
      <c r="AI91" s="18"/>
      <c r="AJ91" s="18"/>
      <c r="AK91" s="18"/>
      <c r="AL91" s="18"/>
      <c r="AM91" s="18"/>
      <c r="AN91" s="18"/>
      <c r="AO91" s="18"/>
      <c r="AP91" s="18"/>
      <c r="AQ91" s="18"/>
    </row>
    <row r="92" spans="1:43" s="656" customFormat="1" ht="15" thickBot="1" x14ac:dyDescent="0.25">
      <c r="A92" s="666"/>
      <c r="D92" s="1046" t="s">
        <v>1523</v>
      </c>
      <c r="E92" s="1046"/>
      <c r="F92" s="1046"/>
      <c r="G92" s="1046"/>
      <c r="H92" s="1046"/>
      <c r="I92" s="1046"/>
      <c r="J92" s="1046"/>
      <c r="K92" s="1046"/>
      <c r="L92" s="1046"/>
      <c r="M92" s="1046"/>
      <c r="N92" s="1046"/>
      <c r="O92" s="1046"/>
      <c r="AI92" s="18"/>
      <c r="AJ92" s="18"/>
      <c r="AK92" s="18"/>
      <c r="AL92" s="18"/>
      <c r="AM92" s="18"/>
      <c r="AN92" s="18"/>
      <c r="AO92" s="18"/>
      <c r="AP92" s="18"/>
      <c r="AQ92" s="18"/>
    </row>
    <row r="93" spans="1:43" s="656" customFormat="1" ht="15.75" thickTop="1" thickBot="1" x14ac:dyDescent="0.25">
      <c r="A93" s="666"/>
      <c r="D93" s="880" t="s">
        <v>1524</v>
      </c>
      <c r="E93" s="881"/>
      <c r="F93" s="881"/>
      <c r="G93" s="881"/>
      <c r="H93" s="881"/>
      <c r="I93" s="880" t="s">
        <v>1525</v>
      </c>
      <c r="J93" s="881"/>
      <c r="K93" s="881"/>
      <c r="L93" s="881"/>
      <c r="M93" s="881"/>
      <c r="N93" s="881"/>
      <c r="O93" s="881"/>
      <c r="AI93" s="18"/>
      <c r="AJ93" s="18"/>
      <c r="AK93" s="18"/>
      <c r="AL93" s="18"/>
      <c r="AM93" s="18"/>
      <c r="AN93" s="18"/>
      <c r="AO93" s="18"/>
      <c r="AP93" s="18"/>
      <c r="AQ93" s="18"/>
    </row>
    <row r="94" spans="1:43" s="656" customFormat="1" x14ac:dyDescent="0.2">
      <c r="A94" s="666"/>
      <c r="AI94" s="18"/>
      <c r="AJ94" s="18"/>
      <c r="AK94" s="18"/>
      <c r="AL94" s="18"/>
      <c r="AM94" s="18"/>
      <c r="AN94" s="18"/>
      <c r="AO94" s="18"/>
      <c r="AP94" s="18"/>
      <c r="AQ94" s="18"/>
    </row>
    <row r="95" spans="1:43" s="656" customFormat="1" x14ac:dyDescent="0.2">
      <c r="A95" s="666"/>
      <c r="AI95" s="18"/>
      <c r="AJ95" s="18"/>
      <c r="AK95" s="18"/>
      <c r="AL95" s="18"/>
      <c r="AM95" s="18"/>
      <c r="AN95" s="18"/>
      <c r="AO95" s="18"/>
      <c r="AP95" s="18"/>
      <c r="AQ95" s="18"/>
    </row>
    <row r="96" spans="1:43" s="656" customFormat="1" ht="14.25" customHeight="1" x14ac:dyDescent="0.2">
      <c r="A96" s="666"/>
      <c r="D96" s="1004" t="s">
        <v>1659</v>
      </c>
      <c r="E96" s="1049"/>
      <c r="F96" s="1049"/>
      <c r="G96" s="1049"/>
      <c r="H96" s="1049"/>
      <c r="I96" s="1049"/>
      <c r="J96" s="1049"/>
      <c r="K96" s="1049"/>
      <c r="L96" s="1049"/>
      <c r="M96" s="1049"/>
      <c r="N96" s="1049"/>
      <c r="O96" s="1049"/>
      <c r="P96" s="1049"/>
      <c r="Q96" s="1049"/>
      <c r="R96" s="1049"/>
      <c r="S96" s="1049"/>
      <c r="T96" s="1049"/>
      <c r="U96" s="1049"/>
      <c r="V96" s="1049"/>
      <c r="W96" s="1049"/>
      <c r="X96" s="1049"/>
      <c r="Y96" s="1049"/>
      <c r="Z96" s="1049"/>
      <c r="AA96" s="1049"/>
      <c r="AB96" s="1049"/>
      <c r="AC96" s="1049"/>
      <c r="AD96" s="1049"/>
      <c r="AE96" s="1049"/>
      <c r="AF96" s="1049"/>
      <c r="AG96" s="1049"/>
      <c r="AI96" s="18"/>
      <c r="AJ96" s="18"/>
      <c r="AK96" s="18"/>
      <c r="AL96" s="18"/>
      <c r="AM96" s="18"/>
      <c r="AN96" s="18"/>
      <c r="AO96" s="18"/>
      <c r="AP96" s="18"/>
      <c r="AQ96" s="18"/>
    </row>
    <row r="97" spans="1:43" s="656" customFormat="1" x14ac:dyDescent="0.2">
      <c r="A97" s="666"/>
      <c r="D97" s="1049"/>
      <c r="E97" s="1049"/>
      <c r="F97" s="1049"/>
      <c r="G97" s="1049"/>
      <c r="H97" s="1049"/>
      <c r="I97" s="1049"/>
      <c r="J97" s="1049"/>
      <c r="K97" s="1049"/>
      <c r="L97" s="1049"/>
      <c r="M97" s="1049"/>
      <c r="N97" s="1049"/>
      <c r="O97" s="1049"/>
      <c r="P97" s="1049"/>
      <c r="Q97" s="1049"/>
      <c r="R97" s="1049"/>
      <c r="S97" s="1049"/>
      <c r="T97" s="1049"/>
      <c r="U97" s="1049"/>
      <c r="V97" s="1049"/>
      <c r="W97" s="1049"/>
      <c r="X97" s="1049"/>
      <c r="Y97" s="1049"/>
      <c r="Z97" s="1049"/>
      <c r="AA97" s="1049"/>
      <c r="AB97" s="1049"/>
      <c r="AC97" s="1049"/>
      <c r="AD97" s="1049"/>
      <c r="AE97" s="1049"/>
      <c r="AF97" s="1049"/>
      <c r="AG97" s="1049"/>
      <c r="AI97" s="18"/>
      <c r="AJ97" s="18"/>
      <c r="AK97" s="18"/>
      <c r="AL97" s="18"/>
      <c r="AM97" s="18"/>
      <c r="AN97" s="18"/>
      <c r="AO97" s="18"/>
      <c r="AP97" s="18"/>
      <c r="AQ97" s="18"/>
    </row>
    <row r="98" spans="1:43" s="656" customFormat="1" x14ac:dyDescent="0.2">
      <c r="A98" s="666"/>
      <c r="D98" s="889"/>
      <c r="E98" s="889"/>
      <c r="F98" s="889"/>
      <c r="G98" s="889"/>
      <c r="H98" s="889"/>
      <c r="I98" s="889"/>
      <c r="J98" s="889"/>
      <c r="K98" s="889"/>
      <c r="L98" s="889"/>
      <c r="M98" s="889"/>
      <c r="N98" s="889"/>
      <c r="O98" s="889"/>
      <c r="P98" s="889"/>
      <c r="Q98" s="889"/>
      <c r="R98" s="889"/>
      <c r="S98" s="889"/>
      <c r="T98" s="889"/>
      <c r="U98" s="889"/>
      <c r="V98" s="889"/>
      <c r="W98" s="889"/>
      <c r="X98" s="889"/>
      <c r="Y98" s="889"/>
      <c r="Z98" s="889"/>
      <c r="AA98" s="889"/>
      <c r="AB98" s="889"/>
      <c r="AC98" s="889"/>
      <c r="AD98" s="889"/>
      <c r="AE98" s="889"/>
      <c r="AF98" s="889"/>
      <c r="AG98" s="889"/>
      <c r="AI98" s="18"/>
      <c r="AJ98" s="18"/>
      <c r="AK98" s="18"/>
      <c r="AL98" s="18"/>
      <c r="AM98" s="18"/>
      <c r="AN98" s="18"/>
      <c r="AO98" s="18"/>
      <c r="AP98" s="18"/>
      <c r="AQ98" s="18"/>
    </row>
    <row r="99" spans="1:43" s="656" customFormat="1" x14ac:dyDescent="0.2">
      <c r="A99" s="666"/>
      <c r="D99" s="891"/>
      <c r="E99" s="891"/>
      <c r="F99" s="891"/>
      <c r="G99" s="891"/>
      <c r="H99" s="891"/>
      <c r="I99" s="891"/>
      <c r="J99" s="891"/>
      <c r="K99" s="891"/>
      <c r="L99" s="891"/>
      <c r="M99" s="891"/>
      <c r="N99" s="891"/>
      <c r="O99" s="891"/>
      <c r="P99" s="891"/>
      <c r="Q99" s="891"/>
      <c r="R99" s="891"/>
      <c r="S99" s="891"/>
      <c r="T99" s="891"/>
      <c r="U99" s="891"/>
      <c r="V99" s="891"/>
      <c r="W99" s="891"/>
      <c r="X99" s="891"/>
      <c r="Y99" s="891"/>
      <c r="Z99" s="891"/>
      <c r="AA99" s="891"/>
      <c r="AB99" s="891"/>
      <c r="AC99" s="891"/>
      <c r="AD99" s="891"/>
      <c r="AE99" s="891"/>
      <c r="AF99" s="891"/>
      <c r="AG99" s="891"/>
      <c r="AI99" s="18"/>
      <c r="AJ99" s="18"/>
      <c r="AK99" s="18"/>
      <c r="AL99" s="18"/>
      <c r="AM99" s="18"/>
      <c r="AN99" s="18"/>
      <c r="AO99" s="18"/>
      <c r="AP99" s="18"/>
      <c r="AQ99" s="18"/>
    </row>
    <row r="100" spans="1:43" s="656" customFormat="1" x14ac:dyDescent="0.2">
      <c r="A100" s="666"/>
      <c r="D100" s="891"/>
      <c r="E100" s="891"/>
      <c r="F100" s="891"/>
      <c r="G100" s="891"/>
      <c r="H100" s="891"/>
      <c r="I100" s="891"/>
      <c r="J100" s="891"/>
      <c r="K100" s="891"/>
      <c r="L100" s="891"/>
      <c r="M100" s="891"/>
      <c r="N100" s="891"/>
      <c r="O100" s="891"/>
      <c r="P100" s="891"/>
      <c r="Q100" s="891"/>
      <c r="R100" s="891"/>
      <c r="S100" s="891"/>
      <c r="T100" s="891"/>
      <c r="U100" s="891"/>
      <c r="V100" s="891"/>
      <c r="W100" s="891"/>
      <c r="X100" s="891"/>
      <c r="Y100" s="891"/>
      <c r="Z100" s="891"/>
      <c r="AA100" s="891"/>
      <c r="AB100" s="891"/>
      <c r="AC100" s="891"/>
      <c r="AD100" s="891"/>
      <c r="AE100" s="891"/>
      <c r="AF100" s="891"/>
      <c r="AG100" s="891"/>
      <c r="AI100" s="18"/>
      <c r="AJ100" s="18"/>
      <c r="AK100" s="18"/>
      <c r="AL100" s="18"/>
      <c r="AM100" s="18"/>
      <c r="AN100" s="18"/>
      <c r="AO100" s="18"/>
      <c r="AP100" s="18"/>
      <c r="AQ100" s="18"/>
    </row>
    <row r="101" spans="1:43" s="656" customFormat="1" x14ac:dyDescent="0.2">
      <c r="A101" s="666"/>
      <c r="D101" s="889"/>
      <c r="E101" s="889"/>
      <c r="F101" s="889"/>
      <c r="G101" s="889"/>
      <c r="H101" s="889"/>
      <c r="I101" s="889"/>
      <c r="J101" s="889"/>
      <c r="K101" s="889"/>
      <c r="L101" s="889"/>
      <c r="M101" s="889"/>
      <c r="N101" s="889"/>
      <c r="O101" s="889"/>
      <c r="P101" s="889"/>
      <c r="Q101" s="889"/>
      <c r="R101" s="889"/>
      <c r="S101" s="889"/>
      <c r="T101" s="889"/>
      <c r="U101" s="889"/>
      <c r="V101" s="889"/>
      <c r="W101" s="889"/>
      <c r="X101" s="889"/>
      <c r="Y101" s="889"/>
      <c r="Z101" s="889"/>
      <c r="AA101" s="889"/>
      <c r="AB101" s="889"/>
      <c r="AC101" s="889"/>
      <c r="AD101" s="889"/>
      <c r="AE101" s="889"/>
      <c r="AF101" s="889"/>
      <c r="AG101" s="889"/>
      <c r="AI101" s="18"/>
      <c r="AJ101" s="18"/>
      <c r="AK101" s="18"/>
      <c r="AL101" s="18"/>
      <c r="AM101" s="18"/>
      <c r="AN101" s="18"/>
      <c r="AO101" s="18"/>
      <c r="AP101" s="18"/>
      <c r="AQ101" s="18"/>
    </row>
    <row r="102" spans="1:43" s="656" customFormat="1" x14ac:dyDescent="0.2">
      <c r="A102" s="666"/>
      <c r="D102" s="889"/>
      <c r="E102" s="889"/>
      <c r="F102" s="889"/>
      <c r="G102" s="889"/>
      <c r="H102" s="889"/>
      <c r="I102" s="889"/>
      <c r="J102" s="889"/>
      <c r="K102" s="889"/>
      <c r="L102" s="889"/>
      <c r="M102" s="889"/>
      <c r="N102" s="889"/>
      <c r="O102" s="889"/>
      <c r="P102" s="889"/>
      <c r="Q102" s="889"/>
      <c r="R102" s="889"/>
      <c r="S102" s="889"/>
      <c r="T102" s="889"/>
      <c r="U102" s="889"/>
      <c r="V102" s="889"/>
      <c r="W102" s="889"/>
      <c r="X102" s="889"/>
      <c r="Y102" s="889"/>
      <c r="Z102" s="889"/>
      <c r="AA102" s="889"/>
      <c r="AB102" s="889"/>
      <c r="AC102" s="889"/>
      <c r="AD102" s="889"/>
      <c r="AE102" s="889"/>
      <c r="AF102" s="889"/>
      <c r="AG102" s="889"/>
      <c r="AI102" s="18"/>
      <c r="AJ102" s="18"/>
      <c r="AK102" s="18"/>
      <c r="AL102" s="18"/>
      <c r="AM102" s="18"/>
      <c r="AN102" s="18"/>
      <c r="AO102" s="18"/>
      <c r="AP102" s="18"/>
      <c r="AQ102" s="18"/>
    </row>
    <row r="103" spans="1:43" s="656" customFormat="1" x14ac:dyDescent="0.2">
      <c r="A103" s="666"/>
      <c r="D103" s="660"/>
      <c r="E103" s="660"/>
      <c r="F103" s="660"/>
      <c r="G103" s="660"/>
      <c r="H103" s="660"/>
      <c r="I103" s="660"/>
      <c r="J103" s="660"/>
      <c r="K103" s="660"/>
      <c r="L103" s="660"/>
      <c r="M103" s="660"/>
      <c r="N103" s="660"/>
      <c r="O103" s="660"/>
      <c r="P103" s="660"/>
      <c r="Q103" s="660"/>
      <c r="R103" s="660"/>
      <c r="S103" s="660"/>
      <c r="T103" s="660"/>
      <c r="U103" s="660"/>
      <c r="V103" s="660"/>
      <c r="W103" s="660"/>
      <c r="X103" s="660"/>
      <c r="Y103" s="660"/>
      <c r="Z103" s="660"/>
      <c r="AA103" s="660"/>
      <c r="AB103" s="660"/>
      <c r="AC103" s="660"/>
      <c r="AD103" s="660"/>
      <c r="AE103" s="660"/>
      <c r="AF103" s="660"/>
      <c r="AG103" s="660"/>
      <c r="AI103" s="18"/>
      <c r="AJ103" s="18"/>
      <c r="AK103" s="18"/>
      <c r="AL103" s="18"/>
      <c r="AM103" s="18"/>
      <c r="AN103" s="18"/>
      <c r="AO103" s="18"/>
      <c r="AP103" s="18"/>
      <c r="AQ103" s="18"/>
    </row>
    <row r="104" spans="1:43" s="656" customFormat="1" x14ac:dyDescent="0.2">
      <c r="A104" s="666"/>
      <c r="D104" s="660"/>
      <c r="E104" s="660"/>
      <c r="F104" s="660"/>
      <c r="G104" s="660"/>
      <c r="H104" s="660"/>
      <c r="I104" s="660"/>
      <c r="J104" s="660"/>
      <c r="K104" s="660"/>
      <c r="L104" s="660"/>
      <c r="M104" s="660"/>
      <c r="N104" s="660"/>
      <c r="O104" s="660"/>
      <c r="P104" s="660"/>
      <c r="Q104" s="660"/>
      <c r="R104" s="660"/>
      <c r="S104" s="660"/>
      <c r="T104" s="660"/>
      <c r="U104" s="660"/>
      <c r="V104" s="660"/>
      <c r="W104" s="660"/>
      <c r="X104" s="660"/>
      <c r="Y104" s="660"/>
      <c r="Z104" s="660"/>
      <c r="AA104" s="660"/>
      <c r="AB104" s="660"/>
      <c r="AC104" s="660"/>
      <c r="AD104" s="660"/>
      <c r="AE104" s="660"/>
      <c r="AF104" s="660"/>
      <c r="AG104" s="660"/>
      <c r="AI104" s="18"/>
      <c r="AJ104" s="18"/>
      <c r="AK104" s="18"/>
      <c r="AL104" s="18"/>
      <c r="AM104" s="18"/>
      <c r="AN104" s="18"/>
      <c r="AO104" s="18"/>
      <c r="AP104" s="18"/>
      <c r="AQ104" s="18"/>
    </row>
    <row r="105" spans="1:43" s="656" customFormat="1" x14ac:dyDescent="0.2">
      <c r="A105" s="666"/>
      <c r="D105" s="660"/>
      <c r="E105" s="660"/>
      <c r="F105" s="660"/>
      <c r="G105" s="660"/>
      <c r="H105" s="660"/>
      <c r="I105" s="660"/>
      <c r="J105" s="660"/>
      <c r="K105" s="660"/>
      <c r="L105" s="660"/>
      <c r="M105" s="660"/>
      <c r="N105" s="660"/>
      <c r="O105" s="660"/>
      <c r="P105" s="660"/>
      <c r="Q105" s="660"/>
      <c r="R105" s="660"/>
      <c r="S105" s="660"/>
      <c r="T105" s="660"/>
      <c r="U105" s="660"/>
      <c r="V105" s="660"/>
      <c r="W105" s="660"/>
      <c r="X105" s="660"/>
      <c r="Y105" s="660"/>
      <c r="Z105" s="660"/>
      <c r="AA105" s="660"/>
      <c r="AB105" s="660"/>
      <c r="AC105" s="660"/>
      <c r="AD105" s="660"/>
      <c r="AE105" s="660"/>
      <c r="AF105" s="660"/>
      <c r="AG105" s="660"/>
      <c r="AI105" s="18"/>
      <c r="AJ105" s="18"/>
      <c r="AK105" s="18"/>
      <c r="AL105" s="18"/>
      <c r="AM105" s="18"/>
      <c r="AN105" s="18"/>
      <c r="AO105" s="18"/>
      <c r="AP105" s="18"/>
      <c r="AQ105" s="18"/>
    </row>
    <row r="106" spans="1:43" s="656" customFormat="1" x14ac:dyDescent="0.2">
      <c r="A106" s="666"/>
      <c r="D106" s="655" t="s">
        <v>1428</v>
      </c>
      <c r="AI106" s="18"/>
      <c r="AJ106" s="18"/>
      <c r="AK106" s="18"/>
      <c r="AL106" s="18"/>
      <c r="AM106" s="18"/>
      <c r="AN106" s="18"/>
      <c r="AO106" s="18"/>
      <c r="AP106" s="18"/>
      <c r="AQ106" s="18"/>
    </row>
    <row r="107" spans="1:43" s="656" customFormat="1" x14ac:dyDescent="0.2">
      <c r="A107" s="666"/>
      <c r="AI107" s="18"/>
      <c r="AJ107" s="18"/>
      <c r="AK107" s="18"/>
      <c r="AL107" s="18"/>
      <c r="AM107" s="18"/>
      <c r="AN107" s="18"/>
      <c r="AO107" s="18"/>
      <c r="AP107" s="18"/>
      <c r="AQ107" s="18"/>
    </row>
    <row r="108" spans="1:43" s="656" customFormat="1" x14ac:dyDescent="0.2">
      <c r="A108" s="666"/>
      <c r="D108" s="1004" t="s">
        <v>1660</v>
      </c>
      <c r="E108" s="1003"/>
      <c r="F108" s="1003"/>
      <c r="G108" s="1003"/>
      <c r="H108" s="1003"/>
      <c r="I108" s="1003"/>
      <c r="J108" s="1003"/>
      <c r="K108" s="1003"/>
      <c r="L108" s="1003"/>
      <c r="M108" s="1003"/>
      <c r="N108" s="1003"/>
      <c r="O108" s="1003"/>
      <c r="P108" s="1003"/>
      <c r="Q108" s="1003"/>
      <c r="R108" s="1003"/>
      <c r="S108" s="1003"/>
      <c r="T108" s="1003"/>
      <c r="U108" s="1003"/>
      <c r="V108" s="1003"/>
      <c r="W108" s="1003"/>
      <c r="X108" s="1003"/>
      <c r="Y108" s="1003"/>
      <c r="Z108" s="1003"/>
      <c r="AA108" s="1003"/>
      <c r="AB108" s="1003"/>
      <c r="AC108" s="1003"/>
      <c r="AD108" s="1003"/>
      <c r="AE108" s="1003"/>
      <c r="AF108" s="1003"/>
      <c r="AG108" s="1003"/>
      <c r="AI108" s="18"/>
      <c r="AJ108" s="18"/>
      <c r="AK108" s="18"/>
      <c r="AL108" s="18"/>
      <c r="AM108" s="18"/>
      <c r="AN108" s="18"/>
      <c r="AO108" s="18"/>
      <c r="AP108" s="18"/>
      <c r="AQ108" s="18"/>
    </row>
    <row r="109" spans="1:43" s="656" customFormat="1" x14ac:dyDescent="0.2">
      <c r="A109" s="666"/>
      <c r="D109" s="1003"/>
      <c r="E109" s="1003"/>
      <c r="F109" s="1003"/>
      <c r="G109" s="1003"/>
      <c r="H109" s="1003"/>
      <c r="I109" s="1003"/>
      <c r="J109" s="1003"/>
      <c r="K109" s="1003"/>
      <c r="L109" s="1003"/>
      <c r="M109" s="1003"/>
      <c r="N109" s="1003"/>
      <c r="O109" s="1003"/>
      <c r="P109" s="1003"/>
      <c r="Q109" s="1003"/>
      <c r="R109" s="1003"/>
      <c r="S109" s="1003"/>
      <c r="T109" s="1003"/>
      <c r="U109" s="1003"/>
      <c r="V109" s="1003"/>
      <c r="W109" s="1003"/>
      <c r="X109" s="1003"/>
      <c r="Y109" s="1003"/>
      <c r="Z109" s="1003"/>
      <c r="AA109" s="1003"/>
      <c r="AB109" s="1003"/>
      <c r="AC109" s="1003"/>
      <c r="AD109" s="1003"/>
      <c r="AE109" s="1003"/>
      <c r="AF109" s="1003"/>
      <c r="AG109" s="1003"/>
      <c r="AI109" s="18"/>
      <c r="AJ109" s="18"/>
      <c r="AK109" s="18"/>
      <c r="AL109" s="18"/>
      <c r="AM109" s="18"/>
      <c r="AN109" s="18"/>
      <c r="AO109" s="18"/>
      <c r="AP109" s="18"/>
      <c r="AQ109" s="18"/>
    </row>
    <row r="110" spans="1:43" s="656" customFormat="1" x14ac:dyDescent="0.2">
      <c r="A110" s="666"/>
      <c r="AI110" s="18"/>
      <c r="AJ110" s="18"/>
      <c r="AK110" s="18"/>
      <c r="AL110" s="18"/>
      <c r="AM110" s="18"/>
      <c r="AN110" s="18"/>
      <c r="AO110" s="18"/>
      <c r="AP110" s="18"/>
      <c r="AQ110" s="18"/>
    </row>
    <row r="111" spans="1:43" s="656" customFormat="1" x14ac:dyDescent="0.2">
      <c r="A111" s="666"/>
      <c r="D111" s="1004" t="s">
        <v>1661</v>
      </c>
      <c r="E111" s="1003"/>
      <c r="F111" s="1003"/>
      <c r="G111" s="1003"/>
      <c r="H111" s="1003"/>
      <c r="I111" s="1003"/>
      <c r="J111" s="1003"/>
      <c r="K111" s="1003"/>
      <c r="L111" s="1003"/>
      <c r="M111" s="1003"/>
      <c r="N111" s="1003"/>
      <c r="O111" s="1003"/>
      <c r="P111" s="1003"/>
      <c r="Q111" s="1003"/>
      <c r="R111" s="1003"/>
      <c r="S111" s="1003"/>
      <c r="T111" s="1003"/>
      <c r="U111" s="1003"/>
      <c r="V111" s="1003"/>
      <c r="W111" s="1003"/>
      <c r="X111" s="1003"/>
      <c r="Y111" s="1003"/>
      <c r="Z111" s="1003"/>
      <c r="AA111" s="1003"/>
      <c r="AB111" s="1003"/>
      <c r="AC111" s="1003"/>
      <c r="AD111" s="1003"/>
      <c r="AE111" s="1003"/>
      <c r="AF111" s="1003"/>
      <c r="AG111" s="1003"/>
      <c r="AI111" s="18"/>
      <c r="AJ111" s="18"/>
      <c r="AK111" s="18"/>
      <c r="AL111" s="18"/>
      <c r="AM111" s="18"/>
      <c r="AN111" s="18"/>
      <c r="AO111" s="18"/>
      <c r="AP111" s="18"/>
      <c r="AQ111" s="18"/>
    </row>
    <row r="112" spans="1:43" s="656" customFormat="1" x14ac:dyDescent="0.2">
      <c r="A112" s="666"/>
      <c r="D112" s="1003"/>
      <c r="E112" s="1003"/>
      <c r="F112" s="1003"/>
      <c r="G112" s="1003"/>
      <c r="H112" s="1003"/>
      <c r="I112" s="1003"/>
      <c r="J112" s="1003"/>
      <c r="K112" s="1003"/>
      <c r="L112" s="1003"/>
      <c r="M112" s="1003"/>
      <c r="N112" s="1003"/>
      <c r="O112" s="1003"/>
      <c r="P112" s="1003"/>
      <c r="Q112" s="1003"/>
      <c r="R112" s="1003"/>
      <c r="S112" s="1003"/>
      <c r="T112" s="1003"/>
      <c r="U112" s="1003"/>
      <c r="V112" s="1003"/>
      <c r="W112" s="1003"/>
      <c r="X112" s="1003"/>
      <c r="Y112" s="1003"/>
      <c r="Z112" s="1003"/>
      <c r="AA112" s="1003"/>
      <c r="AB112" s="1003"/>
      <c r="AC112" s="1003"/>
      <c r="AD112" s="1003"/>
      <c r="AE112" s="1003"/>
      <c r="AF112" s="1003"/>
      <c r="AG112" s="1003"/>
      <c r="AI112" s="18"/>
      <c r="AJ112" s="18"/>
      <c r="AK112" s="18"/>
      <c r="AL112" s="18"/>
      <c r="AM112" s="18"/>
      <c r="AN112" s="18"/>
      <c r="AO112" s="18"/>
      <c r="AP112" s="18"/>
      <c r="AQ112" s="18"/>
    </row>
    <row r="113" spans="1:43" s="656" customFormat="1" x14ac:dyDescent="0.2">
      <c r="A113" s="666"/>
      <c r="AI113" s="18"/>
      <c r="AJ113" s="18"/>
      <c r="AK113" s="18"/>
      <c r="AL113" s="18"/>
      <c r="AM113" s="18"/>
      <c r="AN113" s="18"/>
      <c r="AO113" s="18"/>
      <c r="AP113" s="18"/>
      <c r="AQ113" s="18"/>
    </row>
    <row r="114" spans="1:43" s="656" customFormat="1" x14ac:dyDescent="0.2">
      <c r="A114" s="666"/>
      <c r="AI114" s="18"/>
      <c r="AJ114" s="18"/>
      <c r="AK114" s="18"/>
      <c r="AL114" s="18"/>
      <c r="AM114" s="18"/>
      <c r="AN114" s="18"/>
      <c r="AO114" s="18"/>
      <c r="AP114" s="18"/>
      <c r="AQ114" s="18"/>
    </row>
    <row r="115" spans="1:43" s="656" customFormat="1" x14ac:dyDescent="0.2">
      <c r="A115" s="666"/>
      <c r="D115" s="655" t="s">
        <v>1427</v>
      </c>
      <c r="AI115" s="18"/>
      <c r="AJ115" s="18"/>
      <c r="AK115" s="18"/>
      <c r="AL115" s="18"/>
      <c r="AM115" s="18"/>
      <c r="AN115" s="18"/>
      <c r="AO115" s="18"/>
      <c r="AP115" s="18"/>
      <c r="AQ115" s="18"/>
    </row>
    <row r="116" spans="1:43" s="656" customFormat="1" x14ac:dyDescent="0.2">
      <c r="A116" s="666"/>
      <c r="AI116" s="18"/>
      <c r="AJ116" s="18"/>
      <c r="AK116" s="18"/>
      <c r="AL116" s="18"/>
      <c r="AM116" s="18"/>
      <c r="AN116" s="18"/>
      <c r="AO116" s="18"/>
      <c r="AP116" s="18"/>
      <c r="AQ116" s="18"/>
    </row>
    <row r="117" spans="1:43" s="656" customFormat="1" x14ac:dyDescent="0.2">
      <c r="A117" s="666"/>
      <c r="D117" s="1004" t="s">
        <v>1579</v>
      </c>
      <c r="E117" s="1003"/>
      <c r="F117" s="1003"/>
      <c r="G117" s="1003"/>
      <c r="H117" s="1003"/>
      <c r="I117" s="1003"/>
      <c r="J117" s="1003"/>
      <c r="K117" s="1003"/>
      <c r="L117" s="1003"/>
      <c r="M117" s="1003"/>
      <c r="N117" s="1003"/>
      <c r="O117" s="1003"/>
      <c r="P117" s="1003"/>
      <c r="Q117" s="1003"/>
      <c r="R117" s="1003"/>
      <c r="S117" s="1003"/>
      <c r="T117" s="1003"/>
      <c r="U117" s="1003"/>
      <c r="V117" s="1003"/>
      <c r="W117" s="1003"/>
      <c r="X117" s="1003"/>
      <c r="Y117" s="1003"/>
      <c r="Z117" s="1003"/>
      <c r="AA117" s="1003"/>
      <c r="AB117" s="1003"/>
      <c r="AC117" s="1003"/>
      <c r="AD117" s="1003"/>
      <c r="AE117" s="1003"/>
      <c r="AF117" s="1003"/>
      <c r="AG117" s="1003"/>
      <c r="AI117" s="18"/>
      <c r="AJ117" s="18"/>
      <c r="AK117" s="18"/>
      <c r="AL117" s="18"/>
      <c r="AM117" s="18"/>
      <c r="AN117" s="18"/>
      <c r="AO117" s="18"/>
      <c r="AP117" s="18"/>
      <c r="AQ117" s="18"/>
    </row>
    <row r="118" spans="1:43" s="656" customFormat="1" x14ac:dyDescent="0.2">
      <c r="A118" s="666"/>
      <c r="D118" s="1003"/>
      <c r="E118" s="1003"/>
      <c r="F118" s="1003"/>
      <c r="G118" s="1003"/>
      <c r="H118" s="1003"/>
      <c r="I118" s="1003"/>
      <c r="J118" s="1003"/>
      <c r="K118" s="1003"/>
      <c r="L118" s="1003"/>
      <c r="M118" s="1003"/>
      <c r="N118" s="1003"/>
      <c r="O118" s="1003"/>
      <c r="P118" s="1003"/>
      <c r="Q118" s="1003"/>
      <c r="R118" s="1003"/>
      <c r="S118" s="1003"/>
      <c r="T118" s="1003"/>
      <c r="U118" s="1003"/>
      <c r="V118" s="1003"/>
      <c r="W118" s="1003"/>
      <c r="X118" s="1003"/>
      <c r="Y118" s="1003"/>
      <c r="Z118" s="1003"/>
      <c r="AA118" s="1003"/>
      <c r="AB118" s="1003"/>
      <c r="AC118" s="1003"/>
      <c r="AD118" s="1003"/>
      <c r="AE118" s="1003"/>
      <c r="AF118" s="1003"/>
      <c r="AG118" s="1003"/>
      <c r="AI118" s="18"/>
      <c r="AJ118" s="18"/>
      <c r="AK118" s="18"/>
      <c r="AL118" s="18"/>
      <c r="AM118" s="18"/>
      <c r="AN118" s="18"/>
      <c r="AO118" s="18"/>
      <c r="AP118" s="18"/>
      <c r="AQ118" s="18"/>
    </row>
    <row r="119" spans="1:43" s="656" customFormat="1" x14ac:dyDescent="0.2">
      <c r="A119" s="666"/>
      <c r="D119" s="655" t="s">
        <v>1430</v>
      </c>
      <c r="AI119" s="18"/>
      <c r="AJ119" s="18"/>
      <c r="AK119" s="18"/>
      <c r="AL119" s="18"/>
      <c r="AM119" s="18"/>
      <c r="AN119" s="18"/>
      <c r="AO119" s="18"/>
      <c r="AP119" s="18"/>
      <c r="AQ119" s="18"/>
    </row>
    <row r="120" spans="1:43" s="656" customFormat="1" x14ac:dyDescent="0.2">
      <c r="A120" s="666"/>
      <c r="AI120" s="18"/>
      <c r="AJ120" s="18"/>
      <c r="AK120" s="18"/>
      <c r="AL120" s="18"/>
      <c r="AM120" s="18"/>
      <c r="AN120" s="18"/>
      <c r="AO120" s="18"/>
      <c r="AP120" s="18"/>
      <c r="AQ120" s="18"/>
    </row>
    <row r="121" spans="1:43" s="656" customFormat="1" x14ac:dyDescent="0.2">
      <c r="A121" s="666"/>
      <c r="D121" s="1003" t="s">
        <v>1431</v>
      </c>
      <c r="E121" s="1003"/>
      <c r="F121" s="1003"/>
      <c r="G121" s="1003"/>
      <c r="H121" s="1003"/>
      <c r="I121" s="1003"/>
      <c r="J121" s="1003"/>
      <c r="K121" s="1003"/>
      <c r="L121" s="1003"/>
      <c r="M121" s="1003"/>
      <c r="N121" s="1003"/>
      <c r="O121" s="1003"/>
      <c r="P121" s="1003"/>
      <c r="Q121" s="1003"/>
      <c r="R121" s="1003"/>
      <c r="S121" s="1003"/>
      <c r="T121" s="1003"/>
      <c r="U121" s="1003"/>
      <c r="V121" s="1003"/>
      <c r="W121" s="1003"/>
      <c r="X121" s="1003"/>
      <c r="Y121" s="1003"/>
      <c r="Z121" s="1003"/>
      <c r="AA121" s="1003"/>
      <c r="AB121" s="1003"/>
      <c r="AC121" s="1003"/>
      <c r="AD121" s="1003"/>
      <c r="AE121" s="1003"/>
      <c r="AF121" s="1003"/>
      <c r="AG121" s="1003"/>
      <c r="AI121" s="18"/>
      <c r="AJ121" s="18"/>
      <c r="AK121" s="18"/>
      <c r="AL121" s="18"/>
      <c r="AM121" s="18"/>
      <c r="AN121" s="18"/>
      <c r="AO121" s="18"/>
      <c r="AP121" s="18"/>
      <c r="AQ121" s="18"/>
    </row>
    <row r="122" spans="1:43" s="656" customFormat="1" x14ac:dyDescent="0.2">
      <c r="A122" s="666"/>
      <c r="D122" s="1003"/>
      <c r="E122" s="1003"/>
      <c r="F122" s="1003"/>
      <c r="G122" s="1003"/>
      <c r="H122" s="1003"/>
      <c r="I122" s="1003"/>
      <c r="J122" s="1003"/>
      <c r="K122" s="1003"/>
      <c r="L122" s="1003"/>
      <c r="M122" s="1003"/>
      <c r="N122" s="1003"/>
      <c r="O122" s="1003"/>
      <c r="P122" s="1003"/>
      <c r="Q122" s="1003"/>
      <c r="R122" s="1003"/>
      <c r="S122" s="1003"/>
      <c r="T122" s="1003"/>
      <c r="U122" s="1003"/>
      <c r="V122" s="1003"/>
      <c r="W122" s="1003"/>
      <c r="X122" s="1003"/>
      <c r="Y122" s="1003"/>
      <c r="Z122" s="1003"/>
      <c r="AA122" s="1003"/>
      <c r="AB122" s="1003"/>
      <c r="AC122" s="1003"/>
      <c r="AD122" s="1003"/>
      <c r="AE122" s="1003"/>
      <c r="AF122" s="1003"/>
      <c r="AG122" s="1003"/>
      <c r="AI122" s="18"/>
      <c r="AJ122" s="18"/>
      <c r="AK122" s="18"/>
      <c r="AL122" s="18"/>
      <c r="AM122" s="18"/>
      <c r="AN122" s="18"/>
      <c r="AO122" s="18"/>
      <c r="AP122" s="18"/>
      <c r="AQ122" s="18"/>
    </row>
    <row r="123" spans="1:43" s="656" customFormat="1" x14ac:dyDescent="0.2">
      <c r="A123" s="666"/>
      <c r="AI123" s="18"/>
      <c r="AJ123" s="18"/>
      <c r="AK123" s="18"/>
      <c r="AL123" s="18"/>
      <c r="AM123" s="18"/>
      <c r="AN123" s="18"/>
      <c r="AO123" s="18"/>
      <c r="AP123" s="18"/>
      <c r="AQ123" s="18"/>
    </row>
    <row r="124" spans="1:43" s="656" customFormat="1" x14ac:dyDescent="0.2">
      <c r="A124" s="666"/>
      <c r="D124" s="1004" t="s">
        <v>1662</v>
      </c>
      <c r="E124" s="1003"/>
      <c r="F124" s="1003"/>
      <c r="G124" s="1003"/>
      <c r="H124" s="1003"/>
      <c r="I124" s="1003"/>
      <c r="J124" s="1003"/>
      <c r="K124" s="1003"/>
      <c r="L124" s="1003"/>
      <c r="M124" s="1003"/>
      <c r="N124" s="1003"/>
      <c r="O124" s="1003"/>
      <c r="P124" s="1003"/>
      <c r="Q124" s="1003"/>
      <c r="R124" s="1003"/>
      <c r="S124" s="1003"/>
      <c r="T124" s="1003"/>
      <c r="U124" s="1003"/>
      <c r="V124" s="1003"/>
      <c r="W124" s="1003"/>
      <c r="X124" s="1003"/>
      <c r="Y124" s="1003"/>
      <c r="Z124" s="1003"/>
      <c r="AA124" s="1003"/>
      <c r="AB124" s="1003"/>
      <c r="AC124" s="1003"/>
      <c r="AD124" s="1003"/>
      <c r="AE124" s="1003"/>
      <c r="AF124" s="1003"/>
      <c r="AG124" s="1003"/>
      <c r="AI124" s="18"/>
      <c r="AJ124" s="18"/>
      <c r="AK124" s="18"/>
      <c r="AL124" s="18"/>
      <c r="AM124" s="18"/>
      <c r="AN124" s="18"/>
      <c r="AO124" s="18"/>
      <c r="AP124" s="18"/>
      <c r="AQ124" s="18"/>
    </row>
    <row r="125" spans="1:43" s="656" customFormat="1" x14ac:dyDescent="0.2">
      <c r="A125" s="666"/>
      <c r="D125" s="1003"/>
      <c r="E125" s="1003"/>
      <c r="F125" s="1003"/>
      <c r="G125" s="1003"/>
      <c r="H125" s="1003"/>
      <c r="I125" s="1003"/>
      <c r="J125" s="1003"/>
      <c r="K125" s="1003"/>
      <c r="L125" s="1003"/>
      <c r="M125" s="1003"/>
      <c r="N125" s="1003"/>
      <c r="O125" s="1003"/>
      <c r="P125" s="1003"/>
      <c r="Q125" s="1003"/>
      <c r="R125" s="1003"/>
      <c r="S125" s="1003"/>
      <c r="T125" s="1003"/>
      <c r="U125" s="1003"/>
      <c r="V125" s="1003"/>
      <c r="W125" s="1003"/>
      <c r="X125" s="1003"/>
      <c r="Y125" s="1003"/>
      <c r="Z125" s="1003"/>
      <c r="AA125" s="1003"/>
      <c r="AB125" s="1003"/>
      <c r="AC125" s="1003"/>
      <c r="AD125" s="1003"/>
      <c r="AE125" s="1003"/>
      <c r="AF125" s="1003"/>
      <c r="AG125" s="1003"/>
      <c r="AI125" s="18"/>
      <c r="AJ125" s="18"/>
      <c r="AK125" s="18"/>
      <c r="AL125" s="18"/>
      <c r="AM125" s="18"/>
      <c r="AN125" s="18"/>
      <c r="AO125" s="18"/>
      <c r="AP125" s="18"/>
      <c r="AQ125" s="18"/>
    </row>
    <row r="126" spans="1:43" s="656" customFormat="1" x14ac:dyDescent="0.2">
      <c r="A126" s="666"/>
      <c r="AI126" s="18"/>
      <c r="AJ126" s="18"/>
      <c r="AK126" s="18"/>
      <c r="AL126" s="18"/>
      <c r="AM126" s="18"/>
      <c r="AN126" s="18"/>
      <c r="AO126" s="18"/>
      <c r="AP126" s="18"/>
      <c r="AQ126" s="18"/>
    </row>
    <row r="127" spans="1:43" s="656" customFormat="1" x14ac:dyDescent="0.2">
      <c r="A127" s="666"/>
      <c r="D127" s="669" t="s">
        <v>1432</v>
      </c>
      <c r="AI127" s="18"/>
      <c r="AJ127" s="18"/>
      <c r="AK127" s="18"/>
      <c r="AL127" s="18"/>
      <c r="AM127" s="18"/>
      <c r="AN127" s="18"/>
      <c r="AO127" s="18"/>
      <c r="AP127" s="18"/>
      <c r="AQ127" s="18"/>
    </row>
    <row r="128" spans="1:43" s="656" customFormat="1" x14ac:dyDescent="0.2">
      <c r="A128" s="666"/>
      <c r="AI128" s="18"/>
      <c r="AJ128" s="18"/>
      <c r="AK128" s="18"/>
      <c r="AL128" s="18"/>
      <c r="AM128" s="18"/>
      <c r="AN128" s="18"/>
      <c r="AO128" s="18"/>
      <c r="AP128" s="18"/>
      <c r="AQ128" s="18"/>
    </row>
    <row r="129" spans="1:43" s="656" customFormat="1" x14ac:dyDescent="0.2">
      <c r="A129" s="666"/>
      <c r="D129" s="1003" t="s">
        <v>1433</v>
      </c>
      <c r="E129" s="1003"/>
      <c r="F129" s="1003"/>
      <c r="G129" s="1003"/>
      <c r="H129" s="1003"/>
      <c r="I129" s="1003"/>
      <c r="J129" s="1003"/>
      <c r="K129" s="1003"/>
      <c r="L129" s="1003"/>
      <c r="M129" s="1003"/>
      <c r="N129" s="1003"/>
      <c r="O129" s="1003"/>
      <c r="P129" s="1003"/>
      <c r="Q129" s="1003"/>
      <c r="R129" s="1003"/>
      <c r="S129" s="1003"/>
      <c r="T129" s="1003"/>
      <c r="U129" s="1003"/>
      <c r="V129" s="1003"/>
      <c r="W129" s="1003"/>
      <c r="X129" s="1003"/>
      <c r="Y129" s="1003"/>
      <c r="Z129" s="1003"/>
      <c r="AA129" s="1003"/>
      <c r="AB129" s="1003"/>
      <c r="AC129" s="1003"/>
      <c r="AD129" s="1003"/>
      <c r="AE129" s="1003"/>
      <c r="AF129" s="1003"/>
      <c r="AG129" s="1003"/>
      <c r="AI129" s="18"/>
      <c r="AJ129" s="18"/>
      <c r="AK129" s="18"/>
      <c r="AL129" s="18"/>
      <c r="AM129" s="18"/>
      <c r="AN129" s="18"/>
      <c r="AO129" s="18"/>
      <c r="AP129" s="18"/>
      <c r="AQ129" s="18"/>
    </row>
    <row r="130" spans="1:43" s="656" customFormat="1" x14ac:dyDescent="0.2">
      <c r="A130" s="666"/>
      <c r="D130" s="1003"/>
      <c r="E130" s="1003"/>
      <c r="F130" s="1003"/>
      <c r="G130" s="1003"/>
      <c r="H130" s="1003"/>
      <c r="I130" s="1003"/>
      <c r="J130" s="1003"/>
      <c r="K130" s="1003"/>
      <c r="L130" s="1003"/>
      <c r="M130" s="1003"/>
      <c r="N130" s="1003"/>
      <c r="O130" s="1003"/>
      <c r="P130" s="1003"/>
      <c r="Q130" s="1003"/>
      <c r="R130" s="1003"/>
      <c r="S130" s="1003"/>
      <c r="T130" s="1003"/>
      <c r="U130" s="1003"/>
      <c r="V130" s="1003"/>
      <c r="W130" s="1003"/>
      <c r="X130" s="1003"/>
      <c r="Y130" s="1003"/>
      <c r="Z130" s="1003"/>
      <c r="AA130" s="1003"/>
      <c r="AB130" s="1003"/>
      <c r="AC130" s="1003"/>
      <c r="AD130" s="1003"/>
      <c r="AE130" s="1003"/>
      <c r="AF130" s="1003"/>
      <c r="AG130" s="1003"/>
      <c r="AI130" s="18"/>
      <c r="AJ130" s="18"/>
      <c r="AK130" s="18"/>
      <c r="AL130" s="18"/>
      <c r="AM130" s="18"/>
      <c r="AN130" s="18"/>
      <c r="AO130" s="18"/>
      <c r="AP130" s="18"/>
      <c r="AQ130" s="18"/>
    </row>
    <row r="131" spans="1:43" s="656" customFormat="1" x14ac:dyDescent="0.2">
      <c r="A131" s="666"/>
      <c r="D131" s="1003"/>
      <c r="E131" s="1003"/>
      <c r="F131" s="1003"/>
      <c r="G131" s="1003"/>
      <c r="H131" s="1003"/>
      <c r="I131" s="1003"/>
      <c r="J131" s="1003"/>
      <c r="K131" s="1003"/>
      <c r="L131" s="1003"/>
      <c r="M131" s="1003"/>
      <c r="N131" s="1003"/>
      <c r="O131" s="1003"/>
      <c r="P131" s="1003"/>
      <c r="Q131" s="1003"/>
      <c r="R131" s="1003"/>
      <c r="S131" s="1003"/>
      <c r="T131" s="1003"/>
      <c r="U131" s="1003"/>
      <c r="V131" s="1003"/>
      <c r="W131" s="1003"/>
      <c r="X131" s="1003"/>
      <c r="Y131" s="1003"/>
      <c r="Z131" s="1003"/>
      <c r="AA131" s="1003"/>
      <c r="AB131" s="1003"/>
      <c r="AC131" s="1003"/>
      <c r="AD131" s="1003"/>
      <c r="AE131" s="1003"/>
      <c r="AF131" s="1003"/>
      <c r="AG131" s="1003"/>
      <c r="AI131" s="18"/>
      <c r="AJ131" s="18"/>
      <c r="AK131" s="18"/>
      <c r="AL131" s="18"/>
      <c r="AM131" s="18"/>
      <c r="AN131" s="18"/>
      <c r="AO131" s="18"/>
      <c r="AP131" s="18"/>
      <c r="AQ131" s="18"/>
    </row>
    <row r="132" spans="1:43" s="656" customFormat="1" x14ac:dyDescent="0.2">
      <c r="A132" s="666"/>
      <c r="D132" s="670"/>
      <c r="E132" s="670"/>
      <c r="F132" s="670"/>
      <c r="G132" s="670"/>
      <c r="H132" s="670"/>
      <c r="I132" s="670"/>
      <c r="J132" s="670"/>
      <c r="K132" s="670"/>
      <c r="L132" s="670"/>
      <c r="M132" s="670"/>
      <c r="N132" s="670"/>
      <c r="O132" s="670"/>
      <c r="P132" s="670"/>
      <c r="Q132" s="670"/>
      <c r="R132" s="670"/>
      <c r="S132" s="670"/>
      <c r="T132" s="670"/>
      <c r="U132" s="670"/>
      <c r="V132" s="670"/>
      <c r="W132" s="670"/>
      <c r="X132" s="670"/>
      <c r="Y132" s="670"/>
      <c r="Z132" s="670"/>
      <c r="AA132" s="670"/>
      <c r="AB132" s="670"/>
      <c r="AC132" s="670"/>
      <c r="AD132" s="670"/>
      <c r="AI132" s="18"/>
      <c r="AJ132" s="18"/>
      <c r="AK132" s="18"/>
      <c r="AL132" s="18"/>
      <c r="AM132" s="18"/>
      <c r="AN132" s="18"/>
      <c r="AO132" s="18"/>
      <c r="AP132" s="18"/>
      <c r="AQ132" s="18"/>
    </row>
    <row r="133" spans="1:43" s="656" customFormat="1" ht="29.25" customHeight="1" thickBot="1" x14ac:dyDescent="0.25">
      <c r="A133" s="666"/>
      <c r="D133" s="671"/>
      <c r="E133" s="671"/>
      <c r="F133" s="671"/>
      <c r="G133" s="671"/>
      <c r="H133" s="671"/>
      <c r="I133" s="671"/>
      <c r="J133" s="671"/>
      <c r="K133" s="671"/>
      <c r="L133" s="671"/>
      <c r="M133" s="671"/>
      <c r="N133" s="671"/>
      <c r="O133" s="1042" t="s">
        <v>1434</v>
      </c>
      <c r="P133" s="1042"/>
      <c r="Q133" s="1042"/>
      <c r="R133" s="1042"/>
      <c r="S133" s="1042"/>
      <c r="T133" s="1042" t="s">
        <v>1435</v>
      </c>
      <c r="U133" s="1042"/>
      <c r="V133" s="1042"/>
      <c r="W133" s="1042"/>
      <c r="X133" s="1042"/>
      <c r="Y133" s="1042" t="s">
        <v>1495</v>
      </c>
      <c r="Z133" s="1042"/>
      <c r="AA133" s="1042"/>
      <c r="AB133" s="1042"/>
      <c r="AC133" s="1042"/>
      <c r="AI133" s="18"/>
      <c r="AJ133" s="18"/>
      <c r="AK133" s="18"/>
      <c r="AL133" s="18"/>
      <c r="AM133" s="18"/>
      <c r="AN133" s="18"/>
      <c r="AO133" s="18"/>
      <c r="AP133" s="18"/>
      <c r="AQ133" s="18"/>
    </row>
    <row r="134" spans="1:43" s="656" customFormat="1" ht="15" thickBot="1" x14ac:dyDescent="0.25">
      <c r="A134" s="666"/>
      <c r="D134" s="1050" t="s">
        <v>21</v>
      </c>
      <c r="E134" s="1050"/>
      <c r="F134" s="1050"/>
      <c r="G134" s="1050"/>
      <c r="H134" s="1050"/>
      <c r="I134" s="1050"/>
      <c r="J134" s="1050"/>
      <c r="K134" s="1050"/>
      <c r="L134" s="1050"/>
      <c r="M134" s="1050"/>
      <c r="N134" s="1050"/>
      <c r="O134" s="1052">
        <v>4</v>
      </c>
      <c r="P134" s="1052"/>
      <c r="Q134" s="1052"/>
      <c r="R134" s="1052"/>
      <c r="S134" s="1052"/>
      <c r="T134" s="1051">
        <v>0.25</v>
      </c>
      <c r="U134" s="1052"/>
      <c r="V134" s="1052"/>
      <c r="W134" s="1052"/>
      <c r="X134" s="1052"/>
      <c r="Y134" s="1052" t="s">
        <v>1526</v>
      </c>
      <c r="Z134" s="1052"/>
      <c r="AA134" s="1052"/>
      <c r="AB134" s="1052"/>
      <c r="AC134" s="1052"/>
      <c r="AI134" s="18"/>
      <c r="AJ134" s="18"/>
      <c r="AK134" s="18"/>
      <c r="AL134" s="18"/>
      <c r="AM134" s="18"/>
      <c r="AN134" s="18"/>
      <c r="AO134" s="18"/>
      <c r="AP134" s="18"/>
      <c r="AQ134" s="18"/>
    </row>
    <row r="135" spans="1:43" s="656" customFormat="1" x14ac:dyDescent="0.2">
      <c r="A135" s="666"/>
      <c r="D135" s="667"/>
      <c r="AI135" s="18"/>
      <c r="AJ135" s="18"/>
      <c r="AK135" s="18"/>
      <c r="AL135" s="18"/>
      <c r="AM135" s="18"/>
      <c r="AN135" s="18"/>
      <c r="AO135" s="18"/>
      <c r="AP135" s="18"/>
      <c r="AQ135" s="18"/>
    </row>
    <row r="136" spans="1:43" s="656" customFormat="1" x14ac:dyDescent="0.2">
      <c r="A136" s="666"/>
      <c r="D136" s="1003" t="s">
        <v>1438</v>
      </c>
      <c r="E136" s="1003"/>
      <c r="F136" s="1003"/>
      <c r="G136" s="1003"/>
      <c r="H136" s="1003"/>
      <c r="I136" s="1003"/>
      <c r="J136" s="1003"/>
      <c r="K136" s="1003"/>
      <c r="L136" s="1003"/>
      <c r="M136" s="1003"/>
      <c r="N136" s="1003"/>
      <c r="O136" s="1003"/>
      <c r="P136" s="1003"/>
      <c r="Q136" s="1003"/>
      <c r="R136" s="1003"/>
      <c r="S136" s="1003"/>
      <c r="T136" s="1003"/>
      <c r="U136" s="1003"/>
      <c r="V136" s="1003"/>
      <c r="W136" s="1003"/>
      <c r="X136" s="1003"/>
      <c r="Y136" s="1003"/>
      <c r="Z136" s="1003"/>
      <c r="AA136" s="1003"/>
      <c r="AB136" s="1003"/>
      <c r="AC136" s="1003"/>
      <c r="AD136" s="1003"/>
      <c r="AE136" s="1003"/>
      <c r="AF136" s="1003"/>
      <c r="AG136" s="1003"/>
      <c r="AI136" s="18"/>
      <c r="AJ136" s="18"/>
      <c r="AK136" s="18"/>
      <c r="AL136" s="18"/>
      <c r="AM136" s="18"/>
      <c r="AN136" s="18"/>
      <c r="AO136" s="18"/>
      <c r="AP136" s="18"/>
      <c r="AQ136" s="18"/>
    </row>
    <row r="137" spans="1:43" s="656" customFormat="1" x14ac:dyDescent="0.2">
      <c r="A137" s="666"/>
      <c r="D137" s="1003"/>
      <c r="E137" s="1003"/>
      <c r="F137" s="1003"/>
      <c r="G137" s="1003"/>
      <c r="H137" s="1003"/>
      <c r="I137" s="1003"/>
      <c r="J137" s="1003"/>
      <c r="K137" s="1003"/>
      <c r="L137" s="1003"/>
      <c r="M137" s="1003"/>
      <c r="N137" s="1003"/>
      <c r="O137" s="1003"/>
      <c r="P137" s="1003"/>
      <c r="Q137" s="1003"/>
      <c r="R137" s="1003"/>
      <c r="S137" s="1003"/>
      <c r="T137" s="1003"/>
      <c r="U137" s="1003"/>
      <c r="V137" s="1003"/>
      <c r="W137" s="1003"/>
      <c r="X137" s="1003"/>
      <c r="Y137" s="1003"/>
      <c r="Z137" s="1003"/>
      <c r="AA137" s="1003"/>
      <c r="AB137" s="1003"/>
      <c r="AC137" s="1003"/>
      <c r="AD137" s="1003"/>
      <c r="AE137" s="1003"/>
      <c r="AF137" s="1003"/>
      <c r="AG137" s="1003"/>
      <c r="AI137" s="18"/>
      <c r="AJ137" s="18"/>
      <c r="AK137" s="18"/>
      <c r="AL137" s="18"/>
      <c r="AM137" s="18"/>
      <c r="AN137" s="18"/>
      <c r="AO137" s="18"/>
      <c r="AP137" s="18"/>
      <c r="AQ137" s="18"/>
    </row>
    <row r="138" spans="1:43" s="656" customFormat="1" x14ac:dyDescent="0.2">
      <c r="A138" s="666"/>
      <c r="AI138" s="18"/>
      <c r="AJ138" s="18"/>
      <c r="AK138" s="18"/>
      <c r="AL138" s="18"/>
      <c r="AM138" s="18"/>
      <c r="AN138" s="18"/>
      <c r="AO138" s="18"/>
      <c r="AP138" s="18"/>
      <c r="AQ138" s="18"/>
    </row>
    <row r="139" spans="1:43" s="656" customFormat="1" x14ac:dyDescent="0.2">
      <c r="A139" s="666"/>
      <c r="D139" s="655" t="s">
        <v>1439</v>
      </c>
      <c r="AI139" s="18"/>
      <c r="AJ139" s="18"/>
      <c r="AK139" s="18"/>
      <c r="AL139" s="18"/>
      <c r="AM139" s="18"/>
      <c r="AN139" s="18"/>
      <c r="AO139" s="18"/>
      <c r="AP139" s="18"/>
      <c r="AQ139" s="18"/>
    </row>
    <row r="140" spans="1:43" s="656" customFormat="1" x14ac:dyDescent="0.2">
      <c r="A140" s="666"/>
      <c r="AI140" s="18"/>
      <c r="AJ140" s="18"/>
      <c r="AK140" s="18"/>
      <c r="AL140" s="18"/>
      <c r="AM140" s="18"/>
      <c r="AN140" s="18"/>
      <c r="AO140" s="18"/>
      <c r="AP140" s="18"/>
      <c r="AQ140" s="18"/>
    </row>
    <row r="141" spans="1:43" s="656" customFormat="1" x14ac:dyDescent="0.2">
      <c r="A141" s="666"/>
      <c r="D141" s="1003" t="s">
        <v>1440</v>
      </c>
      <c r="E141" s="1003"/>
      <c r="F141" s="1003"/>
      <c r="G141" s="1003"/>
      <c r="H141" s="1003"/>
      <c r="I141" s="1003"/>
      <c r="J141" s="1003"/>
      <c r="K141" s="1003"/>
      <c r="L141" s="1003"/>
      <c r="M141" s="1003"/>
      <c r="N141" s="1003"/>
      <c r="O141" s="1003"/>
      <c r="P141" s="1003"/>
      <c r="Q141" s="1003"/>
      <c r="R141" s="1003"/>
      <c r="S141" s="1003"/>
      <c r="T141" s="1003"/>
      <c r="U141" s="1003"/>
      <c r="V141" s="1003"/>
      <c r="W141" s="1003"/>
      <c r="X141" s="1003"/>
      <c r="Y141" s="1003"/>
      <c r="Z141" s="1003"/>
      <c r="AA141" s="1003"/>
      <c r="AB141" s="1003"/>
      <c r="AC141" s="1003"/>
      <c r="AD141" s="1003"/>
      <c r="AE141" s="1003"/>
      <c r="AF141" s="1003"/>
      <c r="AG141" s="1003"/>
      <c r="AI141" s="18"/>
      <c r="AJ141" s="18"/>
      <c r="AK141" s="18"/>
      <c r="AL141" s="18"/>
      <c r="AM141" s="18"/>
      <c r="AN141" s="18"/>
      <c r="AO141" s="18"/>
      <c r="AP141" s="18"/>
      <c r="AQ141" s="18"/>
    </row>
    <row r="142" spans="1:43" s="656" customFormat="1" x14ac:dyDescent="0.2">
      <c r="A142" s="666"/>
      <c r="D142" s="1003"/>
      <c r="E142" s="1003"/>
      <c r="F142" s="1003"/>
      <c r="G142" s="1003"/>
      <c r="H142" s="1003"/>
      <c r="I142" s="1003"/>
      <c r="J142" s="1003"/>
      <c r="K142" s="1003"/>
      <c r="L142" s="1003"/>
      <c r="M142" s="1003"/>
      <c r="N142" s="1003"/>
      <c r="O142" s="1003"/>
      <c r="P142" s="1003"/>
      <c r="Q142" s="1003"/>
      <c r="R142" s="1003"/>
      <c r="S142" s="1003"/>
      <c r="T142" s="1003"/>
      <c r="U142" s="1003"/>
      <c r="V142" s="1003"/>
      <c r="W142" s="1003"/>
      <c r="X142" s="1003"/>
      <c r="Y142" s="1003"/>
      <c r="Z142" s="1003"/>
      <c r="AA142" s="1003"/>
      <c r="AB142" s="1003"/>
      <c r="AC142" s="1003"/>
      <c r="AD142" s="1003"/>
      <c r="AE142" s="1003"/>
      <c r="AF142" s="1003"/>
      <c r="AG142" s="1003"/>
      <c r="AI142" s="18"/>
      <c r="AJ142" s="18"/>
      <c r="AK142" s="18"/>
      <c r="AL142" s="18"/>
      <c r="AM142" s="18"/>
      <c r="AN142" s="18"/>
      <c r="AO142" s="18"/>
      <c r="AP142" s="18"/>
      <c r="AQ142" s="18"/>
    </row>
    <row r="143" spans="1:43" s="656" customFormat="1" x14ac:dyDescent="0.2">
      <c r="A143" s="666"/>
      <c r="AI143" s="18"/>
      <c r="AJ143" s="18"/>
      <c r="AK143" s="18"/>
      <c r="AL143" s="18"/>
      <c r="AM143" s="18"/>
      <c r="AN143" s="18"/>
      <c r="AO143" s="18"/>
      <c r="AP143" s="18"/>
      <c r="AQ143" s="18"/>
    </row>
    <row r="144" spans="1:43" s="656" customFormat="1" x14ac:dyDescent="0.2">
      <c r="A144" s="666"/>
      <c r="D144" s="1004" t="s">
        <v>1663</v>
      </c>
      <c r="E144" s="1003"/>
      <c r="F144" s="1003"/>
      <c r="G144" s="1003"/>
      <c r="H144" s="1003"/>
      <c r="I144" s="1003"/>
      <c r="J144" s="1003"/>
      <c r="K144" s="1003"/>
      <c r="L144" s="1003"/>
      <c r="M144" s="1003"/>
      <c r="N144" s="1003"/>
      <c r="O144" s="1003"/>
      <c r="P144" s="1003"/>
      <c r="Q144" s="1003"/>
      <c r="R144" s="1003"/>
      <c r="S144" s="1003"/>
      <c r="T144" s="1003"/>
      <c r="U144" s="1003"/>
      <c r="V144" s="1003"/>
      <c r="W144" s="1003"/>
      <c r="X144" s="1003"/>
      <c r="Y144" s="1003"/>
      <c r="Z144" s="1003"/>
      <c r="AA144" s="1003"/>
      <c r="AB144" s="1003"/>
      <c r="AC144" s="1003"/>
      <c r="AD144" s="1003"/>
      <c r="AE144" s="1003"/>
      <c r="AF144" s="1003"/>
      <c r="AG144" s="1003"/>
      <c r="AI144" s="18"/>
      <c r="AJ144" s="18"/>
      <c r="AK144" s="18"/>
      <c r="AL144" s="18"/>
      <c r="AM144" s="18"/>
      <c r="AN144" s="18"/>
      <c r="AO144" s="18"/>
      <c r="AP144" s="18"/>
      <c r="AQ144" s="18"/>
    </row>
    <row r="145" spans="1:43" s="656" customFormat="1" x14ac:dyDescent="0.2">
      <c r="A145" s="666"/>
      <c r="D145" s="1003"/>
      <c r="E145" s="1003"/>
      <c r="F145" s="1003"/>
      <c r="G145" s="1003"/>
      <c r="H145" s="1003"/>
      <c r="I145" s="1003"/>
      <c r="J145" s="1003"/>
      <c r="K145" s="1003"/>
      <c r="L145" s="1003"/>
      <c r="M145" s="1003"/>
      <c r="N145" s="1003"/>
      <c r="O145" s="1003"/>
      <c r="P145" s="1003"/>
      <c r="Q145" s="1003"/>
      <c r="R145" s="1003"/>
      <c r="S145" s="1003"/>
      <c r="T145" s="1003"/>
      <c r="U145" s="1003"/>
      <c r="V145" s="1003"/>
      <c r="W145" s="1003"/>
      <c r="X145" s="1003"/>
      <c r="Y145" s="1003"/>
      <c r="Z145" s="1003"/>
      <c r="AA145" s="1003"/>
      <c r="AB145" s="1003"/>
      <c r="AC145" s="1003"/>
      <c r="AD145" s="1003"/>
      <c r="AE145" s="1003"/>
      <c r="AF145" s="1003"/>
      <c r="AG145" s="1003"/>
      <c r="AI145" s="18"/>
      <c r="AJ145" s="18"/>
      <c r="AK145" s="18"/>
      <c r="AL145" s="18"/>
      <c r="AM145" s="18"/>
      <c r="AN145" s="18"/>
      <c r="AO145" s="18"/>
      <c r="AP145" s="18"/>
      <c r="AQ145" s="18"/>
    </row>
    <row r="146" spans="1:43" s="656" customFormat="1" x14ac:dyDescent="0.2">
      <c r="A146" s="666"/>
      <c r="AI146" s="18"/>
      <c r="AJ146" s="18"/>
      <c r="AK146" s="18"/>
      <c r="AL146" s="18"/>
      <c r="AM146" s="18"/>
      <c r="AN146" s="18"/>
      <c r="AO146" s="18"/>
      <c r="AP146" s="18"/>
      <c r="AQ146" s="18"/>
    </row>
    <row r="147" spans="1:43" s="656" customFormat="1" x14ac:dyDescent="0.2">
      <c r="A147" s="666"/>
      <c r="D147" s="1004" t="s">
        <v>1580</v>
      </c>
      <c r="E147" s="1003"/>
      <c r="F147" s="1003"/>
      <c r="G147" s="1003"/>
      <c r="H147" s="1003"/>
      <c r="I147" s="1003"/>
      <c r="J147" s="1003"/>
      <c r="K147" s="1003"/>
      <c r="L147" s="1003"/>
      <c r="M147" s="1003"/>
      <c r="N147" s="1003"/>
      <c r="O147" s="1003"/>
      <c r="P147" s="1003"/>
      <c r="Q147" s="1003"/>
      <c r="R147" s="1003"/>
      <c r="S147" s="1003"/>
      <c r="T147" s="1003"/>
      <c r="U147" s="1003"/>
      <c r="V147" s="1003"/>
      <c r="W147" s="1003"/>
      <c r="X147" s="1003"/>
      <c r="Y147" s="1003"/>
      <c r="Z147" s="1003"/>
      <c r="AA147" s="1003"/>
      <c r="AB147" s="1003"/>
      <c r="AC147" s="1003"/>
      <c r="AD147" s="1003"/>
      <c r="AE147" s="1003"/>
      <c r="AF147" s="1003"/>
      <c r="AG147" s="1003"/>
      <c r="AI147" s="18"/>
      <c r="AJ147" s="18"/>
      <c r="AK147" s="18"/>
      <c r="AL147" s="18"/>
      <c r="AM147" s="18"/>
      <c r="AN147" s="18"/>
      <c r="AO147" s="18"/>
      <c r="AP147" s="18"/>
      <c r="AQ147" s="18"/>
    </row>
    <row r="148" spans="1:43" s="656" customFormat="1" x14ac:dyDescent="0.2">
      <c r="A148" s="666"/>
      <c r="D148" s="1003"/>
      <c r="E148" s="1003"/>
      <c r="F148" s="1003"/>
      <c r="G148" s="1003"/>
      <c r="H148" s="1003"/>
      <c r="I148" s="1003"/>
      <c r="J148" s="1003"/>
      <c r="K148" s="1003"/>
      <c r="L148" s="1003"/>
      <c r="M148" s="1003"/>
      <c r="N148" s="1003"/>
      <c r="O148" s="1003"/>
      <c r="P148" s="1003"/>
      <c r="Q148" s="1003"/>
      <c r="R148" s="1003"/>
      <c r="S148" s="1003"/>
      <c r="T148" s="1003"/>
      <c r="U148" s="1003"/>
      <c r="V148" s="1003"/>
      <c r="W148" s="1003"/>
      <c r="X148" s="1003"/>
      <c r="Y148" s="1003"/>
      <c r="Z148" s="1003"/>
      <c r="AA148" s="1003"/>
      <c r="AB148" s="1003"/>
      <c r="AC148" s="1003"/>
      <c r="AD148" s="1003"/>
      <c r="AE148" s="1003"/>
      <c r="AF148" s="1003"/>
      <c r="AG148" s="1003"/>
      <c r="AI148" s="18"/>
      <c r="AJ148" s="18"/>
      <c r="AK148" s="18"/>
      <c r="AL148" s="18"/>
      <c r="AM148" s="18"/>
      <c r="AN148" s="18"/>
      <c r="AO148" s="18"/>
      <c r="AP148" s="18"/>
      <c r="AQ148" s="18"/>
    </row>
    <row r="149" spans="1:43" s="656" customFormat="1" x14ac:dyDescent="0.2">
      <c r="A149" s="666"/>
      <c r="AI149" s="18"/>
      <c r="AJ149" s="18"/>
      <c r="AK149" s="18"/>
      <c r="AL149" s="18"/>
      <c r="AM149" s="18"/>
      <c r="AN149" s="18"/>
      <c r="AO149" s="18"/>
      <c r="AP149" s="18"/>
      <c r="AQ149" s="18"/>
    </row>
    <row r="150" spans="1:43" s="656" customFormat="1" x14ac:dyDescent="0.2">
      <c r="A150" s="666"/>
      <c r="D150" s="1003" t="s">
        <v>1441</v>
      </c>
      <c r="E150" s="1003"/>
      <c r="F150" s="1003"/>
      <c r="G150" s="1003"/>
      <c r="H150" s="1003"/>
      <c r="I150" s="1003"/>
      <c r="J150" s="1003"/>
      <c r="K150" s="1003"/>
      <c r="L150" s="1003"/>
      <c r="M150" s="1003"/>
      <c r="N150" s="1003"/>
      <c r="O150" s="1003"/>
      <c r="P150" s="1003"/>
      <c r="Q150" s="1003"/>
      <c r="R150" s="1003"/>
      <c r="S150" s="1003"/>
      <c r="T150" s="1003"/>
      <c r="U150" s="1003"/>
      <c r="V150" s="1003"/>
      <c r="W150" s="1003"/>
      <c r="X150" s="1003"/>
      <c r="Y150" s="1003"/>
      <c r="Z150" s="1003"/>
      <c r="AA150" s="1003"/>
      <c r="AB150" s="1003"/>
      <c r="AC150" s="1003"/>
      <c r="AD150" s="1003"/>
      <c r="AE150" s="1003"/>
      <c r="AF150" s="1003"/>
      <c r="AG150" s="1003"/>
      <c r="AI150" s="18"/>
      <c r="AJ150" s="18"/>
      <c r="AK150" s="18"/>
      <c r="AL150" s="18"/>
      <c r="AM150" s="18"/>
      <c r="AN150" s="18"/>
      <c r="AO150" s="18"/>
      <c r="AP150" s="18"/>
      <c r="AQ150" s="18"/>
    </row>
    <row r="151" spans="1:43" s="656" customFormat="1" x14ac:dyDescent="0.2">
      <c r="A151" s="666"/>
      <c r="D151" s="1003"/>
      <c r="E151" s="1003"/>
      <c r="F151" s="1003"/>
      <c r="G151" s="1003"/>
      <c r="H151" s="1003"/>
      <c r="I151" s="1003"/>
      <c r="J151" s="1003"/>
      <c r="K151" s="1003"/>
      <c r="L151" s="1003"/>
      <c r="M151" s="1003"/>
      <c r="N151" s="1003"/>
      <c r="O151" s="1003"/>
      <c r="P151" s="1003"/>
      <c r="Q151" s="1003"/>
      <c r="R151" s="1003"/>
      <c r="S151" s="1003"/>
      <c r="T151" s="1003"/>
      <c r="U151" s="1003"/>
      <c r="V151" s="1003"/>
      <c r="W151" s="1003"/>
      <c r="X151" s="1003"/>
      <c r="Y151" s="1003"/>
      <c r="Z151" s="1003"/>
      <c r="AA151" s="1003"/>
      <c r="AB151" s="1003"/>
      <c r="AC151" s="1003"/>
      <c r="AD151" s="1003"/>
      <c r="AE151" s="1003"/>
      <c r="AF151" s="1003"/>
      <c r="AG151" s="1003"/>
      <c r="AI151" s="18"/>
      <c r="AJ151" s="18"/>
      <c r="AK151" s="18"/>
      <c r="AL151" s="18"/>
      <c r="AM151" s="18"/>
      <c r="AN151" s="18"/>
      <c r="AO151" s="18"/>
      <c r="AP151" s="18"/>
      <c r="AQ151" s="18"/>
    </row>
    <row r="152" spans="1:43" s="656" customFormat="1" x14ac:dyDescent="0.2">
      <c r="A152" s="666"/>
      <c r="AI152" s="18"/>
      <c r="AJ152" s="18"/>
      <c r="AK152" s="18"/>
      <c r="AL152" s="18"/>
      <c r="AM152" s="18"/>
      <c r="AN152" s="18"/>
      <c r="AO152" s="18"/>
      <c r="AP152" s="18"/>
      <c r="AQ152" s="18"/>
    </row>
    <row r="153" spans="1:43" s="656" customFormat="1" x14ac:dyDescent="0.2">
      <c r="A153" s="666"/>
      <c r="AI153" s="18"/>
      <c r="AJ153" s="18"/>
      <c r="AK153" s="18"/>
      <c r="AL153" s="18"/>
      <c r="AM153" s="18"/>
      <c r="AN153" s="18"/>
      <c r="AO153" s="18"/>
      <c r="AP153" s="18"/>
      <c r="AQ153" s="18"/>
    </row>
    <row r="154" spans="1:43" s="656" customFormat="1" x14ac:dyDescent="0.2">
      <c r="A154" s="666"/>
      <c r="AI154" s="18"/>
      <c r="AJ154" s="18"/>
      <c r="AK154" s="18"/>
      <c r="AL154" s="18"/>
      <c r="AM154" s="18"/>
      <c r="AN154" s="18"/>
      <c r="AO154" s="18"/>
      <c r="AP154" s="18"/>
      <c r="AQ154" s="18"/>
    </row>
    <row r="155" spans="1:43" s="656" customFormat="1" x14ac:dyDescent="0.2">
      <c r="A155" s="666"/>
      <c r="AI155" s="18"/>
      <c r="AJ155" s="18"/>
      <c r="AK155" s="18"/>
      <c r="AL155" s="18"/>
      <c r="AM155" s="18"/>
      <c r="AN155" s="18"/>
      <c r="AO155" s="18"/>
      <c r="AP155" s="18"/>
      <c r="AQ155" s="18"/>
    </row>
    <row r="156" spans="1:43" s="656" customFormat="1" x14ac:dyDescent="0.2">
      <c r="A156" s="666"/>
      <c r="AI156" s="18"/>
      <c r="AJ156" s="18"/>
      <c r="AK156" s="18"/>
      <c r="AL156" s="18"/>
      <c r="AM156" s="18"/>
      <c r="AN156" s="18"/>
      <c r="AO156" s="18"/>
      <c r="AP156" s="18"/>
      <c r="AQ156" s="18"/>
    </row>
    <row r="157" spans="1:43" s="656" customFormat="1" x14ac:dyDescent="0.2">
      <c r="A157" s="666"/>
      <c r="AI157" s="18"/>
      <c r="AJ157" s="18"/>
      <c r="AK157" s="18"/>
      <c r="AL157" s="18"/>
      <c r="AM157" s="18"/>
      <c r="AN157" s="18"/>
      <c r="AO157" s="18"/>
      <c r="AP157" s="18"/>
      <c r="AQ157" s="18"/>
    </row>
    <row r="158" spans="1:43" s="656" customFormat="1" x14ac:dyDescent="0.2">
      <c r="A158" s="666"/>
      <c r="AI158" s="18"/>
      <c r="AJ158" s="18"/>
      <c r="AK158" s="18"/>
      <c r="AL158" s="18"/>
      <c r="AM158" s="18"/>
      <c r="AN158" s="18"/>
      <c r="AO158" s="18"/>
      <c r="AP158" s="18"/>
      <c r="AQ158" s="18"/>
    </row>
    <row r="159" spans="1:43" s="656" customFormat="1" x14ac:dyDescent="0.2">
      <c r="A159" s="666"/>
      <c r="AI159" s="18"/>
      <c r="AJ159" s="18"/>
      <c r="AK159" s="18"/>
      <c r="AL159" s="18"/>
      <c r="AM159" s="18"/>
      <c r="AN159" s="18"/>
      <c r="AO159" s="18"/>
      <c r="AP159" s="18"/>
      <c r="AQ159" s="18"/>
    </row>
    <row r="160" spans="1:43" s="656" customFormat="1" x14ac:dyDescent="0.2">
      <c r="A160" s="666"/>
      <c r="AI160" s="18"/>
      <c r="AJ160" s="18"/>
      <c r="AK160" s="18"/>
      <c r="AL160" s="18"/>
      <c r="AM160" s="18"/>
      <c r="AN160" s="18"/>
      <c r="AO160" s="18"/>
      <c r="AP160" s="18"/>
      <c r="AQ160" s="18"/>
    </row>
    <row r="161" spans="1:43" s="656" customFormat="1" x14ac:dyDescent="0.2">
      <c r="A161" s="666"/>
      <c r="AI161" s="18"/>
      <c r="AJ161" s="18"/>
      <c r="AK161" s="18"/>
      <c r="AL161" s="18"/>
      <c r="AM161" s="18"/>
      <c r="AN161" s="18"/>
      <c r="AO161" s="18"/>
      <c r="AP161" s="18"/>
      <c r="AQ161" s="18"/>
    </row>
    <row r="162" spans="1:43" s="656" customFormat="1" x14ac:dyDescent="0.2">
      <c r="A162" s="666"/>
      <c r="AI162" s="18"/>
      <c r="AJ162" s="18"/>
      <c r="AK162" s="18"/>
      <c r="AL162" s="18"/>
      <c r="AM162" s="18"/>
      <c r="AN162" s="18"/>
      <c r="AO162" s="18"/>
      <c r="AP162" s="18"/>
      <c r="AQ162" s="18"/>
    </row>
    <row r="163" spans="1:43" s="656" customFormat="1" x14ac:dyDescent="0.2">
      <c r="A163" s="666"/>
      <c r="AI163" s="18"/>
      <c r="AJ163" s="18"/>
      <c r="AK163" s="18"/>
      <c r="AL163" s="18"/>
      <c r="AM163" s="18"/>
      <c r="AN163" s="18"/>
      <c r="AO163" s="18"/>
      <c r="AP163" s="18"/>
      <c r="AQ163" s="18"/>
    </row>
    <row r="164" spans="1:43" s="656" customFormat="1" x14ac:dyDescent="0.2">
      <c r="A164" s="666"/>
      <c r="AI164" s="18"/>
      <c r="AJ164" s="18"/>
      <c r="AK164" s="18"/>
      <c r="AL164" s="18"/>
      <c r="AM164" s="18"/>
      <c r="AN164" s="18"/>
      <c r="AO164" s="18"/>
      <c r="AP164" s="18"/>
      <c r="AQ164" s="18"/>
    </row>
    <row r="165" spans="1:43" s="656" customFormat="1" x14ac:dyDescent="0.2">
      <c r="A165" s="666"/>
      <c r="AI165" s="18"/>
      <c r="AJ165" s="18"/>
      <c r="AK165" s="18"/>
      <c r="AL165" s="18"/>
      <c r="AM165" s="18"/>
      <c r="AN165" s="18"/>
      <c r="AO165" s="18"/>
      <c r="AP165" s="18"/>
      <c r="AQ165" s="18"/>
    </row>
    <row r="166" spans="1:43" s="656" customFormat="1" ht="14.1" x14ac:dyDescent="0.3">
      <c r="A166" s="666"/>
      <c r="AI166" s="18"/>
      <c r="AJ166" s="18"/>
      <c r="AK166" s="18"/>
      <c r="AL166" s="18"/>
      <c r="AM166" s="18"/>
      <c r="AN166" s="18"/>
      <c r="AO166" s="18"/>
      <c r="AP166" s="18"/>
      <c r="AQ166" s="18"/>
    </row>
    <row r="167" spans="1:43" s="656" customFormat="1" ht="14.1" x14ac:dyDescent="0.3">
      <c r="A167" s="666"/>
      <c r="AI167" s="18"/>
      <c r="AJ167" s="18"/>
      <c r="AK167" s="18"/>
      <c r="AL167" s="18"/>
      <c r="AM167" s="18"/>
      <c r="AN167" s="18"/>
      <c r="AO167" s="18"/>
      <c r="AP167" s="18"/>
      <c r="AQ167" s="18"/>
    </row>
    <row r="168" spans="1:43" s="656" customFormat="1" x14ac:dyDescent="0.2">
      <c r="A168" s="666"/>
      <c r="D168" s="669" t="s">
        <v>1432</v>
      </c>
      <c r="AI168" s="18"/>
      <c r="AJ168" s="18"/>
      <c r="AK168" s="18"/>
      <c r="AL168" s="18"/>
      <c r="AM168" s="18"/>
      <c r="AN168" s="18"/>
      <c r="AO168" s="18"/>
      <c r="AP168" s="18"/>
      <c r="AQ168" s="18"/>
    </row>
    <row r="169" spans="1:43" s="656" customFormat="1" x14ac:dyDescent="0.2">
      <c r="A169" s="666"/>
      <c r="AI169" s="18"/>
      <c r="AJ169" s="18"/>
      <c r="AK169" s="18"/>
      <c r="AL169" s="18"/>
      <c r="AM169" s="18"/>
      <c r="AN169" s="18"/>
      <c r="AO169" s="18"/>
      <c r="AP169" s="18"/>
      <c r="AQ169" s="18"/>
    </row>
    <row r="170" spans="1:43" s="656" customFormat="1" x14ac:dyDescent="0.2">
      <c r="A170" s="666"/>
      <c r="D170" s="1003" t="s">
        <v>1446</v>
      </c>
      <c r="E170" s="1003"/>
      <c r="F170" s="1003"/>
      <c r="G170" s="1003"/>
      <c r="H170" s="1003"/>
      <c r="I170" s="1003"/>
      <c r="J170" s="1003"/>
      <c r="K170" s="1003"/>
      <c r="L170" s="1003"/>
      <c r="M170" s="1003"/>
      <c r="N170" s="1003"/>
      <c r="O170" s="1003"/>
      <c r="P170" s="1003"/>
      <c r="Q170" s="1003"/>
      <c r="R170" s="1003"/>
      <c r="S170" s="1003"/>
      <c r="T170" s="1003"/>
      <c r="U170" s="1003"/>
      <c r="V170" s="1003"/>
      <c r="W170" s="1003"/>
      <c r="X170" s="1003"/>
      <c r="Y170" s="1003"/>
      <c r="Z170" s="1003"/>
      <c r="AA170" s="1003"/>
      <c r="AB170" s="1003"/>
      <c r="AC170" s="1003"/>
      <c r="AD170" s="1003"/>
      <c r="AE170" s="1003"/>
      <c r="AF170" s="1003"/>
      <c r="AG170" s="1003"/>
      <c r="AI170" s="18"/>
      <c r="AJ170" s="18"/>
      <c r="AK170" s="18"/>
      <c r="AL170" s="18"/>
      <c r="AM170" s="18"/>
      <c r="AN170" s="18"/>
      <c r="AO170" s="18"/>
      <c r="AP170" s="18"/>
      <c r="AQ170" s="18"/>
    </row>
    <row r="171" spans="1:43" s="656" customFormat="1" x14ac:dyDescent="0.2">
      <c r="A171" s="666"/>
      <c r="D171" s="1003"/>
      <c r="E171" s="1003"/>
      <c r="F171" s="1003"/>
      <c r="G171" s="1003"/>
      <c r="H171" s="1003"/>
      <c r="I171" s="1003"/>
      <c r="J171" s="1003"/>
      <c r="K171" s="1003"/>
      <c r="L171" s="1003"/>
      <c r="M171" s="1003"/>
      <c r="N171" s="1003"/>
      <c r="O171" s="1003"/>
      <c r="P171" s="1003"/>
      <c r="Q171" s="1003"/>
      <c r="R171" s="1003"/>
      <c r="S171" s="1003"/>
      <c r="T171" s="1003"/>
      <c r="U171" s="1003"/>
      <c r="V171" s="1003"/>
      <c r="W171" s="1003"/>
      <c r="X171" s="1003"/>
      <c r="Y171" s="1003"/>
      <c r="Z171" s="1003"/>
      <c r="AA171" s="1003"/>
      <c r="AB171" s="1003"/>
      <c r="AC171" s="1003"/>
      <c r="AD171" s="1003"/>
      <c r="AE171" s="1003"/>
      <c r="AF171" s="1003"/>
      <c r="AG171" s="1003"/>
      <c r="AI171" s="18"/>
      <c r="AJ171" s="18"/>
      <c r="AK171" s="18"/>
      <c r="AL171" s="18"/>
      <c r="AM171" s="18"/>
      <c r="AN171" s="18"/>
      <c r="AO171" s="18"/>
      <c r="AP171" s="18"/>
      <c r="AQ171" s="18"/>
    </row>
    <row r="172" spans="1:43" s="656" customFormat="1" x14ac:dyDescent="0.2">
      <c r="A172" s="666"/>
      <c r="D172" s="888"/>
      <c r="E172" s="888"/>
      <c r="F172" s="888"/>
      <c r="G172" s="888"/>
      <c r="H172" s="888"/>
      <c r="I172" s="888"/>
      <c r="J172" s="888"/>
      <c r="K172" s="888"/>
      <c r="L172" s="888"/>
      <c r="M172" s="888"/>
      <c r="N172" s="888"/>
      <c r="O172" s="888"/>
      <c r="P172" s="888"/>
      <c r="Q172" s="888"/>
      <c r="R172" s="888"/>
      <c r="S172" s="888"/>
      <c r="T172" s="888"/>
      <c r="U172" s="888"/>
      <c r="V172" s="888"/>
      <c r="W172" s="888"/>
      <c r="X172" s="888"/>
      <c r="Y172" s="888"/>
      <c r="Z172" s="888"/>
      <c r="AA172" s="888"/>
      <c r="AB172" s="888"/>
      <c r="AC172" s="888"/>
      <c r="AD172" s="888"/>
      <c r="AE172" s="888"/>
      <c r="AF172" s="888"/>
      <c r="AG172" s="888"/>
      <c r="AI172" s="18"/>
      <c r="AJ172" s="18"/>
      <c r="AK172" s="18"/>
      <c r="AL172" s="18"/>
      <c r="AM172" s="18"/>
      <c r="AN172" s="18"/>
      <c r="AO172" s="18"/>
      <c r="AP172" s="18"/>
      <c r="AQ172" s="18"/>
    </row>
    <row r="173" spans="1:43" s="656" customFormat="1" x14ac:dyDescent="0.2">
      <c r="A173" s="666"/>
      <c r="D173" s="668"/>
      <c r="E173" s="668"/>
      <c r="F173" s="668"/>
      <c r="G173" s="668"/>
      <c r="H173" s="668"/>
      <c r="I173" s="668"/>
      <c r="J173" s="668"/>
      <c r="K173" s="668"/>
      <c r="L173" s="668"/>
      <c r="M173" s="668"/>
      <c r="N173" s="668"/>
      <c r="O173" s="668"/>
      <c r="P173" s="668"/>
      <c r="Q173" s="668"/>
      <c r="R173" s="668"/>
      <c r="S173" s="668"/>
      <c r="T173" s="668"/>
      <c r="U173" s="668"/>
      <c r="V173" s="668"/>
      <c r="W173" s="668"/>
      <c r="X173" s="668"/>
      <c r="Y173" s="668"/>
      <c r="Z173" s="668"/>
      <c r="AA173" s="668"/>
      <c r="AB173" s="668"/>
      <c r="AC173" s="668"/>
      <c r="AD173" s="668"/>
      <c r="AE173" s="668"/>
      <c r="AF173" s="668"/>
      <c r="AG173" s="668"/>
      <c r="AI173" s="18"/>
      <c r="AJ173" s="18"/>
      <c r="AK173" s="18"/>
      <c r="AL173" s="18"/>
      <c r="AM173" s="18"/>
      <c r="AN173" s="18"/>
      <c r="AO173" s="18"/>
      <c r="AP173" s="18"/>
      <c r="AQ173" s="18"/>
    </row>
    <row r="174" spans="1:43" s="656" customFormat="1" ht="29.25" customHeight="1" thickBot="1" x14ac:dyDescent="0.25">
      <c r="A174" s="666"/>
      <c r="D174" s="671"/>
      <c r="E174" s="671"/>
      <c r="F174" s="671"/>
      <c r="G174" s="671"/>
      <c r="H174" s="671"/>
      <c r="I174" s="671"/>
      <c r="J174" s="671"/>
      <c r="K174" s="671"/>
      <c r="L174" s="671"/>
      <c r="M174" s="671"/>
      <c r="N174" s="671"/>
      <c r="O174" s="1042" t="s">
        <v>1434</v>
      </c>
      <c r="P174" s="1042"/>
      <c r="Q174" s="1042"/>
      <c r="R174" s="1042"/>
      <c r="S174" s="1042"/>
      <c r="T174" s="1042" t="s">
        <v>1435</v>
      </c>
      <c r="U174" s="1042"/>
      <c r="V174" s="1042"/>
      <c r="W174" s="1042"/>
      <c r="X174" s="1042"/>
      <c r="Y174" s="1042" t="s">
        <v>1437</v>
      </c>
      <c r="Z174" s="1042"/>
      <c r="AA174" s="1042"/>
      <c r="AB174" s="1042"/>
      <c r="AC174" s="1042"/>
      <c r="AI174" s="18"/>
      <c r="AJ174" s="18"/>
      <c r="AK174" s="18"/>
      <c r="AL174" s="18"/>
      <c r="AM174" s="18"/>
      <c r="AN174" s="18"/>
      <c r="AO174" s="18"/>
      <c r="AP174" s="18"/>
      <c r="AQ174" s="18"/>
    </row>
    <row r="175" spans="1:43" s="656" customFormat="1" x14ac:dyDescent="0.2">
      <c r="A175" s="666"/>
      <c r="D175" s="1038" t="s">
        <v>42</v>
      </c>
      <c r="E175" s="1038"/>
      <c r="F175" s="1038"/>
      <c r="G175" s="1038"/>
      <c r="H175" s="1038"/>
      <c r="I175" s="1038"/>
      <c r="J175" s="1038"/>
      <c r="K175" s="1038"/>
      <c r="L175" s="1038"/>
      <c r="M175" s="1038"/>
      <c r="N175" s="1038"/>
      <c r="O175" s="1039">
        <v>40</v>
      </c>
      <c r="P175" s="1039"/>
      <c r="Q175" s="1039"/>
      <c r="R175" s="1039"/>
      <c r="S175" s="1039"/>
      <c r="T175" s="1041">
        <v>2.5000000000000001E-2</v>
      </c>
      <c r="U175" s="1039"/>
      <c r="V175" s="1039"/>
      <c r="W175" s="1039"/>
      <c r="X175" s="1039"/>
      <c r="Y175" s="1039" t="s">
        <v>1526</v>
      </c>
      <c r="Z175" s="1039"/>
      <c r="AA175" s="1039"/>
      <c r="AB175" s="1039"/>
      <c r="AC175" s="1039"/>
      <c r="AI175" s="18"/>
      <c r="AJ175" s="18"/>
      <c r="AK175" s="18"/>
      <c r="AL175" s="18"/>
      <c r="AM175" s="18"/>
      <c r="AN175" s="18"/>
      <c r="AO175" s="18"/>
      <c r="AP175" s="18"/>
      <c r="AQ175" s="18"/>
    </row>
    <row r="176" spans="1:43" s="656" customFormat="1" x14ac:dyDescent="0.2">
      <c r="A176" s="666"/>
      <c r="D176" s="1038" t="s">
        <v>1442</v>
      </c>
      <c r="E176" s="1038"/>
      <c r="F176" s="1038"/>
      <c r="G176" s="1038"/>
      <c r="H176" s="1038"/>
      <c r="I176" s="1038"/>
      <c r="J176" s="1038"/>
      <c r="K176" s="1038"/>
      <c r="L176" s="1038"/>
      <c r="M176" s="1038"/>
      <c r="N176" s="1038"/>
      <c r="O176" s="1039">
        <v>12.5</v>
      </c>
      <c r="P176" s="1039"/>
      <c r="Q176" s="1039"/>
      <c r="R176" s="1039"/>
      <c r="S176" s="1039"/>
      <c r="T176" s="1040">
        <v>0.08</v>
      </c>
      <c r="U176" s="1039"/>
      <c r="V176" s="1039"/>
      <c r="W176" s="1039"/>
      <c r="X176" s="1039"/>
      <c r="Y176" s="1039" t="s">
        <v>1526</v>
      </c>
      <c r="Z176" s="1039"/>
      <c r="AA176" s="1039"/>
      <c r="AB176" s="1039"/>
      <c r="AC176" s="1039"/>
      <c r="AI176" s="18"/>
      <c r="AJ176" s="18"/>
      <c r="AK176" s="18"/>
      <c r="AL176" s="18"/>
      <c r="AM176" s="18"/>
      <c r="AN176" s="18"/>
      <c r="AO176" s="18"/>
      <c r="AP176" s="18"/>
      <c r="AQ176" s="18"/>
    </row>
    <row r="177" spans="1:43" s="656" customFormat="1" x14ac:dyDescent="0.2">
      <c r="A177" s="666"/>
      <c r="D177" s="1038" t="s">
        <v>1443</v>
      </c>
      <c r="E177" s="1038"/>
      <c r="F177" s="1038"/>
      <c r="G177" s="1038"/>
      <c r="H177" s="1038"/>
      <c r="I177" s="1038"/>
      <c r="J177" s="1038"/>
      <c r="K177" s="1038"/>
      <c r="L177" s="1038"/>
      <c r="M177" s="1038"/>
      <c r="N177" s="1038"/>
      <c r="O177" s="1039">
        <v>5</v>
      </c>
      <c r="P177" s="1039"/>
      <c r="Q177" s="1039"/>
      <c r="R177" s="1039"/>
      <c r="S177" s="1039"/>
      <c r="T177" s="1040">
        <v>0.2</v>
      </c>
      <c r="U177" s="1039"/>
      <c r="V177" s="1039"/>
      <c r="W177" s="1039"/>
      <c r="X177" s="1039"/>
      <c r="Y177" s="1039" t="s">
        <v>1526</v>
      </c>
      <c r="Z177" s="1039"/>
      <c r="AA177" s="1039"/>
      <c r="AB177" s="1039"/>
      <c r="AC177" s="1039"/>
      <c r="AI177" s="18"/>
      <c r="AJ177" s="18"/>
      <c r="AK177" s="18"/>
      <c r="AL177" s="18"/>
      <c r="AM177" s="18"/>
      <c r="AN177" s="18"/>
      <c r="AO177" s="18"/>
      <c r="AP177" s="18"/>
      <c r="AQ177" s="18"/>
    </row>
    <row r="178" spans="1:43" s="656" customFormat="1" x14ac:dyDescent="0.2">
      <c r="A178" s="666"/>
      <c r="D178" s="1038" t="s">
        <v>1444</v>
      </c>
      <c r="E178" s="1038"/>
      <c r="F178" s="1038"/>
      <c r="G178" s="1038"/>
      <c r="H178" s="1038"/>
      <c r="I178" s="1038"/>
      <c r="J178" s="1038"/>
      <c r="K178" s="1038"/>
      <c r="L178" s="1038"/>
      <c r="M178" s="1038"/>
      <c r="N178" s="1038"/>
      <c r="O178" s="1039">
        <v>10</v>
      </c>
      <c r="P178" s="1039"/>
      <c r="Q178" s="1039"/>
      <c r="R178" s="1039"/>
      <c r="S178" s="1039"/>
      <c r="T178" s="1040">
        <v>0.1</v>
      </c>
      <c r="U178" s="1039"/>
      <c r="V178" s="1039"/>
      <c r="W178" s="1039"/>
      <c r="X178" s="1039"/>
      <c r="Y178" s="1039" t="s">
        <v>1526</v>
      </c>
      <c r="Z178" s="1039"/>
      <c r="AA178" s="1039"/>
      <c r="AB178" s="1039"/>
      <c r="AC178" s="1039"/>
      <c r="AI178" s="18"/>
      <c r="AJ178" s="18"/>
      <c r="AK178" s="18"/>
      <c r="AL178" s="18"/>
      <c r="AM178" s="18"/>
      <c r="AN178" s="18"/>
      <c r="AO178" s="18"/>
      <c r="AP178" s="18"/>
      <c r="AQ178" s="18"/>
    </row>
    <row r="179" spans="1:43" s="656" customFormat="1" ht="15" thickBot="1" x14ac:dyDescent="0.25">
      <c r="A179" s="666"/>
      <c r="D179" s="1043" t="s">
        <v>1445</v>
      </c>
      <c r="E179" s="1043"/>
      <c r="F179" s="1043"/>
      <c r="G179" s="1043"/>
      <c r="H179" s="1043"/>
      <c r="I179" s="1043"/>
      <c r="J179" s="1043"/>
      <c r="K179" s="1043"/>
      <c r="L179" s="1043"/>
      <c r="M179" s="1043"/>
      <c r="N179" s="1043"/>
      <c r="O179" s="1044">
        <v>4</v>
      </c>
      <c r="P179" s="1044"/>
      <c r="Q179" s="1044"/>
      <c r="R179" s="1044"/>
      <c r="S179" s="1044"/>
      <c r="T179" s="1045">
        <v>0.25</v>
      </c>
      <c r="U179" s="1044"/>
      <c r="V179" s="1044"/>
      <c r="W179" s="1044"/>
      <c r="X179" s="1044"/>
      <c r="Y179" s="1044" t="s">
        <v>1526</v>
      </c>
      <c r="Z179" s="1044"/>
      <c r="AA179" s="1044"/>
      <c r="AB179" s="1044"/>
      <c r="AC179" s="1044"/>
      <c r="AI179" s="18"/>
      <c r="AJ179" s="18"/>
      <c r="AK179" s="18"/>
      <c r="AL179" s="18"/>
      <c r="AM179" s="18"/>
      <c r="AN179" s="18"/>
      <c r="AO179" s="18"/>
      <c r="AP179" s="18"/>
      <c r="AQ179" s="18"/>
    </row>
    <row r="180" spans="1:43" s="656" customFormat="1" ht="14.1" x14ac:dyDescent="0.3">
      <c r="A180" s="666"/>
      <c r="D180" s="901"/>
      <c r="E180" s="901"/>
      <c r="F180" s="901"/>
      <c r="G180" s="901"/>
      <c r="H180" s="901"/>
      <c r="I180" s="901"/>
      <c r="J180" s="901"/>
      <c r="K180" s="901"/>
      <c r="L180" s="901"/>
      <c r="M180" s="901"/>
      <c r="N180" s="901"/>
      <c r="O180" s="902"/>
      <c r="P180" s="902"/>
      <c r="Q180" s="902"/>
      <c r="R180" s="902"/>
      <c r="S180" s="902"/>
      <c r="T180" s="903"/>
      <c r="U180" s="902"/>
      <c r="V180" s="902"/>
      <c r="W180" s="902"/>
      <c r="X180" s="902"/>
      <c r="Y180" s="902"/>
      <c r="Z180" s="902"/>
      <c r="AA180" s="902"/>
      <c r="AB180" s="902"/>
      <c r="AC180" s="902"/>
      <c r="AI180" s="18"/>
      <c r="AJ180" s="18"/>
      <c r="AK180" s="18"/>
      <c r="AL180" s="18"/>
      <c r="AM180" s="18"/>
      <c r="AN180" s="18"/>
      <c r="AO180" s="18"/>
      <c r="AP180" s="18"/>
      <c r="AQ180" s="18"/>
    </row>
    <row r="181" spans="1:43" s="656" customFormat="1" x14ac:dyDescent="0.2">
      <c r="A181" s="666"/>
      <c r="D181" s="901"/>
      <c r="E181" s="901"/>
      <c r="F181" s="901"/>
      <c r="G181" s="901"/>
      <c r="H181" s="901"/>
      <c r="I181" s="901"/>
      <c r="J181" s="901"/>
      <c r="K181" s="901"/>
      <c r="L181" s="901"/>
      <c r="M181" s="901"/>
      <c r="N181" s="901"/>
      <c r="O181" s="902"/>
      <c r="P181" s="902"/>
      <c r="Q181" s="902"/>
      <c r="R181" s="902"/>
      <c r="S181" s="902"/>
      <c r="T181" s="903"/>
      <c r="U181" s="902"/>
      <c r="V181" s="902"/>
      <c r="W181" s="902"/>
      <c r="X181" s="902"/>
      <c r="Y181" s="902"/>
      <c r="Z181" s="902"/>
      <c r="AA181" s="902"/>
      <c r="AB181" s="902"/>
      <c r="AC181" s="902"/>
      <c r="AI181" s="18"/>
      <c r="AJ181" s="18"/>
      <c r="AK181" s="18"/>
      <c r="AL181" s="18"/>
      <c r="AM181" s="18"/>
      <c r="AN181" s="18"/>
      <c r="AO181" s="18"/>
      <c r="AP181" s="18"/>
      <c r="AQ181" s="18"/>
    </row>
    <row r="182" spans="1:43" s="656" customFormat="1" x14ac:dyDescent="0.2">
      <c r="A182" s="666"/>
      <c r="AI182" s="18"/>
      <c r="AJ182" s="18"/>
      <c r="AK182" s="18"/>
      <c r="AL182" s="18"/>
      <c r="AM182" s="18"/>
      <c r="AN182" s="18"/>
      <c r="AO182" s="18"/>
      <c r="AP182" s="18"/>
      <c r="AQ182" s="18"/>
    </row>
    <row r="183" spans="1:43" s="656" customFormat="1" x14ac:dyDescent="0.2">
      <c r="A183" s="666"/>
      <c r="AI183" s="18"/>
      <c r="AJ183" s="18"/>
      <c r="AK183" s="18"/>
      <c r="AL183" s="18"/>
      <c r="AM183" s="18"/>
      <c r="AN183" s="18"/>
      <c r="AO183" s="18"/>
      <c r="AP183" s="18"/>
      <c r="AQ183" s="18"/>
    </row>
    <row r="184" spans="1:43" s="656" customFormat="1" x14ac:dyDescent="0.2">
      <c r="A184" s="666"/>
      <c r="AI184" s="18"/>
      <c r="AJ184" s="18"/>
      <c r="AK184" s="18"/>
      <c r="AL184" s="18"/>
      <c r="AM184" s="18"/>
      <c r="AN184" s="18"/>
      <c r="AO184" s="18"/>
      <c r="AP184" s="18"/>
      <c r="AQ184" s="18"/>
    </row>
    <row r="185" spans="1:43" s="656" customFormat="1" x14ac:dyDescent="0.2">
      <c r="A185" s="666"/>
      <c r="D185" s="1003" t="s">
        <v>1447</v>
      </c>
      <c r="E185" s="1003"/>
      <c r="F185" s="1003"/>
      <c r="G185" s="1003"/>
      <c r="H185" s="1003"/>
      <c r="I185" s="1003"/>
      <c r="J185" s="1003"/>
      <c r="K185" s="1003"/>
      <c r="L185" s="1003"/>
      <c r="M185" s="1003"/>
      <c r="N185" s="1003"/>
      <c r="O185" s="1003"/>
      <c r="P185" s="1003"/>
      <c r="Q185" s="1003"/>
      <c r="R185" s="1003"/>
      <c r="S185" s="1003"/>
      <c r="T185" s="1003"/>
      <c r="U185" s="1003"/>
      <c r="V185" s="1003"/>
      <c r="W185" s="1003"/>
      <c r="X185" s="1003"/>
      <c r="Y185" s="1003"/>
      <c r="Z185" s="1003"/>
      <c r="AA185" s="1003"/>
      <c r="AB185" s="1003"/>
      <c r="AC185" s="1003"/>
      <c r="AD185" s="1003"/>
      <c r="AE185" s="1003"/>
      <c r="AF185" s="1003"/>
      <c r="AG185" s="1003"/>
      <c r="AI185" s="18"/>
      <c r="AJ185" s="18"/>
      <c r="AK185" s="18"/>
      <c r="AL185" s="18"/>
      <c r="AM185" s="18"/>
      <c r="AN185" s="18"/>
      <c r="AO185" s="18"/>
      <c r="AP185" s="18"/>
      <c r="AQ185" s="18"/>
    </row>
    <row r="186" spans="1:43" s="656" customFormat="1" x14ac:dyDescent="0.2">
      <c r="A186" s="666"/>
      <c r="D186" s="1003"/>
      <c r="E186" s="1003"/>
      <c r="F186" s="1003"/>
      <c r="G186" s="1003"/>
      <c r="H186" s="1003"/>
      <c r="I186" s="1003"/>
      <c r="J186" s="1003"/>
      <c r="K186" s="1003"/>
      <c r="L186" s="1003"/>
      <c r="M186" s="1003"/>
      <c r="N186" s="1003"/>
      <c r="O186" s="1003"/>
      <c r="P186" s="1003"/>
      <c r="Q186" s="1003"/>
      <c r="R186" s="1003"/>
      <c r="S186" s="1003"/>
      <c r="T186" s="1003"/>
      <c r="U186" s="1003"/>
      <c r="V186" s="1003"/>
      <c r="W186" s="1003"/>
      <c r="X186" s="1003"/>
      <c r="Y186" s="1003"/>
      <c r="Z186" s="1003"/>
      <c r="AA186" s="1003"/>
      <c r="AB186" s="1003"/>
      <c r="AC186" s="1003"/>
      <c r="AD186" s="1003"/>
      <c r="AE186" s="1003"/>
      <c r="AF186" s="1003"/>
      <c r="AG186" s="1003"/>
      <c r="AI186" s="18"/>
      <c r="AJ186" s="18"/>
      <c r="AK186" s="18"/>
      <c r="AL186" s="18"/>
      <c r="AM186" s="18"/>
      <c r="AN186" s="18"/>
      <c r="AO186" s="18"/>
      <c r="AP186" s="18"/>
      <c r="AQ186" s="18"/>
    </row>
    <row r="187" spans="1:43" s="656" customFormat="1" x14ac:dyDescent="0.2">
      <c r="A187" s="666"/>
      <c r="D187" s="888"/>
      <c r="E187" s="888"/>
      <c r="F187" s="888"/>
      <c r="G187" s="888"/>
      <c r="H187" s="888"/>
      <c r="I187" s="888"/>
      <c r="J187" s="888"/>
      <c r="K187" s="888"/>
      <c r="L187" s="888"/>
      <c r="M187" s="888"/>
      <c r="N187" s="888"/>
      <c r="O187" s="888"/>
      <c r="P187" s="888"/>
      <c r="Q187" s="888"/>
      <c r="R187" s="888"/>
      <c r="S187" s="888"/>
      <c r="T187" s="888"/>
      <c r="U187" s="888"/>
      <c r="V187" s="888"/>
      <c r="W187" s="888"/>
      <c r="X187" s="888"/>
      <c r="Y187" s="888"/>
      <c r="Z187" s="888"/>
      <c r="AA187" s="888"/>
      <c r="AB187" s="888"/>
      <c r="AC187" s="888"/>
      <c r="AD187" s="888"/>
      <c r="AE187" s="888"/>
      <c r="AF187" s="888"/>
      <c r="AG187" s="888"/>
      <c r="AI187" s="18"/>
      <c r="AJ187" s="18"/>
      <c r="AK187" s="18"/>
      <c r="AL187" s="18"/>
      <c r="AM187" s="18"/>
      <c r="AN187" s="18"/>
      <c r="AO187" s="18"/>
      <c r="AP187" s="18"/>
      <c r="AQ187" s="18"/>
    </row>
    <row r="188" spans="1:43" s="656" customFormat="1" x14ac:dyDescent="0.2">
      <c r="A188" s="666"/>
      <c r="AI188" s="18"/>
      <c r="AJ188" s="18"/>
      <c r="AK188" s="18"/>
      <c r="AL188" s="18"/>
      <c r="AM188" s="18"/>
      <c r="AN188" s="18"/>
      <c r="AO188" s="18"/>
      <c r="AP188" s="18"/>
      <c r="AQ188" s="18"/>
    </row>
    <row r="189" spans="1:43" s="656" customFormat="1" x14ac:dyDescent="0.2">
      <c r="A189" s="666"/>
      <c r="D189" s="655" t="s">
        <v>1450</v>
      </c>
      <c r="AI189" s="18"/>
      <c r="AJ189" s="18"/>
      <c r="AK189" s="18"/>
      <c r="AL189" s="18"/>
      <c r="AM189" s="18"/>
      <c r="AN189" s="18"/>
      <c r="AO189" s="18"/>
      <c r="AP189" s="18"/>
      <c r="AQ189" s="18"/>
    </row>
    <row r="190" spans="1:43" s="656" customFormat="1" x14ac:dyDescent="0.2">
      <c r="A190" s="666"/>
      <c r="AI190" s="18"/>
      <c r="AJ190" s="18"/>
      <c r="AK190" s="18"/>
      <c r="AL190" s="18"/>
      <c r="AM190" s="18"/>
      <c r="AN190" s="18"/>
      <c r="AO190" s="18"/>
      <c r="AP190" s="18"/>
      <c r="AQ190" s="18"/>
    </row>
    <row r="191" spans="1:43" s="656" customFormat="1" x14ac:dyDescent="0.2">
      <c r="A191" s="666"/>
      <c r="D191" s="1004" t="s">
        <v>1581</v>
      </c>
      <c r="E191" s="1003"/>
      <c r="F191" s="1003"/>
      <c r="G191" s="1003"/>
      <c r="H191" s="1003"/>
      <c r="I191" s="1003"/>
      <c r="J191" s="1003"/>
      <c r="K191" s="1003"/>
      <c r="L191" s="1003"/>
      <c r="M191" s="1003"/>
      <c r="N191" s="1003"/>
      <c r="O191" s="1003"/>
      <c r="P191" s="1003"/>
      <c r="Q191" s="1003"/>
      <c r="R191" s="1003"/>
      <c r="S191" s="1003"/>
      <c r="T191" s="1003"/>
      <c r="U191" s="1003"/>
      <c r="V191" s="1003"/>
      <c r="W191" s="1003"/>
      <c r="X191" s="1003"/>
      <c r="Y191" s="1003"/>
      <c r="Z191" s="1003"/>
      <c r="AA191" s="1003"/>
      <c r="AB191" s="1003"/>
      <c r="AC191" s="1003"/>
      <c r="AD191" s="1003"/>
      <c r="AE191" s="1003"/>
      <c r="AF191" s="1003"/>
      <c r="AG191" s="1003"/>
      <c r="AI191" s="18"/>
      <c r="AJ191" s="18"/>
      <c r="AK191" s="18"/>
      <c r="AL191" s="18"/>
      <c r="AM191" s="18"/>
      <c r="AN191" s="18"/>
      <c r="AO191" s="18"/>
      <c r="AP191" s="18"/>
      <c r="AQ191" s="18"/>
    </row>
    <row r="192" spans="1:43" s="656" customFormat="1" x14ac:dyDescent="0.2">
      <c r="A192" s="666"/>
      <c r="AI192" s="18"/>
      <c r="AJ192" s="18"/>
      <c r="AK192" s="18"/>
      <c r="AL192" s="18"/>
      <c r="AM192" s="18"/>
      <c r="AN192" s="18"/>
      <c r="AO192" s="18"/>
      <c r="AP192" s="18"/>
      <c r="AQ192" s="18"/>
    </row>
    <row r="193" spans="1:43" s="656" customFormat="1" x14ac:dyDescent="0.2">
      <c r="A193" s="666"/>
      <c r="D193" s="655" t="s">
        <v>1449</v>
      </c>
      <c r="AI193" s="18"/>
      <c r="AJ193" s="18"/>
      <c r="AK193" s="18"/>
      <c r="AL193" s="18"/>
      <c r="AM193" s="18"/>
      <c r="AN193" s="18"/>
      <c r="AO193" s="18"/>
      <c r="AP193" s="18"/>
      <c r="AQ193" s="18"/>
    </row>
    <row r="194" spans="1:43" s="656" customFormat="1" x14ac:dyDescent="0.2">
      <c r="A194" s="666"/>
      <c r="AI194" s="18"/>
      <c r="AJ194" s="18"/>
      <c r="AK194" s="18"/>
      <c r="AL194" s="18"/>
      <c r="AM194" s="18"/>
      <c r="AN194" s="18"/>
      <c r="AO194" s="18"/>
      <c r="AP194" s="18"/>
      <c r="AQ194" s="18"/>
    </row>
    <row r="195" spans="1:43" s="656" customFormat="1" x14ac:dyDescent="0.2">
      <c r="A195" s="666"/>
      <c r="D195" s="1004" t="s">
        <v>1582</v>
      </c>
      <c r="E195" s="1003"/>
      <c r="F195" s="1003"/>
      <c r="G195" s="1003"/>
      <c r="H195" s="1003"/>
      <c r="I195" s="1003"/>
      <c r="J195" s="1003"/>
      <c r="K195" s="1003"/>
      <c r="L195" s="1003"/>
      <c r="M195" s="1003"/>
      <c r="N195" s="1003"/>
      <c r="O195" s="1003"/>
      <c r="P195" s="1003"/>
      <c r="Q195" s="1003"/>
      <c r="R195" s="1003"/>
      <c r="S195" s="1003"/>
      <c r="T195" s="1003"/>
      <c r="U195" s="1003"/>
      <c r="V195" s="1003"/>
      <c r="W195" s="1003"/>
      <c r="X195" s="1003"/>
      <c r="Y195" s="1003"/>
      <c r="Z195" s="1003"/>
      <c r="AA195" s="1003"/>
      <c r="AB195" s="1003"/>
      <c r="AC195" s="1003"/>
      <c r="AD195" s="1003"/>
      <c r="AE195" s="1003"/>
      <c r="AF195" s="1003"/>
      <c r="AG195" s="1003"/>
      <c r="AI195" s="18"/>
      <c r="AJ195" s="18"/>
      <c r="AK195" s="18"/>
      <c r="AL195" s="18"/>
      <c r="AM195" s="18"/>
      <c r="AN195" s="18"/>
      <c r="AO195" s="18"/>
      <c r="AP195" s="18"/>
      <c r="AQ195" s="18"/>
    </row>
    <row r="196" spans="1:43" s="656" customFormat="1" x14ac:dyDescent="0.2">
      <c r="A196" s="666"/>
      <c r="D196" s="1003"/>
      <c r="E196" s="1003"/>
      <c r="F196" s="1003"/>
      <c r="G196" s="1003"/>
      <c r="H196" s="1003"/>
      <c r="I196" s="1003"/>
      <c r="J196" s="1003"/>
      <c r="K196" s="1003"/>
      <c r="L196" s="1003"/>
      <c r="M196" s="1003"/>
      <c r="N196" s="1003"/>
      <c r="O196" s="1003"/>
      <c r="P196" s="1003"/>
      <c r="Q196" s="1003"/>
      <c r="R196" s="1003"/>
      <c r="S196" s="1003"/>
      <c r="T196" s="1003"/>
      <c r="U196" s="1003"/>
      <c r="V196" s="1003"/>
      <c r="W196" s="1003"/>
      <c r="X196" s="1003"/>
      <c r="Y196" s="1003"/>
      <c r="Z196" s="1003"/>
      <c r="AA196" s="1003"/>
      <c r="AB196" s="1003"/>
      <c r="AC196" s="1003"/>
      <c r="AD196" s="1003"/>
      <c r="AE196" s="1003"/>
      <c r="AF196" s="1003"/>
      <c r="AG196" s="1003"/>
      <c r="AI196" s="18"/>
      <c r="AJ196" s="18"/>
      <c r="AK196" s="18"/>
      <c r="AL196" s="18"/>
      <c r="AM196" s="18"/>
      <c r="AN196" s="18"/>
      <c r="AO196" s="18"/>
      <c r="AP196" s="18"/>
      <c r="AQ196" s="18"/>
    </row>
    <row r="197" spans="1:43" s="656" customFormat="1" x14ac:dyDescent="0.2">
      <c r="A197" s="666"/>
      <c r="D197" s="1003"/>
      <c r="E197" s="1003"/>
      <c r="F197" s="1003"/>
      <c r="G197" s="1003"/>
      <c r="H197" s="1003"/>
      <c r="I197" s="1003"/>
      <c r="J197" s="1003"/>
      <c r="K197" s="1003"/>
      <c r="L197" s="1003"/>
      <c r="M197" s="1003"/>
      <c r="N197" s="1003"/>
      <c r="O197" s="1003"/>
      <c r="P197" s="1003"/>
      <c r="Q197" s="1003"/>
      <c r="R197" s="1003"/>
      <c r="S197" s="1003"/>
      <c r="T197" s="1003"/>
      <c r="U197" s="1003"/>
      <c r="V197" s="1003"/>
      <c r="W197" s="1003"/>
      <c r="X197" s="1003"/>
      <c r="Y197" s="1003"/>
      <c r="Z197" s="1003"/>
      <c r="AA197" s="1003"/>
      <c r="AB197" s="1003"/>
      <c r="AC197" s="1003"/>
      <c r="AD197" s="1003"/>
      <c r="AE197" s="1003"/>
      <c r="AF197" s="1003"/>
      <c r="AG197" s="1003"/>
      <c r="AI197" s="18"/>
      <c r="AJ197" s="18"/>
      <c r="AK197" s="18"/>
      <c r="AL197" s="18"/>
      <c r="AM197" s="18"/>
      <c r="AN197" s="18"/>
      <c r="AO197" s="18"/>
      <c r="AP197" s="18"/>
      <c r="AQ197" s="18"/>
    </row>
    <row r="198" spans="1:43" s="656" customFormat="1" x14ac:dyDescent="0.2">
      <c r="A198" s="666"/>
      <c r="D198" s="1003"/>
      <c r="E198" s="1003"/>
      <c r="F198" s="1003"/>
      <c r="G198" s="1003"/>
      <c r="H198" s="1003"/>
      <c r="I198" s="1003"/>
      <c r="J198" s="1003"/>
      <c r="K198" s="1003"/>
      <c r="L198" s="1003"/>
      <c r="M198" s="1003"/>
      <c r="N198" s="1003"/>
      <c r="O198" s="1003"/>
      <c r="P198" s="1003"/>
      <c r="Q198" s="1003"/>
      <c r="R198" s="1003"/>
      <c r="S198" s="1003"/>
      <c r="T198" s="1003"/>
      <c r="U198" s="1003"/>
      <c r="V198" s="1003"/>
      <c r="W198" s="1003"/>
      <c r="X198" s="1003"/>
      <c r="Y198" s="1003"/>
      <c r="Z198" s="1003"/>
      <c r="AA198" s="1003"/>
      <c r="AB198" s="1003"/>
      <c r="AC198" s="1003"/>
      <c r="AD198" s="1003"/>
      <c r="AE198" s="1003"/>
      <c r="AF198" s="1003"/>
      <c r="AG198" s="1003"/>
      <c r="AI198" s="18"/>
      <c r="AJ198" s="18"/>
      <c r="AK198" s="18"/>
      <c r="AL198" s="18"/>
      <c r="AM198" s="18"/>
      <c r="AN198" s="18"/>
      <c r="AO198" s="18"/>
      <c r="AP198" s="18"/>
      <c r="AQ198" s="18"/>
    </row>
    <row r="199" spans="1:43" s="656" customFormat="1" x14ac:dyDescent="0.2">
      <c r="A199" s="666"/>
      <c r="D199" s="1004" t="s">
        <v>1583</v>
      </c>
      <c r="E199" s="1003"/>
      <c r="F199" s="1003"/>
      <c r="G199" s="1003"/>
      <c r="H199" s="1003"/>
      <c r="I199" s="1003"/>
      <c r="J199" s="1003"/>
      <c r="K199" s="1003"/>
      <c r="L199" s="1003"/>
      <c r="M199" s="1003"/>
      <c r="N199" s="1003"/>
      <c r="O199" s="1003"/>
      <c r="P199" s="1003"/>
      <c r="Q199" s="1003"/>
      <c r="R199" s="1003"/>
      <c r="S199" s="1003"/>
      <c r="T199" s="1003"/>
      <c r="U199" s="1003"/>
      <c r="V199" s="1003"/>
      <c r="W199" s="1003"/>
      <c r="X199" s="1003"/>
      <c r="Y199" s="1003"/>
      <c r="Z199" s="1003"/>
      <c r="AA199" s="1003"/>
      <c r="AB199" s="1003"/>
      <c r="AC199" s="1003"/>
      <c r="AD199" s="1003"/>
      <c r="AE199" s="1003"/>
      <c r="AF199" s="1003"/>
      <c r="AG199" s="1003"/>
      <c r="AI199" s="18"/>
      <c r="AJ199" s="18"/>
      <c r="AK199" s="18"/>
      <c r="AL199" s="18"/>
      <c r="AM199" s="18"/>
      <c r="AN199" s="18"/>
      <c r="AO199" s="18"/>
      <c r="AP199" s="18"/>
      <c r="AQ199" s="18"/>
    </row>
    <row r="200" spans="1:43" s="656" customFormat="1" x14ac:dyDescent="0.2">
      <c r="A200" s="666"/>
      <c r="D200" s="1003"/>
      <c r="E200" s="1003"/>
      <c r="F200" s="1003"/>
      <c r="G200" s="1003"/>
      <c r="H200" s="1003"/>
      <c r="I200" s="1003"/>
      <c r="J200" s="1003"/>
      <c r="K200" s="1003"/>
      <c r="L200" s="1003"/>
      <c r="M200" s="1003"/>
      <c r="N200" s="1003"/>
      <c r="O200" s="1003"/>
      <c r="P200" s="1003"/>
      <c r="Q200" s="1003"/>
      <c r="R200" s="1003"/>
      <c r="S200" s="1003"/>
      <c r="T200" s="1003"/>
      <c r="U200" s="1003"/>
      <c r="V200" s="1003"/>
      <c r="W200" s="1003"/>
      <c r="X200" s="1003"/>
      <c r="Y200" s="1003"/>
      <c r="Z200" s="1003"/>
      <c r="AA200" s="1003"/>
      <c r="AB200" s="1003"/>
      <c r="AC200" s="1003"/>
      <c r="AD200" s="1003"/>
      <c r="AE200" s="1003"/>
      <c r="AF200" s="1003"/>
      <c r="AG200" s="1003"/>
      <c r="AI200" s="18"/>
      <c r="AJ200" s="18"/>
      <c r="AK200" s="18"/>
      <c r="AL200" s="18"/>
      <c r="AM200" s="18"/>
      <c r="AN200" s="18"/>
      <c r="AO200" s="18"/>
      <c r="AP200" s="18"/>
      <c r="AQ200" s="18"/>
    </row>
    <row r="201" spans="1:43" s="656" customFormat="1" x14ac:dyDescent="0.2">
      <c r="A201" s="666"/>
      <c r="AI201" s="18"/>
      <c r="AJ201" s="18"/>
      <c r="AK201" s="18"/>
      <c r="AL201" s="18"/>
      <c r="AM201" s="18"/>
      <c r="AN201" s="18"/>
      <c r="AO201" s="18"/>
      <c r="AP201" s="18"/>
      <c r="AQ201" s="18"/>
    </row>
    <row r="202" spans="1:43" s="656" customFormat="1" x14ac:dyDescent="0.2">
      <c r="A202" s="666"/>
      <c r="D202" s="1032" t="s">
        <v>1448</v>
      </c>
      <c r="E202" s="1032"/>
      <c r="F202" s="1032"/>
      <c r="G202" s="1032"/>
      <c r="H202" s="1032"/>
      <c r="I202" s="1032"/>
      <c r="J202" s="1032"/>
      <c r="K202" s="1032"/>
      <c r="L202" s="1032"/>
      <c r="M202" s="1032"/>
      <c r="N202" s="1032"/>
      <c r="O202" s="1032"/>
      <c r="P202" s="1032"/>
      <c r="Q202" s="1032"/>
      <c r="R202" s="1032"/>
      <c r="S202" s="1032"/>
      <c r="T202" s="1032"/>
      <c r="U202" s="1032"/>
      <c r="V202" s="1032"/>
      <c r="W202" s="1032"/>
      <c r="X202" s="1032"/>
      <c r="Y202" s="1032"/>
      <c r="Z202" s="1032"/>
      <c r="AA202" s="1032"/>
      <c r="AB202" s="1032"/>
      <c r="AC202" s="1032"/>
      <c r="AD202" s="1032"/>
      <c r="AE202" s="1032"/>
      <c r="AF202" s="1032"/>
      <c r="AG202" s="1032"/>
      <c r="AI202" s="18"/>
      <c r="AJ202" s="18"/>
      <c r="AK202" s="18"/>
      <c r="AL202" s="18"/>
      <c r="AM202" s="18"/>
      <c r="AN202" s="18"/>
      <c r="AO202" s="18"/>
      <c r="AP202" s="18"/>
      <c r="AQ202" s="18"/>
    </row>
    <row r="203" spans="1:43" s="656" customFormat="1" x14ac:dyDescent="0.2">
      <c r="A203" s="666"/>
      <c r="AI203" s="18"/>
      <c r="AJ203" s="18"/>
      <c r="AK203" s="18"/>
      <c r="AL203" s="18"/>
      <c r="AM203" s="18"/>
      <c r="AN203" s="18"/>
      <c r="AO203" s="18"/>
      <c r="AP203" s="18"/>
      <c r="AQ203" s="18"/>
    </row>
    <row r="204" spans="1:43" s="656" customFormat="1" x14ac:dyDescent="0.2">
      <c r="A204" s="666"/>
      <c r="D204" s="655" t="s">
        <v>1598</v>
      </c>
      <c r="AI204" s="18"/>
      <c r="AJ204" s="18"/>
      <c r="AK204" s="18"/>
      <c r="AL204" s="18"/>
      <c r="AM204" s="18"/>
      <c r="AN204" s="18"/>
      <c r="AO204" s="18"/>
      <c r="AP204" s="18"/>
      <c r="AQ204" s="18"/>
    </row>
    <row r="205" spans="1:43" s="656" customFormat="1" x14ac:dyDescent="0.2">
      <c r="A205" s="666"/>
      <c r="AI205" s="18"/>
      <c r="AJ205" s="18"/>
      <c r="AK205" s="18"/>
      <c r="AL205" s="18"/>
      <c r="AM205" s="18"/>
      <c r="AN205" s="18"/>
      <c r="AO205" s="18"/>
      <c r="AP205" s="18"/>
      <c r="AQ205" s="18"/>
    </row>
    <row r="206" spans="1:43" s="656" customFormat="1" x14ac:dyDescent="0.2">
      <c r="A206" s="666"/>
      <c r="D206" s="1004" t="s">
        <v>1584</v>
      </c>
      <c r="E206" s="1003"/>
      <c r="F206" s="1003"/>
      <c r="G206" s="1003"/>
      <c r="H206" s="1003"/>
      <c r="I206" s="1003"/>
      <c r="J206" s="1003"/>
      <c r="K206" s="1003"/>
      <c r="L206" s="1003"/>
      <c r="M206" s="1003"/>
      <c r="N206" s="1003"/>
      <c r="O206" s="1003"/>
      <c r="P206" s="1003"/>
      <c r="Q206" s="1003"/>
      <c r="R206" s="1003"/>
      <c r="S206" s="1003"/>
      <c r="T206" s="1003"/>
      <c r="U206" s="1003"/>
      <c r="V206" s="1003"/>
      <c r="W206" s="1003"/>
      <c r="X206" s="1003"/>
      <c r="Y206" s="1003"/>
      <c r="Z206" s="1003"/>
      <c r="AA206" s="1003"/>
      <c r="AB206" s="1003"/>
      <c r="AC206" s="1003"/>
      <c r="AD206" s="1003"/>
      <c r="AE206" s="1003"/>
      <c r="AF206" s="1003"/>
      <c r="AG206" s="1003"/>
      <c r="AI206" s="18"/>
      <c r="AJ206" s="18"/>
      <c r="AK206" s="18"/>
      <c r="AL206" s="18"/>
      <c r="AM206" s="18"/>
      <c r="AN206" s="18"/>
      <c r="AO206" s="18"/>
      <c r="AP206" s="18"/>
      <c r="AQ206" s="18"/>
    </row>
    <row r="207" spans="1:43" s="656" customFormat="1" x14ac:dyDescent="0.2">
      <c r="A207" s="666"/>
      <c r="D207" s="1003"/>
      <c r="E207" s="1003"/>
      <c r="F207" s="1003"/>
      <c r="G207" s="1003"/>
      <c r="H207" s="1003"/>
      <c r="I207" s="1003"/>
      <c r="J207" s="1003"/>
      <c r="K207" s="1003"/>
      <c r="L207" s="1003"/>
      <c r="M207" s="1003"/>
      <c r="N207" s="1003"/>
      <c r="O207" s="1003"/>
      <c r="P207" s="1003"/>
      <c r="Q207" s="1003"/>
      <c r="R207" s="1003"/>
      <c r="S207" s="1003"/>
      <c r="T207" s="1003"/>
      <c r="U207" s="1003"/>
      <c r="V207" s="1003"/>
      <c r="W207" s="1003"/>
      <c r="X207" s="1003"/>
      <c r="Y207" s="1003"/>
      <c r="Z207" s="1003"/>
      <c r="AA207" s="1003"/>
      <c r="AB207" s="1003"/>
      <c r="AC207" s="1003"/>
      <c r="AD207" s="1003"/>
      <c r="AE207" s="1003"/>
      <c r="AF207" s="1003"/>
      <c r="AG207" s="1003"/>
      <c r="AI207" s="18"/>
      <c r="AJ207" s="18"/>
      <c r="AK207" s="18"/>
      <c r="AL207" s="18"/>
      <c r="AM207" s="18"/>
      <c r="AN207" s="18"/>
      <c r="AO207" s="18"/>
      <c r="AP207" s="18"/>
      <c r="AQ207" s="18"/>
    </row>
    <row r="208" spans="1:43" s="656" customFormat="1" x14ac:dyDescent="0.2">
      <c r="A208" s="666"/>
      <c r="D208" s="1003"/>
      <c r="E208" s="1003"/>
      <c r="F208" s="1003"/>
      <c r="G208" s="1003"/>
      <c r="H208" s="1003"/>
      <c r="I208" s="1003"/>
      <c r="J208" s="1003"/>
      <c r="K208" s="1003"/>
      <c r="L208" s="1003"/>
      <c r="M208" s="1003"/>
      <c r="N208" s="1003"/>
      <c r="O208" s="1003"/>
      <c r="P208" s="1003"/>
      <c r="Q208" s="1003"/>
      <c r="R208" s="1003"/>
      <c r="S208" s="1003"/>
      <c r="T208" s="1003"/>
      <c r="U208" s="1003"/>
      <c r="V208" s="1003"/>
      <c r="W208" s="1003"/>
      <c r="X208" s="1003"/>
      <c r="Y208" s="1003"/>
      <c r="Z208" s="1003"/>
      <c r="AA208" s="1003"/>
      <c r="AB208" s="1003"/>
      <c r="AC208" s="1003"/>
      <c r="AD208" s="1003"/>
      <c r="AE208" s="1003"/>
      <c r="AF208" s="1003"/>
      <c r="AG208" s="1003"/>
      <c r="AI208" s="18"/>
      <c r="AJ208" s="18"/>
      <c r="AK208" s="18"/>
      <c r="AL208" s="18"/>
      <c r="AM208" s="18"/>
      <c r="AN208" s="18"/>
      <c r="AO208" s="18"/>
      <c r="AP208" s="18"/>
      <c r="AQ208" s="18"/>
    </row>
    <row r="209" spans="1:43" s="656" customFormat="1" x14ac:dyDescent="0.2">
      <c r="A209" s="666"/>
      <c r="D209" s="655" t="s">
        <v>1599</v>
      </c>
      <c r="AI209" s="18"/>
      <c r="AJ209" s="18"/>
      <c r="AK209" s="18"/>
      <c r="AL209" s="18"/>
      <c r="AM209" s="18"/>
      <c r="AN209" s="18"/>
      <c r="AO209" s="18"/>
      <c r="AP209" s="18"/>
      <c r="AQ209" s="18"/>
    </row>
    <row r="210" spans="1:43" s="656" customFormat="1" x14ac:dyDescent="0.2">
      <c r="A210" s="666"/>
      <c r="AI210" s="18"/>
      <c r="AJ210" s="18"/>
      <c r="AK210" s="18"/>
      <c r="AL210" s="18"/>
      <c r="AM210" s="18"/>
      <c r="AN210" s="18"/>
      <c r="AO210" s="18"/>
      <c r="AP210" s="18"/>
      <c r="AQ210" s="18"/>
    </row>
    <row r="211" spans="1:43" s="656" customFormat="1" x14ac:dyDescent="0.2">
      <c r="A211" s="666"/>
      <c r="D211" s="1003" t="s">
        <v>1451</v>
      </c>
      <c r="E211" s="1003"/>
      <c r="F211" s="1003"/>
      <c r="G211" s="1003"/>
      <c r="H211" s="1003"/>
      <c r="I211" s="1003"/>
      <c r="J211" s="1003"/>
      <c r="K211" s="1003"/>
      <c r="L211" s="1003"/>
      <c r="M211" s="1003"/>
      <c r="N211" s="1003"/>
      <c r="O211" s="1003"/>
      <c r="P211" s="1003"/>
      <c r="Q211" s="1003"/>
      <c r="R211" s="1003"/>
      <c r="S211" s="1003"/>
      <c r="T211" s="1003"/>
      <c r="U211" s="1003"/>
      <c r="V211" s="1003"/>
      <c r="W211" s="1003"/>
      <c r="X211" s="1003"/>
      <c r="Y211" s="1003"/>
      <c r="Z211" s="1003"/>
      <c r="AA211" s="1003"/>
      <c r="AB211" s="1003"/>
      <c r="AC211" s="1003"/>
      <c r="AD211" s="1003"/>
      <c r="AE211" s="1003"/>
      <c r="AF211" s="1003"/>
      <c r="AG211" s="1003"/>
      <c r="AI211" s="18"/>
      <c r="AJ211" s="18"/>
      <c r="AK211" s="18"/>
      <c r="AL211" s="18"/>
      <c r="AM211" s="18"/>
      <c r="AN211" s="18"/>
      <c r="AO211" s="18"/>
      <c r="AP211" s="18"/>
      <c r="AQ211" s="18"/>
    </row>
    <row r="212" spans="1:43" s="656" customFormat="1" x14ac:dyDescent="0.2">
      <c r="A212" s="666"/>
      <c r="D212" s="1003"/>
      <c r="E212" s="1003"/>
      <c r="F212" s="1003"/>
      <c r="G212" s="1003"/>
      <c r="H212" s="1003"/>
      <c r="I212" s="1003"/>
      <c r="J212" s="1003"/>
      <c r="K212" s="1003"/>
      <c r="L212" s="1003"/>
      <c r="M212" s="1003"/>
      <c r="N212" s="1003"/>
      <c r="O212" s="1003"/>
      <c r="P212" s="1003"/>
      <c r="Q212" s="1003"/>
      <c r="R212" s="1003"/>
      <c r="S212" s="1003"/>
      <c r="T212" s="1003"/>
      <c r="U212" s="1003"/>
      <c r="V212" s="1003"/>
      <c r="W212" s="1003"/>
      <c r="X212" s="1003"/>
      <c r="Y212" s="1003"/>
      <c r="Z212" s="1003"/>
      <c r="AA212" s="1003"/>
      <c r="AB212" s="1003"/>
      <c r="AC212" s="1003"/>
      <c r="AD212" s="1003"/>
      <c r="AE212" s="1003"/>
      <c r="AF212" s="1003"/>
      <c r="AG212" s="1003"/>
      <c r="AI212" s="18"/>
      <c r="AJ212" s="18"/>
      <c r="AK212" s="18"/>
      <c r="AL212" s="18"/>
      <c r="AM212" s="18"/>
      <c r="AN212" s="18"/>
      <c r="AO212" s="18"/>
      <c r="AP212" s="18"/>
      <c r="AQ212" s="18"/>
    </row>
    <row r="213" spans="1:43" s="656" customFormat="1" x14ac:dyDescent="0.2">
      <c r="A213" s="666"/>
      <c r="AI213" s="18"/>
      <c r="AJ213" s="18"/>
      <c r="AK213" s="18"/>
      <c r="AL213" s="18"/>
      <c r="AM213" s="18"/>
      <c r="AN213" s="18"/>
      <c r="AO213" s="18"/>
      <c r="AP213" s="18"/>
      <c r="AQ213" s="18"/>
    </row>
    <row r="214" spans="1:43" s="656" customFormat="1" x14ac:dyDescent="0.2">
      <c r="A214" s="666"/>
      <c r="D214" s="655" t="s">
        <v>1600</v>
      </c>
      <c r="AI214" s="18"/>
      <c r="AJ214" s="18"/>
      <c r="AK214" s="18"/>
      <c r="AL214" s="18"/>
      <c r="AM214" s="18"/>
      <c r="AN214" s="18"/>
      <c r="AO214" s="18"/>
      <c r="AP214" s="18"/>
      <c r="AQ214" s="18"/>
    </row>
    <row r="215" spans="1:43" s="656" customFormat="1" x14ac:dyDescent="0.2">
      <c r="A215" s="666"/>
      <c r="AI215" s="18"/>
      <c r="AJ215" s="18"/>
      <c r="AK215" s="18"/>
      <c r="AL215" s="18"/>
      <c r="AM215" s="18"/>
      <c r="AN215" s="18"/>
      <c r="AO215" s="18"/>
      <c r="AP215" s="18"/>
      <c r="AQ215" s="18"/>
    </row>
    <row r="216" spans="1:43" s="656" customFormat="1" x14ac:dyDescent="0.2">
      <c r="A216" s="666"/>
      <c r="D216" s="1004" t="s">
        <v>1585</v>
      </c>
      <c r="E216" s="1003"/>
      <c r="F216" s="1003"/>
      <c r="G216" s="1003"/>
      <c r="H216" s="1003"/>
      <c r="I216" s="1003"/>
      <c r="J216" s="1003"/>
      <c r="K216" s="1003"/>
      <c r="L216" s="1003"/>
      <c r="M216" s="1003"/>
      <c r="N216" s="1003"/>
      <c r="O216" s="1003"/>
      <c r="P216" s="1003"/>
      <c r="Q216" s="1003"/>
      <c r="R216" s="1003"/>
      <c r="S216" s="1003"/>
      <c r="T216" s="1003"/>
      <c r="U216" s="1003"/>
      <c r="V216" s="1003"/>
      <c r="W216" s="1003"/>
      <c r="X216" s="1003"/>
      <c r="Y216" s="1003"/>
      <c r="Z216" s="1003"/>
      <c r="AA216" s="1003"/>
      <c r="AB216" s="1003"/>
      <c r="AC216" s="1003"/>
      <c r="AD216" s="1003"/>
      <c r="AE216" s="1003"/>
      <c r="AF216" s="1003"/>
      <c r="AG216" s="1003"/>
      <c r="AI216" s="18"/>
      <c r="AJ216" s="18"/>
      <c r="AK216" s="18"/>
      <c r="AL216" s="18"/>
      <c r="AM216" s="18"/>
      <c r="AN216" s="18"/>
      <c r="AO216" s="18"/>
      <c r="AP216" s="18"/>
      <c r="AQ216" s="18"/>
    </row>
    <row r="217" spans="1:43" s="656" customFormat="1" x14ac:dyDescent="0.2">
      <c r="A217" s="666"/>
      <c r="D217" s="1003"/>
      <c r="E217" s="1003"/>
      <c r="F217" s="1003"/>
      <c r="G217" s="1003"/>
      <c r="H217" s="1003"/>
      <c r="I217" s="1003"/>
      <c r="J217" s="1003"/>
      <c r="K217" s="1003"/>
      <c r="L217" s="1003"/>
      <c r="M217" s="1003"/>
      <c r="N217" s="1003"/>
      <c r="O217" s="1003"/>
      <c r="P217" s="1003"/>
      <c r="Q217" s="1003"/>
      <c r="R217" s="1003"/>
      <c r="S217" s="1003"/>
      <c r="T217" s="1003"/>
      <c r="U217" s="1003"/>
      <c r="V217" s="1003"/>
      <c r="W217" s="1003"/>
      <c r="X217" s="1003"/>
      <c r="Y217" s="1003"/>
      <c r="Z217" s="1003"/>
      <c r="AA217" s="1003"/>
      <c r="AB217" s="1003"/>
      <c r="AC217" s="1003"/>
      <c r="AD217" s="1003"/>
      <c r="AE217" s="1003"/>
      <c r="AF217" s="1003"/>
      <c r="AG217" s="1003"/>
      <c r="AI217" s="18"/>
      <c r="AJ217" s="18"/>
      <c r="AK217" s="18"/>
      <c r="AL217" s="18"/>
      <c r="AM217" s="18"/>
      <c r="AN217" s="18"/>
      <c r="AO217" s="18"/>
      <c r="AP217" s="18"/>
      <c r="AQ217" s="18"/>
    </row>
    <row r="218" spans="1:43" s="656" customFormat="1" x14ac:dyDescent="0.2">
      <c r="A218" s="666"/>
      <c r="D218" s="1003" t="s">
        <v>1452</v>
      </c>
      <c r="E218" s="1003"/>
      <c r="F218" s="1003"/>
      <c r="G218" s="1003"/>
      <c r="H218" s="1003"/>
      <c r="I218" s="1003"/>
      <c r="J218" s="1003"/>
      <c r="K218" s="1003"/>
      <c r="L218" s="1003"/>
      <c r="M218" s="1003"/>
      <c r="N218" s="1003"/>
      <c r="O218" s="1003"/>
      <c r="P218" s="1003"/>
      <c r="Q218" s="1003"/>
      <c r="R218" s="1003"/>
      <c r="S218" s="1003"/>
      <c r="T218" s="1003"/>
      <c r="U218" s="1003"/>
      <c r="V218" s="1003"/>
      <c r="W218" s="1003"/>
      <c r="X218" s="1003"/>
      <c r="Y218" s="1003"/>
      <c r="Z218" s="1003"/>
      <c r="AA218" s="1003"/>
      <c r="AB218" s="1003"/>
      <c r="AC218" s="1003"/>
      <c r="AD218" s="1003"/>
      <c r="AE218" s="1003"/>
      <c r="AF218" s="1003"/>
      <c r="AG218" s="1003"/>
      <c r="AI218" s="18"/>
      <c r="AJ218" s="18"/>
      <c r="AK218" s="18"/>
      <c r="AL218" s="18"/>
      <c r="AM218" s="18"/>
      <c r="AN218" s="18"/>
      <c r="AO218" s="18"/>
      <c r="AP218" s="18"/>
      <c r="AQ218" s="18"/>
    </row>
    <row r="219" spans="1:43" s="656" customFormat="1" x14ac:dyDescent="0.2">
      <c r="A219" s="666"/>
      <c r="D219" s="1003"/>
      <c r="E219" s="1003"/>
      <c r="F219" s="1003"/>
      <c r="G219" s="1003"/>
      <c r="H219" s="1003"/>
      <c r="I219" s="1003"/>
      <c r="J219" s="1003"/>
      <c r="K219" s="1003"/>
      <c r="L219" s="1003"/>
      <c r="M219" s="1003"/>
      <c r="N219" s="1003"/>
      <c r="O219" s="1003"/>
      <c r="P219" s="1003"/>
      <c r="Q219" s="1003"/>
      <c r="R219" s="1003"/>
      <c r="S219" s="1003"/>
      <c r="T219" s="1003"/>
      <c r="U219" s="1003"/>
      <c r="V219" s="1003"/>
      <c r="W219" s="1003"/>
      <c r="X219" s="1003"/>
      <c r="Y219" s="1003"/>
      <c r="Z219" s="1003"/>
      <c r="AA219" s="1003"/>
      <c r="AB219" s="1003"/>
      <c r="AC219" s="1003"/>
      <c r="AD219" s="1003"/>
      <c r="AE219" s="1003"/>
      <c r="AF219" s="1003"/>
      <c r="AG219" s="1003"/>
      <c r="AI219" s="18"/>
      <c r="AJ219" s="18"/>
      <c r="AK219" s="18"/>
      <c r="AL219" s="18"/>
      <c r="AM219" s="18"/>
      <c r="AN219" s="18"/>
      <c r="AO219" s="18"/>
      <c r="AP219" s="18"/>
      <c r="AQ219" s="18"/>
    </row>
    <row r="220" spans="1:43" s="656" customFormat="1" x14ac:dyDescent="0.2">
      <c r="A220" s="666"/>
      <c r="AI220" s="18"/>
      <c r="AJ220" s="18"/>
      <c r="AK220" s="18"/>
      <c r="AL220" s="18"/>
      <c r="AM220" s="18"/>
      <c r="AN220" s="18"/>
      <c r="AO220" s="18"/>
      <c r="AP220" s="18"/>
      <c r="AQ220" s="18"/>
    </row>
    <row r="221" spans="1:43" s="656" customFormat="1" x14ac:dyDescent="0.2">
      <c r="A221" s="666"/>
      <c r="D221" s="655" t="s">
        <v>1601</v>
      </c>
      <c r="AI221" s="18"/>
      <c r="AJ221" s="18"/>
      <c r="AK221" s="18"/>
      <c r="AL221" s="18"/>
      <c r="AM221" s="18"/>
      <c r="AN221" s="18"/>
      <c r="AO221" s="18"/>
      <c r="AP221" s="18"/>
      <c r="AQ221" s="18"/>
    </row>
    <row r="222" spans="1:43" s="656" customFormat="1" x14ac:dyDescent="0.2">
      <c r="A222" s="666"/>
      <c r="AI222" s="18"/>
      <c r="AJ222" s="18"/>
      <c r="AK222" s="18"/>
      <c r="AL222" s="18"/>
      <c r="AM222" s="18"/>
      <c r="AN222" s="18"/>
      <c r="AO222" s="18"/>
      <c r="AP222" s="18"/>
      <c r="AQ222" s="18"/>
    </row>
    <row r="223" spans="1:43" s="656" customFormat="1" x14ac:dyDescent="0.2">
      <c r="A223" s="666"/>
      <c r="D223" s="1003" t="s">
        <v>1453</v>
      </c>
      <c r="E223" s="1003"/>
      <c r="F223" s="1003"/>
      <c r="G223" s="1003"/>
      <c r="H223" s="1003"/>
      <c r="I223" s="1003"/>
      <c r="J223" s="1003"/>
      <c r="K223" s="1003"/>
      <c r="L223" s="1003"/>
      <c r="M223" s="1003"/>
      <c r="N223" s="1003"/>
      <c r="O223" s="1003"/>
      <c r="P223" s="1003"/>
      <c r="Q223" s="1003"/>
      <c r="R223" s="1003"/>
      <c r="S223" s="1003"/>
      <c r="T223" s="1003"/>
      <c r="U223" s="1003"/>
      <c r="V223" s="1003"/>
      <c r="W223" s="1003"/>
      <c r="X223" s="1003"/>
      <c r="Y223" s="1003"/>
      <c r="Z223" s="1003"/>
      <c r="AA223" s="1003"/>
      <c r="AB223" s="1003"/>
      <c r="AC223" s="1003"/>
      <c r="AD223" s="1003"/>
      <c r="AE223" s="1003"/>
      <c r="AF223" s="1003"/>
      <c r="AG223" s="1003"/>
      <c r="AI223" s="18"/>
      <c r="AJ223" s="18"/>
      <c r="AK223" s="18"/>
      <c r="AL223" s="18"/>
      <c r="AM223" s="18"/>
      <c r="AN223" s="18"/>
      <c r="AO223" s="18"/>
      <c r="AP223" s="18"/>
      <c r="AQ223" s="18"/>
    </row>
    <row r="224" spans="1:43" s="656" customFormat="1" x14ac:dyDescent="0.2">
      <c r="A224" s="666"/>
      <c r="D224" s="1003"/>
      <c r="E224" s="1003"/>
      <c r="F224" s="1003"/>
      <c r="G224" s="1003"/>
      <c r="H224" s="1003"/>
      <c r="I224" s="1003"/>
      <c r="J224" s="1003"/>
      <c r="K224" s="1003"/>
      <c r="L224" s="1003"/>
      <c r="M224" s="1003"/>
      <c r="N224" s="1003"/>
      <c r="O224" s="1003"/>
      <c r="P224" s="1003"/>
      <c r="Q224" s="1003"/>
      <c r="R224" s="1003"/>
      <c r="S224" s="1003"/>
      <c r="T224" s="1003"/>
      <c r="U224" s="1003"/>
      <c r="V224" s="1003"/>
      <c r="W224" s="1003"/>
      <c r="X224" s="1003"/>
      <c r="Y224" s="1003"/>
      <c r="Z224" s="1003"/>
      <c r="AA224" s="1003"/>
      <c r="AB224" s="1003"/>
      <c r="AC224" s="1003"/>
      <c r="AD224" s="1003"/>
      <c r="AE224" s="1003"/>
      <c r="AF224" s="1003"/>
      <c r="AG224" s="1003"/>
      <c r="AI224" s="18"/>
      <c r="AJ224" s="18"/>
      <c r="AK224" s="18"/>
      <c r="AL224" s="18"/>
      <c r="AM224" s="18"/>
      <c r="AN224" s="18"/>
      <c r="AO224" s="18"/>
      <c r="AP224" s="18"/>
      <c r="AQ224" s="18"/>
    </row>
    <row r="225" spans="1:43" s="656" customFormat="1" x14ac:dyDescent="0.2">
      <c r="A225" s="666"/>
      <c r="AI225" s="18"/>
      <c r="AJ225" s="18"/>
      <c r="AK225" s="18"/>
      <c r="AL225" s="18"/>
      <c r="AM225" s="18"/>
      <c r="AN225" s="18"/>
      <c r="AO225" s="18"/>
      <c r="AP225" s="18"/>
      <c r="AQ225" s="18"/>
    </row>
    <row r="226" spans="1:43" s="656" customFormat="1" x14ac:dyDescent="0.2">
      <c r="A226" s="666"/>
      <c r="AI226" s="18"/>
      <c r="AJ226" s="18"/>
      <c r="AK226" s="18"/>
      <c r="AL226" s="18"/>
      <c r="AM226" s="18"/>
      <c r="AN226" s="18"/>
      <c r="AO226" s="18"/>
      <c r="AP226" s="18"/>
      <c r="AQ226" s="18"/>
    </row>
    <row r="227" spans="1:43" s="656" customFormat="1" x14ac:dyDescent="0.2">
      <c r="A227" s="666"/>
      <c r="AI227" s="18"/>
      <c r="AJ227" s="18"/>
      <c r="AK227" s="18"/>
      <c r="AL227" s="18"/>
      <c r="AM227" s="18"/>
      <c r="AN227" s="18"/>
      <c r="AO227" s="18"/>
      <c r="AP227" s="18"/>
      <c r="AQ227" s="18"/>
    </row>
    <row r="228" spans="1:43" s="656" customFormat="1" x14ac:dyDescent="0.2">
      <c r="A228" s="666"/>
      <c r="AI228" s="18"/>
      <c r="AJ228" s="18"/>
      <c r="AK228" s="18"/>
      <c r="AL228" s="18"/>
      <c r="AM228" s="18"/>
      <c r="AN228" s="18"/>
      <c r="AO228" s="18"/>
      <c r="AP228" s="18"/>
      <c r="AQ228" s="18"/>
    </row>
    <row r="229" spans="1:43" s="656" customFormat="1" x14ac:dyDescent="0.2">
      <c r="A229" s="666"/>
      <c r="AI229" s="18"/>
      <c r="AJ229" s="18"/>
      <c r="AK229" s="18"/>
      <c r="AL229" s="18"/>
      <c r="AM229" s="18"/>
      <c r="AN229" s="18"/>
      <c r="AO229" s="18"/>
      <c r="AP229" s="18"/>
      <c r="AQ229" s="18"/>
    </row>
    <row r="230" spans="1:43" s="656" customFormat="1" x14ac:dyDescent="0.2">
      <c r="A230" s="666"/>
      <c r="AI230" s="18"/>
      <c r="AJ230" s="18"/>
      <c r="AK230" s="18"/>
      <c r="AL230" s="18"/>
      <c r="AM230" s="18"/>
      <c r="AN230" s="18"/>
      <c r="AO230" s="18"/>
      <c r="AP230" s="18"/>
      <c r="AQ230" s="18"/>
    </row>
    <row r="231" spans="1:43" s="656" customFormat="1" x14ac:dyDescent="0.2">
      <c r="A231" s="666"/>
      <c r="AI231" s="18"/>
      <c r="AJ231" s="18"/>
      <c r="AK231" s="18"/>
      <c r="AL231" s="18"/>
      <c r="AM231" s="18"/>
      <c r="AN231" s="18"/>
      <c r="AO231" s="18"/>
      <c r="AP231" s="18"/>
      <c r="AQ231" s="18"/>
    </row>
    <row r="232" spans="1:43" s="656" customFormat="1" x14ac:dyDescent="0.2">
      <c r="A232" s="666"/>
      <c r="D232" s="655" t="s">
        <v>1602</v>
      </c>
      <c r="AI232" s="18"/>
      <c r="AJ232" s="18"/>
      <c r="AK232" s="18"/>
      <c r="AL232" s="18"/>
      <c r="AM232" s="18"/>
      <c r="AN232" s="18"/>
      <c r="AO232" s="18"/>
      <c r="AP232" s="18"/>
      <c r="AQ232" s="18"/>
    </row>
    <row r="233" spans="1:43" s="656" customFormat="1" x14ac:dyDescent="0.2">
      <c r="A233" s="666"/>
      <c r="AI233" s="18"/>
      <c r="AJ233" s="18"/>
      <c r="AK233" s="18"/>
      <c r="AL233" s="18"/>
      <c r="AM233" s="18"/>
      <c r="AN233" s="18"/>
      <c r="AO233" s="18"/>
      <c r="AP233" s="18"/>
      <c r="AQ233" s="18"/>
    </row>
    <row r="234" spans="1:43" s="656" customFormat="1" x14ac:dyDescent="0.2">
      <c r="A234" s="666"/>
      <c r="D234" s="1003" t="s">
        <v>1454</v>
      </c>
      <c r="E234" s="1003"/>
      <c r="F234" s="1003"/>
      <c r="G234" s="1003"/>
      <c r="H234" s="1003"/>
      <c r="I234" s="1003"/>
      <c r="J234" s="1003"/>
      <c r="K234" s="1003"/>
      <c r="L234" s="1003"/>
      <c r="M234" s="1003"/>
      <c r="N234" s="1003"/>
      <c r="O234" s="1003"/>
      <c r="P234" s="1003"/>
      <c r="Q234" s="1003"/>
      <c r="R234" s="1003"/>
      <c r="S234" s="1003"/>
      <c r="T234" s="1003"/>
      <c r="U234" s="1003"/>
      <c r="V234" s="1003"/>
      <c r="W234" s="1003"/>
      <c r="X234" s="1003"/>
      <c r="Y234" s="1003"/>
      <c r="Z234" s="1003"/>
      <c r="AA234" s="1003"/>
      <c r="AB234" s="1003"/>
      <c r="AC234" s="1003"/>
      <c r="AD234" s="1003"/>
      <c r="AE234" s="1003"/>
      <c r="AF234" s="1003"/>
      <c r="AG234" s="1003"/>
      <c r="AI234" s="18"/>
      <c r="AJ234" s="18"/>
      <c r="AK234" s="18"/>
      <c r="AL234" s="18"/>
      <c r="AM234" s="18"/>
      <c r="AN234" s="18"/>
      <c r="AO234" s="18"/>
      <c r="AP234" s="18"/>
      <c r="AQ234" s="18"/>
    </row>
    <row r="235" spans="1:43" s="656" customFormat="1" x14ac:dyDescent="0.2">
      <c r="A235" s="666"/>
      <c r="D235" s="1003"/>
      <c r="E235" s="1003"/>
      <c r="F235" s="1003"/>
      <c r="G235" s="1003"/>
      <c r="H235" s="1003"/>
      <c r="I235" s="1003"/>
      <c r="J235" s="1003"/>
      <c r="K235" s="1003"/>
      <c r="L235" s="1003"/>
      <c r="M235" s="1003"/>
      <c r="N235" s="1003"/>
      <c r="O235" s="1003"/>
      <c r="P235" s="1003"/>
      <c r="Q235" s="1003"/>
      <c r="R235" s="1003"/>
      <c r="S235" s="1003"/>
      <c r="T235" s="1003"/>
      <c r="U235" s="1003"/>
      <c r="V235" s="1003"/>
      <c r="W235" s="1003"/>
      <c r="X235" s="1003"/>
      <c r="Y235" s="1003"/>
      <c r="Z235" s="1003"/>
      <c r="AA235" s="1003"/>
      <c r="AB235" s="1003"/>
      <c r="AC235" s="1003"/>
      <c r="AD235" s="1003"/>
      <c r="AE235" s="1003"/>
      <c r="AF235" s="1003"/>
      <c r="AG235" s="1003"/>
      <c r="AI235" s="18"/>
      <c r="AJ235" s="18"/>
      <c r="AK235" s="18"/>
      <c r="AL235" s="18"/>
      <c r="AM235" s="18"/>
      <c r="AN235" s="18"/>
      <c r="AO235" s="18"/>
      <c r="AP235" s="18"/>
      <c r="AQ235" s="18"/>
    </row>
    <row r="236" spans="1:43" s="656" customFormat="1" x14ac:dyDescent="0.2">
      <c r="A236" s="666"/>
      <c r="D236" s="888"/>
      <c r="E236" s="888"/>
      <c r="F236" s="888"/>
      <c r="G236" s="888"/>
      <c r="H236" s="888"/>
      <c r="I236" s="888"/>
      <c r="J236" s="888"/>
      <c r="K236" s="888"/>
      <c r="L236" s="888"/>
      <c r="M236" s="888"/>
      <c r="N236" s="888"/>
      <c r="O236" s="888"/>
      <c r="P236" s="888"/>
      <c r="Q236" s="888"/>
      <c r="R236" s="888"/>
      <c r="S236" s="888"/>
      <c r="T236" s="888"/>
      <c r="U236" s="888"/>
      <c r="V236" s="888"/>
      <c r="W236" s="888"/>
      <c r="X236" s="888"/>
      <c r="Y236" s="888"/>
      <c r="Z236" s="888"/>
      <c r="AA236" s="888"/>
      <c r="AB236" s="888"/>
      <c r="AC236" s="888"/>
      <c r="AD236" s="888"/>
      <c r="AE236" s="888"/>
      <c r="AF236" s="888"/>
      <c r="AG236" s="888"/>
      <c r="AI236" s="18"/>
      <c r="AJ236" s="18"/>
      <c r="AK236" s="18"/>
      <c r="AL236" s="18"/>
      <c r="AM236" s="18"/>
      <c r="AN236" s="18"/>
      <c r="AO236" s="18"/>
      <c r="AP236" s="18"/>
      <c r="AQ236" s="18"/>
    </row>
    <row r="237" spans="1:43" s="656" customFormat="1" x14ac:dyDescent="0.2">
      <c r="A237" s="666"/>
      <c r="D237" s="655" t="s">
        <v>1603</v>
      </c>
      <c r="AI237" s="18"/>
      <c r="AJ237" s="18"/>
      <c r="AK237" s="18"/>
      <c r="AL237" s="18"/>
      <c r="AM237" s="18"/>
      <c r="AN237" s="18"/>
      <c r="AO237" s="18"/>
      <c r="AP237" s="18"/>
      <c r="AQ237" s="18"/>
    </row>
    <row r="238" spans="1:43" s="656" customFormat="1" x14ac:dyDescent="0.2">
      <c r="A238" s="666"/>
      <c r="AI238" s="18"/>
      <c r="AJ238" s="18"/>
      <c r="AK238" s="18"/>
      <c r="AL238" s="18"/>
      <c r="AM238" s="18"/>
      <c r="AN238" s="18"/>
      <c r="AO238" s="18"/>
      <c r="AP238" s="18"/>
      <c r="AQ238" s="18"/>
    </row>
    <row r="239" spans="1:43" s="656" customFormat="1" x14ac:dyDescent="0.2">
      <c r="A239" s="666"/>
      <c r="D239" s="1004" t="s">
        <v>1586</v>
      </c>
      <c r="E239" s="1003"/>
      <c r="F239" s="1003"/>
      <c r="G239" s="1003"/>
      <c r="H239" s="1003"/>
      <c r="I239" s="1003"/>
      <c r="J239" s="1003"/>
      <c r="K239" s="1003"/>
      <c r="L239" s="1003"/>
      <c r="M239" s="1003"/>
      <c r="N239" s="1003"/>
      <c r="O239" s="1003"/>
      <c r="P239" s="1003"/>
      <c r="Q239" s="1003"/>
      <c r="R239" s="1003"/>
      <c r="S239" s="1003"/>
      <c r="T239" s="1003"/>
      <c r="U239" s="1003"/>
      <c r="V239" s="1003"/>
      <c r="W239" s="1003"/>
      <c r="X239" s="1003"/>
      <c r="Y239" s="1003"/>
      <c r="Z239" s="1003"/>
      <c r="AA239" s="1003"/>
      <c r="AB239" s="1003"/>
      <c r="AC239" s="1003"/>
      <c r="AD239" s="1003"/>
      <c r="AE239" s="1003"/>
      <c r="AF239" s="1003"/>
      <c r="AG239" s="1003"/>
      <c r="AI239" s="18"/>
      <c r="AJ239" s="18"/>
      <c r="AK239" s="18"/>
      <c r="AL239" s="18"/>
      <c r="AM239" s="18"/>
      <c r="AN239" s="18"/>
      <c r="AO239" s="18"/>
      <c r="AP239" s="18"/>
      <c r="AQ239" s="18"/>
    </row>
    <row r="240" spans="1:43" s="656" customFormat="1" x14ac:dyDescent="0.2">
      <c r="A240" s="666"/>
      <c r="D240" s="1003"/>
      <c r="E240" s="1003"/>
      <c r="F240" s="1003"/>
      <c r="G240" s="1003"/>
      <c r="H240" s="1003"/>
      <c r="I240" s="1003"/>
      <c r="J240" s="1003"/>
      <c r="K240" s="1003"/>
      <c r="L240" s="1003"/>
      <c r="M240" s="1003"/>
      <c r="N240" s="1003"/>
      <c r="O240" s="1003"/>
      <c r="P240" s="1003"/>
      <c r="Q240" s="1003"/>
      <c r="R240" s="1003"/>
      <c r="S240" s="1003"/>
      <c r="T240" s="1003"/>
      <c r="U240" s="1003"/>
      <c r="V240" s="1003"/>
      <c r="W240" s="1003"/>
      <c r="X240" s="1003"/>
      <c r="Y240" s="1003"/>
      <c r="Z240" s="1003"/>
      <c r="AA240" s="1003"/>
      <c r="AB240" s="1003"/>
      <c r="AC240" s="1003"/>
      <c r="AD240" s="1003"/>
      <c r="AE240" s="1003"/>
      <c r="AF240" s="1003"/>
      <c r="AG240" s="1003"/>
      <c r="AI240" s="18"/>
      <c r="AJ240" s="18"/>
      <c r="AK240" s="18"/>
      <c r="AL240" s="18"/>
      <c r="AM240" s="18"/>
      <c r="AN240" s="18"/>
      <c r="AO240" s="18"/>
      <c r="AP240" s="18"/>
      <c r="AQ240" s="18"/>
    </row>
    <row r="241" spans="1:43" s="656" customFormat="1" x14ac:dyDescent="0.2">
      <c r="A241" s="666"/>
      <c r="D241" s="1004" t="s">
        <v>1587</v>
      </c>
      <c r="E241" s="1003"/>
      <c r="F241" s="1003"/>
      <c r="G241" s="1003"/>
      <c r="H241" s="1003"/>
      <c r="I241" s="1003"/>
      <c r="J241" s="1003"/>
      <c r="K241" s="1003"/>
      <c r="L241" s="1003"/>
      <c r="M241" s="1003"/>
      <c r="N241" s="1003"/>
      <c r="O241" s="1003"/>
      <c r="P241" s="1003"/>
      <c r="Q241" s="1003"/>
      <c r="R241" s="1003"/>
      <c r="S241" s="1003"/>
      <c r="T241" s="1003"/>
      <c r="U241" s="1003"/>
      <c r="V241" s="1003"/>
      <c r="W241" s="1003"/>
      <c r="X241" s="1003"/>
      <c r="Y241" s="1003"/>
      <c r="Z241" s="1003"/>
      <c r="AA241" s="1003"/>
      <c r="AB241" s="1003"/>
      <c r="AC241" s="1003"/>
      <c r="AD241" s="1003"/>
      <c r="AE241" s="1003"/>
      <c r="AF241" s="1003"/>
      <c r="AG241" s="1003"/>
      <c r="AI241" s="18"/>
      <c r="AJ241" s="18"/>
      <c r="AK241" s="18"/>
      <c r="AL241" s="18"/>
      <c r="AM241" s="18"/>
      <c r="AN241" s="18"/>
      <c r="AO241" s="18"/>
      <c r="AP241" s="18"/>
      <c r="AQ241" s="18"/>
    </row>
    <row r="242" spans="1:43" s="656" customFormat="1" x14ac:dyDescent="0.2">
      <c r="A242" s="666"/>
      <c r="D242" s="1003"/>
      <c r="E242" s="1003"/>
      <c r="F242" s="1003"/>
      <c r="G242" s="1003"/>
      <c r="H242" s="1003"/>
      <c r="I242" s="1003"/>
      <c r="J242" s="1003"/>
      <c r="K242" s="1003"/>
      <c r="L242" s="1003"/>
      <c r="M242" s="1003"/>
      <c r="N242" s="1003"/>
      <c r="O242" s="1003"/>
      <c r="P242" s="1003"/>
      <c r="Q242" s="1003"/>
      <c r="R242" s="1003"/>
      <c r="S242" s="1003"/>
      <c r="T242" s="1003"/>
      <c r="U242" s="1003"/>
      <c r="V242" s="1003"/>
      <c r="W242" s="1003"/>
      <c r="X242" s="1003"/>
      <c r="Y242" s="1003"/>
      <c r="Z242" s="1003"/>
      <c r="AA242" s="1003"/>
      <c r="AB242" s="1003"/>
      <c r="AC242" s="1003"/>
      <c r="AD242" s="1003"/>
      <c r="AE242" s="1003"/>
      <c r="AF242" s="1003"/>
      <c r="AG242" s="1003"/>
      <c r="AI242" s="18"/>
      <c r="AJ242" s="18"/>
      <c r="AK242" s="18"/>
      <c r="AL242" s="18"/>
      <c r="AM242" s="18"/>
      <c r="AN242" s="18"/>
      <c r="AO242" s="18"/>
      <c r="AP242" s="18"/>
      <c r="AQ242" s="18"/>
    </row>
    <row r="243" spans="1:43" s="656" customFormat="1" x14ac:dyDescent="0.2">
      <c r="A243" s="666"/>
      <c r="D243" s="1003"/>
      <c r="E243" s="1003"/>
      <c r="F243" s="1003"/>
      <c r="G243" s="1003"/>
      <c r="H243" s="1003"/>
      <c r="I243" s="1003"/>
      <c r="J243" s="1003"/>
      <c r="K243" s="1003"/>
      <c r="L243" s="1003"/>
      <c r="M243" s="1003"/>
      <c r="N243" s="1003"/>
      <c r="O243" s="1003"/>
      <c r="P243" s="1003"/>
      <c r="Q243" s="1003"/>
      <c r="R243" s="1003"/>
      <c r="S243" s="1003"/>
      <c r="T243" s="1003"/>
      <c r="U243" s="1003"/>
      <c r="V243" s="1003"/>
      <c r="W243" s="1003"/>
      <c r="X243" s="1003"/>
      <c r="Y243" s="1003"/>
      <c r="Z243" s="1003"/>
      <c r="AA243" s="1003"/>
      <c r="AB243" s="1003"/>
      <c r="AC243" s="1003"/>
      <c r="AD243" s="1003"/>
      <c r="AE243" s="1003"/>
      <c r="AF243" s="1003"/>
      <c r="AG243" s="1003"/>
      <c r="AI243" s="18"/>
      <c r="AJ243" s="18"/>
      <c r="AK243" s="18"/>
      <c r="AL243" s="18"/>
      <c r="AM243" s="18"/>
      <c r="AN243" s="18"/>
      <c r="AO243" s="18"/>
      <c r="AP243" s="18"/>
      <c r="AQ243" s="18"/>
    </row>
    <row r="244" spans="1:43" s="656" customFormat="1" ht="16.5" customHeight="1" x14ac:dyDescent="0.2">
      <c r="A244" s="666"/>
      <c r="D244" s="1003"/>
      <c r="E244" s="1003"/>
      <c r="F244" s="1003"/>
      <c r="G244" s="1003"/>
      <c r="H244" s="1003"/>
      <c r="I244" s="1003"/>
      <c r="J244" s="1003"/>
      <c r="K244" s="1003"/>
      <c r="L244" s="1003"/>
      <c r="M244" s="1003"/>
      <c r="N244" s="1003"/>
      <c r="O244" s="1003"/>
      <c r="P244" s="1003"/>
      <c r="Q244" s="1003"/>
      <c r="R244" s="1003"/>
      <c r="S244" s="1003"/>
      <c r="T244" s="1003"/>
      <c r="U244" s="1003"/>
      <c r="V244" s="1003"/>
      <c r="W244" s="1003"/>
      <c r="X244" s="1003"/>
      <c r="Y244" s="1003"/>
      <c r="Z244" s="1003"/>
      <c r="AA244" s="1003"/>
      <c r="AB244" s="1003"/>
      <c r="AC244" s="1003"/>
      <c r="AD244" s="1003"/>
      <c r="AE244" s="1003"/>
      <c r="AF244" s="1003"/>
      <c r="AG244" s="1003"/>
      <c r="AI244" s="18"/>
      <c r="AJ244" s="18"/>
      <c r="AK244" s="18"/>
      <c r="AL244" s="18"/>
      <c r="AM244" s="18"/>
      <c r="AN244" s="18"/>
      <c r="AO244" s="18"/>
      <c r="AP244" s="18"/>
      <c r="AQ244" s="18"/>
    </row>
    <row r="245" spans="1:43" s="656" customFormat="1" hidden="1" x14ac:dyDescent="0.2">
      <c r="A245" s="666"/>
      <c r="D245" s="1003"/>
      <c r="E245" s="1003"/>
      <c r="F245" s="1003"/>
      <c r="G245" s="1003"/>
      <c r="H245" s="1003"/>
      <c r="I245" s="1003"/>
      <c r="J245" s="1003"/>
      <c r="K245" s="1003"/>
      <c r="L245" s="1003"/>
      <c r="M245" s="1003"/>
      <c r="N245" s="1003"/>
      <c r="O245" s="1003"/>
      <c r="P245" s="1003"/>
      <c r="Q245" s="1003"/>
      <c r="R245" s="1003"/>
      <c r="S245" s="1003"/>
      <c r="T245" s="1003"/>
      <c r="U245" s="1003"/>
      <c r="V245" s="1003"/>
      <c r="W245" s="1003"/>
      <c r="X245" s="1003"/>
      <c r="Y245" s="1003"/>
      <c r="Z245" s="1003"/>
      <c r="AA245" s="1003"/>
      <c r="AB245" s="1003"/>
      <c r="AC245" s="1003"/>
      <c r="AD245" s="1003"/>
      <c r="AE245" s="1003"/>
      <c r="AF245" s="1003"/>
      <c r="AG245" s="1003"/>
      <c r="AI245" s="18"/>
      <c r="AJ245" s="18"/>
      <c r="AK245" s="18"/>
      <c r="AL245" s="18"/>
      <c r="AM245" s="18"/>
      <c r="AN245" s="18"/>
      <c r="AO245" s="18"/>
      <c r="AP245" s="18"/>
      <c r="AQ245" s="18"/>
    </row>
    <row r="246" spans="1:43" s="656" customFormat="1" x14ac:dyDescent="0.2">
      <c r="A246" s="666"/>
      <c r="D246" s="886" t="s">
        <v>1588</v>
      </c>
      <c r="E246" s="883"/>
      <c r="F246" s="883"/>
      <c r="G246" s="883"/>
      <c r="H246" s="883"/>
      <c r="I246" s="883"/>
      <c r="J246" s="883"/>
      <c r="K246" s="883"/>
      <c r="L246" s="883"/>
      <c r="M246" s="883"/>
      <c r="N246" s="883"/>
      <c r="O246" s="883"/>
      <c r="P246" s="883"/>
      <c r="Q246" s="883"/>
      <c r="R246" s="883"/>
      <c r="S246" s="883"/>
      <c r="T246" s="883"/>
      <c r="U246" s="883"/>
      <c r="V246" s="883"/>
      <c r="W246" s="883"/>
      <c r="X246" s="883"/>
      <c r="Y246" s="883"/>
      <c r="Z246" s="883"/>
      <c r="AA246" s="883"/>
      <c r="AB246" s="883"/>
      <c r="AC246" s="883"/>
      <c r="AD246" s="883"/>
      <c r="AE246" s="883"/>
      <c r="AF246" s="883"/>
      <c r="AG246" s="883"/>
      <c r="AI246" s="18"/>
      <c r="AJ246" s="18"/>
      <c r="AK246" s="18"/>
      <c r="AL246" s="18"/>
      <c r="AM246" s="18"/>
      <c r="AN246" s="18"/>
      <c r="AO246" s="18"/>
      <c r="AP246" s="18"/>
      <c r="AQ246" s="18"/>
    </row>
    <row r="247" spans="1:43" s="656" customFormat="1" x14ac:dyDescent="0.2">
      <c r="A247" s="666"/>
      <c r="AI247" s="18"/>
      <c r="AJ247" s="18"/>
      <c r="AK247" s="18"/>
      <c r="AL247" s="18"/>
      <c r="AM247" s="18"/>
      <c r="AN247" s="18"/>
      <c r="AO247" s="18"/>
      <c r="AP247" s="18"/>
      <c r="AQ247" s="18"/>
    </row>
    <row r="248" spans="1:43" s="656" customFormat="1" x14ac:dyDescent="0.2">
      <c r="A248" s="666"/>
      <c r="D248" s="655" t="s">
        <v>1604</v>
      </c>
      <c r="AI248" s="18"/>
      <c r="AJ248" s="18"/>
      <c r="AK248" s="18"/>
      <c r="AL248" s="18"/>
      <c r="AM248" s="18"/>
      <c r="AN248" s="18"/>
      <c r="AO248" s="18"/>
      <c r="AP248" s="18"/>
      <c r="AQ248" s="18"/>
    </row>
    <row r="249" spans="1:43" s="656" customFormat="1" x14ac:dyDescent="0.2">
      <c r="A249" s="666"/>
      <c r="AI249" s="18"/>
      <c r="AJ249" s="18"/>
      <c r="AK249" s="18"/>
      <c r="AL249" s="18"/>
      <c r="AM249" s="18"/>
      <c r="AN249" s="18"/>
      <c r="AO249" s="18"/>
      <c r="AP249" s="18"/>
      <c r="AQ249" s="18"/>
    </row>
    <row r="250" spans="1:43" s="656" customFormat="1" x14ac:dyDescent="0.2">
      <c r="A250" s="666"/>
      <c r="D250" s="1003" t="s">
        <v>1455</v>
      </c>
      <c r="E250" s="1003"/>
      <c r="F250" s="1003"/>
      <c r="G250" s="1003"/>
      <c r="H250" s="1003"/>
      <c r="I250" s="1003"/>
      <c r="J250" s="1003"/>
      <c r="K250" s="1003"/>
      <c r="L250" s="1003"/>
      <c r="M250" s="1003"/>
      <c r="N250" s="1003"/>
      <c r="O250" s="1003"/>
      <c r="P250" s="1003"/>
      <c r="Q250" s="1003"/>
      <c r="R250" s="1003"/>
      <c r="S250" s="1003"/>
      <c r="T250" s="1003"/>
      <c r="U250" s="1003"/>
      <c r="V250" s="1003"/>
      <c r="W250" s="1003"/>
      <c r="X250" s="1003"/>
      <c r="Y250" s="1003"/>
      <c r="Z250" s="1003"/>
      <c r="AA250" s="1003"/>
      <c r="AB250" s="1003"/>
      <c r="AC250" s="1003"/>
      <c r="AD250" s="1003"/>
      <c r="AE250" s="1003"/>
      <c r="AF250" s="1003"/>
      <c r="AG250" s="1003"/>
      <c r="AI250" s="18"/>
      <c r="AJ250" s="18"/>
      <c r="AK250" s="18"/>
      <c r="AL250" s="18"/>
      <c r="AM250" s="18"/>
      <c r="AN250" s="18"/>
      <c r="AO250" s="18"/>
      <c r="AP250" s="18"/>
      <c r="AQ250" s="18"/>
    </row>
    <row r="251" spans="1:43" s="656" customFormat="1" x14ac:dyDescent="0.2">
      <c r="A251" s="666"/>
      <c r="D251" s="1003"/>
      <c r="E251" s="1003"/>
      <c r="F251" s="1003"/>
      <c r="G251" s="1003"/>
      <c r="H251" s="1003"/>
      <c r="I251" s="1003"/>
      <c r="J251" s="1003"/>
      <c r="K251" s="1003"/>
      <c r="L251" s="1003"/>
      <c r="M251" s="1003"/>
      <c r="N251" s="1003"/>
      <c r="O251" s="1003"/>
      <c r="P251" s="1003"/>
      <c r="Q251" s="1003"/>
      <c r="R251" s="1003"/>
      <c r="S251" s="1003"/>
      <c r="T251" s="1003"/>
      <c r="U251" s="1003"/>
      <c r="V251" s="1003"/>
      <c r="W251" s="1003"/>
      <c r="X251" s="1003"/>
      <c r="Y251" s="1003"/>
      <c r="Z251" s="1003"/>
      <c r="AA251" s="1003"/>
      <c r="AB251" s="1003"/>
      <c r="AC251" s="1003"/>
      <c r="AD251" s="1003"/>
      <c r="AE251" s="1003"/>
      <c r="AF251" s="1003"/>
      <c r="AG251" s="1003"/>
      <c r="AI251" s="18"/>
      <c r="AJ251" s="18"/>
      <c r="AK251" s="18"/>
      <c r="AL251" s="18"/>
      <c r="AM251" s="18"/>
      <c r="AN251" s="18"/>
      <c r="AO251" s="18"/>
      <c r="AP251" s="18"/>
      <c r="AQ251" s="18"/>
    </row>
    <row r="252" spans="1:43" s="656" customFormat="1" x14ac:dyDescent="0.2">
      <c r="A252" s="666"/>
      <c r="AI252" s="18"/>
      <c r="AJ252" s="18"/>
      <c r="AK252" s="18"/>
      <c r="AL252" s="18"/>
      <c r="AM252" s="18"/>
      <c r="AN252" s="18"/>
      <c r="AO252" s="18"/>
      <c r="AP252" s="18"/>
      <c r="AQ252" s="18"/>
    </row>
    <row r="253" spans="1:43" s="656" customFormat="1" x14ac:dyDescent="0.2">
      <c r="A253" s="666"/>
      <c r="D253" s="1003" t="s">
        <v>1456</v>
      </c>
      <c r="E253" s="1003"/>
      <c r="F253" s="1003"/>
      <c r="G253" s="1003"/>
      <c r="H253" s="1003"/>
      <c r="I253" s="1003"/>
      <c r="J253" s="1003"/>
      <c r="K253" s="1003"/>
      <c r="L253" s="1003"/>
      <c r="M253" s="1003"/>
      <c r="N253" s="1003"/>
      <c r="O253" s="1003"/>
      <c r="P253" s="1003"/>
      <c r="Q253" s="1003"/>
      <c r="R253" s="1003"/>
      <c r="S253" s="1003"/>
      <c r="T253" s="1003"/>
      <c r="U253" s="1003"/>
      <c r="V253" s="1003"/>
      <c r="W253" s="1003"/>
      <c r="X253" s="1003"/>
      <c r="Y253" s="1003"/>
      <c r="Z253" s="1003"/>
      <c r="AA253" s="1003"/>
      <c r="AB253" s="1003"/>
      <c r="AC253" s="1003"/>
      <c r="AD253" s="1003"/>
      <c r="AE253" s="1003"/>
      <c r="AF253" s="1003"/>
      <c r="AG253" s="1003"/>
      <c r="AI253" s="18"/>
      <c r="AJ253" s="18"/>
      <c r="AK253" s="18"/>
      <c r="AL253" s="18"/>
      <c r="AM253" s="18"/>
      <c r="AN253" s="18"/>
      <c r="AO253" s="18"/>
      <c r="AP253" s="18"/>
      <c r="AQ253" s="18"/>
    </row>
    <row r="254" spans="1:43" s="656" customFormat="1" x14ac:dyDescent="0.2">
      <c r="A254" s="666"/>
      <c r="D254" s="1003"/>
      <c r="E254" s="1003"/>
      <c r="F254" s="1003"/>
      <c r="G254" s="1003"/>
      <c r="H254" s="1003"/>
      <c r="I254" s="1003"/>
      <c r="J254" s="1003"/>
      <c r="K254" s="1003"/>
      <c r="L254" s="1003"/>
      <c r="M254" s="1003"/>
      <c r="N254" s="1003"/>
      <c r="O254" s="1003"/>
      <c r="P254" s="1003"/>
      <c r="Q254" s="1003"/>
      <c r="R254" s="1003"/>
      <c r="S254" s="1003"/>
      <c r="T254" s="1003"/>
      <c r="U254" s="1003"/>
      <c r="V254" s="1003"/>
      <c r="W254" s="1003"/>
      <c r="X254" s="1003"/>
      <c r="Y254" s="1003"/>
      <c r="Z254" s="1003"/>
      <c r="AA254" s="1003"/>
      <c r="AB254" s="1003"/>
      <c r="AC254" s="1003"/>
      <c r="AD254" s="1003"/>
      <c r="AE254" s="1003"/>
      <c r="AF254" s="1003"/>
      <c r="AG254" s="1003"/>
      <c r="AI254" s="18"/>
      <c r="AJ254" s="18"/>
      <c r="AK254" s="18"/>
      <c r="AL254" s="18"/>
      <c r="AM254" s="18"/>
      <c r="AN254" s="18"/>
      <c r="AO254" s="18"/>
      <c r="AP254" s="18"/>
      <c r="AQ254" s="18"/>
    </row>
    <row r="255" spans="1:43" s="656" customFormat="1" x14ac:dyDescent="0.2">
      <c r="A255" s="666"/>
      <c r="AI255" s="18"/>
      <c r="AJ255" s="18"/>
      <c r="AK255" s="18"/>
      <c r="AL255" s="18"/>
      <c r="AM255" s="18"/>
      <c r="AN255" s="18"/>
      <c r="AO255" s="18"/>
      <c r="AP255" s="18"/>
      <c r="AQ255" s="18"/>
    </row>
    <row r="256" spans="1:43" s="656" customFormat="1" x14ac:dyDescent="0.2">
      <c r="A256" s="666"/>
      <c r="D256" s="1003" t="s">
        <v>1457</v>
      </c>
      <c r="E256" s="1003"/>
      <c r="F256" s="1003"/>
      <c r="G256" s="1003"/>
      <c r="H256" s="1003"/>
      <c r="I256" s="1003"/>
      <c r="J256" s="1003"/>
      <c r="K256" s="1003"/>
      <c r="L256" s="1003"/>
      <c r="M256" s="1003"/>
      <c r="N256" s="1003"/>
      <c r="O256" s="1003"/>
      <c r="P256" s="1003"/>
      <c r="Q256" s="1003"/>
      <c r="R256" s="1003"/>
      <c r="S256" s="1003"/>
      <c r="T256" s="1003"/>
      <c r="U256" s="1003"/>
      <c r="V256" s="1003"/>
      <c r="W256" s="1003"/>
      <c r="X256" s="1003"/>
      <c r="Y256" s="1003"/>
      <c r="Z256" s="1003"/>
      <c r="AA256" s="1003"/>
      <c r="AB256" s="1003"/>
      <c r="AC256" s="1003"/>
      <c r="AD256" s="1003"/>
      <c r="AE256" s="1003"/>
      <c r="AF256" s="1003"/>
      <c r="AG256" s="1003"/>
      <c r="AI256" s="18"/>
      <c r="AJ256" s="18"/>
      <c r="AK256" s="18"/>
      <c r="AL256" s="18"/>
      <c r="AM256" s="18"/>
      <c r="AN256" s="18"/>
      <c r="AO256" s="18"/>
      <c r="AP256" s="18"/>
      <c r="AQ256" s="18"/>
    </row>
    <row r="257" spans="1:43" s="656" customFormat="1" x14ac:dyDescent="0.2">
      <c r="A257" s="666"/>
      <c r="AI257" s="18"/>
      <c r="AJ257" s="18"/>
      <c r="AK257" s="18"/>
      <c r="AL257" s="18"/>
      <c r="AM257" s="18"/>
      <c r="AN257" s="18"/>
      <c r="AO257" s="18"/>
      <c r="AP257" s="18"/>
      <c r="AQ257" s="18"/>
    </row>
    <row r="258" spans="1:43" s="656" customFormat="1" x14ac:dyDescent="0.2">
      <c r="A258" s="666"/>
      <c r="D258" s="655" t="s">
        <v>1605</v>
      </c>
      <c r="AI258" s="18"/>
      <c r="AJ258" s="18"/>
      <c r="AK258" s="18"/>
      <c r="AL258" s="18"/>
      <c r="AM258" s="18"/>
      <c r="AN258" s="18"/>
      <c r="AO258" s="18"/>
      <c r="AP258" s="18"/>
      <c r="AQ258" s="18"/>
    </row>
    <row r="259" spans="1:43" s="656" customFormat="1" x14ac:dyDescent="0.2">
      <c r="A259" s="666"/>
      <c r="AI259" s="18"/>
      <c r="AJ259" s="18"/>
      <c r="AK259" s="18"/>
      <c r="AL259" s="18"/>
      <c r="AM259" s="18"/>
      <c r="AN259" s="18"/>
      <c r="AO259" s="18"/>
      <c r="AP259" s="18"/>
      <c r="AQ259" s="18"/>
    </row>
    <row r="260" spans="1:43" s="656" customFormat="1" x14ac:dyDescent="0.2">
      <c r="A260" s="666"/>
      <c r="D260" s="1004" t="s">
        <v>1458</v>
      </c>
      <c r="E260" s="1003"/>
      <c r="F260" s="1003"/>
      <c r="G260" s="1003"/>
      <c r="H260" s="1003"/>
      <c r="I260" s="1003"/>
      <c r="J260" s="1003"/>
      <c r="K260" s="1003"/>
      <c r="L260" s="1003"/>
      <c r="M260" s="1003"/>
      <c r="N260" s="1003"/>
      <c r="O260" s="1003"/>
      <c r="P260" s="1003"/>
      <c r="Q260" s="1003"/>
      <c r="R260" s="1003"/>
      <c r="S260" s="1003"/>
      <c r="T260" s="1003"/>
      <c r="U260" s="1003"/>
      <c r="V260" s="1003"/>
      <c r="W260" s="1003"/>
      <c r="X260" s="1003"/>
      <c r="Y260" s="1003"/>
      <c r="Z260" s="1003"/>
      <c r="AA260" s="1003"/>
      <c r="AB260" s="1003"/>
      <c r="AC260" s="1003"/>
      <c r="AD260" s="1003"/>
      <c r="AE260" s="1003"/>
      <c r="AF260" s="1003"/>
      <c r="AG260" s="1003"/>
      <c r="AI260" s="18"/>
      <c r="AJ260" s="18"/>
      <c r="AK260" s="18"/>
      <c r="AL260" s="18"/>
      <c r="AM260" s="18"/>
      <c r="AN260" s="18"/>
      <c r="AO260" s="18"/>
      <c r="AP260" s="18"/>
      <c r="AQ260" s="18"/>
    </row>
    <row r="261" spans="1:43" s="656" customFormat="1" x14ac:dyDescent="0.2">
      <c r="A261" s="666"/>
      <c r="D261" s="1003"/>
      <c r="E261" s="1003"/>
      <c r="F261" s="1003"/>
      <c r="G261" s="1003"/>
      <c r="H261" s="1003"/>
      <c r="I261" s="1003"/>
      <c r="J261" s="1003"/>
      <c r="K261" s="1003"/>
      <c r="L261" s="1003"/>
      <c r="M261" s="1003"/>
      <c r="N261" s="1003"/>
      <c r="O261" s="1003"/>
      <c r="P261" s="1003"/>
      <c r="Q261" s="1003"/>
      <c r="R261" s="1003"/>
      <c r="S261" s="1003"/>
      <c r="T261" s="1003"/>
      <c r="U261" s="1003"/>
      <c r="V261" s="1003"/>
      <c r="W261" s="1003"/>
      <c r="X261" s="1003"/>
      <c r="Y261" s="1003"/>
      <c r="Z261" s="1003"/>
      <c r="AA261" s="1003"/>
      <c r="AB261" s="1003"/>
      <c r="AC261" s="1003"/>
      <c r="AD261" s="1003"/>
      <c r="AE261" s="1003"/>
      <c r="AF261" s="1003"/>
      <c r="AG261" s="1003"/>
      <c r="AI261" s="18"/>
      <c r="AJ261" s="18"/>
      <c r="AK261" s="18"/>
      <c r="AL261" s="18"/>
      <c r="AM261" s="18"/>
      <c r="AN261" s="18"/>
      <c r="AO261" s="18"/>
      <c r="AP261" s="18"/>
      <c r="AQ261" s="18"/>
    </row>
    <row r="262" spans="1:43" s="656" customFormat="1" x14ac:dyDescent="0.2">
      <c r="A262" s="666"/>
      <c r="AI262" s="18"/>
      <c r="AJ262" s="18"/>
      <c r="AK262" s="18"/>
      <c r="AL262" s="18"/>
      <c r="AM262" s="18"/>
      <c r="AN262" s="18"/>
      <c r="AO262" s="18"/>
      <c r="AP262" s="18"/>
      <c r="AQ262" s="18"/>
    </row>
    <row r="263" spans="1:43" s="656" customFormat="1" x14ac:dyDescent="0.2">
      <c r="A263" s="666"/>
      <c r="D263" s="655" t="s">
        <v>1606</v>
      </c>
      <c r="AI263" s="18"/>
      <c r="AJ263" s="18"/>
      <c r="AK263" s="18"/>
      <c r="AL263" s="18"/>
      <c r="AM263" s="18"/>
      <c r="AN263" s="18"/>
      <c r="AO263" s="18"/>
      <c r="AP263" s="18"/>
      <c r="AQ263" s="18"/>
    </row>
    <row r="264" spans="1:43" s="656" customFormat="1" x14ac:dyDescent="0.2">
      <c r="A264" s="666"/>
      <c r="AI264" s="18"/>
      <c r="AJ264" s="18"/>
      <c r="AK264" s="18"/>
      <c r="AL264" s="18"/>
      <c r="AM264" s="18"/>
      <c r="AN264" s="18"/>
      <c r="AO264" s="18"/>
      <c r="AP264" s="18"/>
      <c r="AQ264" s="18"/>
    </row>
    <row r="265" spans="1:43" s="656" customFormat="1" ht="46.5" customHeight="1" x14ac:dyDescent="0.2">
      <c r="A265" s="666"/>
      <c r="D265" s="1004" t="s">
        <v>1589</v>
      </c>
      <c r="E265" s="1003"/>
      <c r="F265" s="1003"/>
      <c r="G265" s="1003"/>
      <c r="H265" s="1003"/>
      <c r="I265" s="1003"/>
      <c r="J265" s="1003"/>
      <c r="K265" s="1003"/>
      <c r="L265" s="1003"/>
      <c r="M265" s="1003"/>
      <c r="N265" s="1003"/>
      <c r="O265" s="1003"/>
      <c r="P265" s="1003"/>
      <c r="Q265" s="1003"/>
      <c r="R265" s="1003"/>
      <c r="S265" s="1003"/>
      <c r="T265" s="1003"/>
      <c r="U265" s="1003"/>
      <c r="V265" s="1003"/>
      <c r="W265" s="1003"/>
      <c r="X265" s="1003"/>
      <c r="Y265" s="1003"/>
      <c r="Z265" s="1003"/>
      <c r="AA265" s="1003"/>
      <c r="AB265" s="1003"/>
      <c r="AC265" s="1003"/>
      <c r="AD265" s="1003"/>
      <c r="AE265" s="1003"/>
      <c r="AF265" s="1003"/>
      <c r="AG265" s="1003"/>
      <c r="AI265" s="18"/>
      <c r="AJ265" s="18"/>
      <c r="AK265" s="18"/>
      <c r="AL265" s="18"/>
      <c r="AM265" s="18"/>
      <c r="AN265" s="18"/>
      <c r="AO265" s="18"/>
      <c r="AP265" s="18"/>
      <c r="AQ265" s="18"/>
    </row>
    <row r="266" spans="1:43" s="656" customFormat="1" x14ac:dyDescent="0.2">
      <c r="A266" s="666"/>
      <c r="D266" s="655" t="s">
        <v>1607</v>
      </c>
      <c r="AI266" s="18"/>
      <c r="AJ266" s="18"/>
      <c r="AK266" s="18"/>
      <c r="AL266" s="18"/>
      <c r="AM266" s="18"/>
      <c r="AN266" s="18"/>
      <c r="AO266" s="18"/>
      <c r="AP266" s="18"/>
      <c r="AQ266" s="18"/>
    </row>
    <row r="267" spans="1:43" s="656" customFormat="1" x14ac:dyDescent="0.2">
      <c r="A267" s="666"/>
      <c r="AI267" s="18"/>
      <c r="AJ267" s="18"/>
      <c r="AK267" s="18"/>
      <c r="AL267" s="18"/>
      <c r="AM267" s="18"/>
      <c r="AN267" s="18"/>
      <c r="AO267" s="18"/>
      <c r="AP267" s="18"/>
      <c r="AQ267" s="18"/>
    </row>
    <row r="268" spans="1:43" s="656" customFormat="1" x14ac:dyDescent="0.2">
      <c r="A268" s="666"/>
      <c r="D268" s="1004" t="s">
        <v>1590</v>
      </c>
      <c r="E268" s="1003"/>
      <c r="F268" s="1003"/>
      <c r="G268" s="1003"/>
      <c r="H268" s="1003"/>
      <c r="I268" s="1003"/>
      <c r="J268" s="1003"/>
      <c r="K268" s="1003"/>
      <c r="L268" s="1003"/>
      <c r="M268" s="1003"/>
      <c r="N268" s="1003"/>
      <c r="O268" s="1003"/>
      <c r="P268" s="1003"/>
      <c r="Q268" s="1003"/>
      <c r="R268" s="1003"/>
      <c r="S268" s="1003"/>
      <c r="T268" s="1003"/>
      <c r="U268" s="1003"/>
      <c r="V268" s="1003"/>
      <c r="W268" s="1003"/>
      <c r="X268" s="1003"/>
      <c r="Y268" s="1003"/>
      <c r="Z268" s="1003"/>
      <c r="AA268" s="1003"/>
      <c r="AB268" s="1003"/>
      <c r="AC268" s="1003"/>
      <c r="AD268" s="1003"/>
      <c r="AE268" s="1003"/>
      <c r="AF268" s="1003"/>
      <c r="AG268" s="1003"/>
      <c r="AI268" s="18"/>
      <c r="AJ268" s="18"/>
      <c r="AK268" s="18"/>
      <c r="AL268" s="18"/>
      <c r="AM268" s="18"/>
      <c r="AN268" s="18"/>
      <c r="AO268" s="18"/>
      <c r="AP268" s="18"/>
      <c r="AQ268" s="18"/>
    </row>
    <row r="269" spans="1:43" s="656" customFormat="1" x14ac:dyDescent="0.2">
      <c r="A269" s="666"/>
      <c r="D269" s="1003"/>
      <c r="E269" s="1003"/>
      <c r="F269" s="1003"/>
      <c r="G269" s="1003"/>
      <c r="H269" s="1003"/>
      <c r="I269" s="1003"/>
      <c r="J269" s="1003"/>
      <c r="K269" s="1003"/>
      <c r="L269" s="1003"/>
      <c r="M269" s="1003"/>
      <c r="N269" s="1003"/>
      <c r="O269" s="1003"/>
      <c r="P269" s="1003"/>
      <c r="Q269" s="1003"/>
      <c r="R269" s="1003"/>
      <c r="S269" s="1003"/>
      <c r="T269" s="1003"/>
      <c r="U269" s="1003"/>
      <c r="V269" s="1003"/>
      <c r="W269" s="1003"/>
      <c r="X269" s="1003"/>
      <c r="Y269" s="1003"/>
      <c r="Z269" s="1003"/>
      <c r="AA269" s="1003"/>
      <c r="AB269" s="1003"/>
      <c r="AC269" s="1003"/>
      <c r="AD269" s="1003"/>
      <c r="AE269" s="1003"/>
      <c r="AF269" s="1003"/>
      <c r="AG269" s="1003"/>
      <c r="AI269" s="18"/>
      <c r="AJ269" s="18"/>
      <c r="AK269" s="18"/>
      <c r="AL269" s="18"/>
      <c r="AM269" s="18"/>
      <c r="AN269" s="18"/>
      <c r="AO269" s="18"/>
      <c r="AP269" s="18"/>
      <c r="AQ269" s="18"/>
    </row>
    <row r="270" spans="1:43" s="656" customFormat="1" x14ac:dyDescent="0.2">
      <c r="A270" s="666"/>
      <c r="D270" s="1003"/>
      <c r="E270" s="1003"/>
      <c r="F270" s="1003"/>
      <c r="G270" s="1003"/>
      <c r="H270" s="1003"/>
      <c r="I270" s="1003"/>
      <c r="J270" s="1003"/>
      <c r="K270" s="1003"/>
      <c r="L270" s="1003"/>
      <c r="M270" s="1003"/>
      <c r="N270" s="1003"/>
      <c r="O270" s="1003"/>
      <c r="P270" s="1003"/>
      <c r="Q270" s="1003"/>
      <c r="R270" s="1003"/>
      <c r="S270" s="1003"/>
      <c r="T270" s="1003"/>
      <c r="U270" s="1003"/>
      <c r="V270" s="1003"/>
      <c r="W270" s="1003"/>
      <c r="X270" s="1003"/>
      <c r="Y270" s="1003"/>
      <c r="Z270" s="1003"/>
      <c r="AA270" s="1003"/>
      <c r="AB270" s="1003"/>
      <c r="AC270" s="1003"/>
      <c r="AD270" s="1003"/>
      <c r="AE270" s="1003"/>
      <c r="AF270" s="1003"/>
      <c r="AG270" s="1003"/>
      <c r="AI270" s="18"/>
      <c r="AJ270" s="18"/>
      <c r="AK270" s="18"/>
      <c r="AL270" s="18"/>
      <c r="AM270" s="18"/>
      <c r="AN270" s="18"/>
      <c r="AO270" s="18"/>
      <c r="AP270" s="18"/>
      <c r="AQ270" s="18"/>
    </row>
    <row r="271" spans="1:43" s="656" customFormat="1" x14ac:dyDescent="0.2">
      <c r="A271" s="666"/>
      <c r="AI271" s="18"/>
      <c r="AJ271" s="18"/>
      <c r="AK271" s="18"/>
      <c r="AL271" s="18"/>
      <c r="AM271" s="18"/>
      <c r="AN271" s="18"/>
      <c r="AO271" s="18"/>
      <c r="AP271" s="18"/>
      <c r="AQ271" s="18"/>
    </row>
    <row r="272" spans="1:43" s="656" customFormat="1" x14ac:dyDescent="0.2">
      <c r="A272" s="666"/>
      <c r="D272" s="656" t="s">
        <v>1436</v>
      </c>
      <c r="E272" s="1003" t="s">
        <v>1459</v>
      </c>
      <c r="F272" s="1003"/>
      <c r="G272" s="1003"/>
      <c r="H272" s="1003"/>
      <c r="I272" s="1003"/>
      <c r="J272" s="1003"/>
      <c r="K272" s="1003"/>
      <c r="L272" s="1003"/>
      <c r="M272" s="1003"/>
      <c r="N272" s="1003"/>
      <c r="O272" s="1003"/>
      <c r="P272" s="1003"/>
      <c r="Q272" s="1003"/>
      <c r="R272" s="1003"/>
      <c r="S272" s="1003"/>
      <c r="T272" s="1003"/>
      <c r="U272" s="1003"/>
      <c r="V272" s="1003"/>
      <c r="W272" s="1003"/>
      <c r="X272" s="1003"/>
      <c r="Y272" s="1003"/>
      <c r="Z272" s="1003"/>
      <c r="AA272" s="1003"/>
      <c r="AB272" s="1003"/>
      <c r="AC272" s="1003"/>
      <c r="AD272" s="1003"/>
      <c r="AE272" s="1003"/>
      <c r="AF272" s="1003"/>
      <c r="AG272" s="1003"/>
      <c r="AI272" s="18"/>
      <c r="AJ272" s="18"/>
      <c r="AK272" s="18"/>
      <c r="AL272" s="18"/>
      <c r="AM272" s="18"/>
      <c r="AN272" s="18"/>
      <c r="AO272" s="18"/>
      <c r="AP272" s="18"/>
      <c r="AQ272" s="18"/>
    </row>
    <row r="273" spans="1:43" s="656" customFormat="1" x14ac:dyDescent="0.2">
      <c r="A273" s="666"/>
      <c r="E273" s="1003"/>
      <c r="F273" s="1003"/>
      <c r="G273" s="1003"/>
      <c r="H273" s="1003"/>
      <c r="I273" s="1003"/>
      <c r="J273" s="1003"/>
      <c r="K273" s="1003"/>
      <c r="L273" s="1003"/>
      <c r="M273" s="1003"/>
      <c r="N273" s="1003"/>
      <c r="O273" s="1003"/>
      <c r="P273" s="1003"/>
      <c r="Q273" s="1003"/>
      <c r="R273" s="1003"/>
      <c r="S273" s="1003"/>
      <c r="T273" s="1003"/>
      <c r="U273" s="1003"/>
      <c r="V273" s="1003"/>
      <c r="W273" s="1003"/>
      <c r="X273" s="1003"/>
      <c r="Y273" s="1003"/>
      <c r="Z273" s="1003"/>
      <c r="AA273" s="1003"/>
      <c r="AB273" s="1003"/>
      <c r="AC273" s="1003"/>
      <c r="AD273" s="1003"/>
      <c r="AE273" s="1003"/>
      <c r="AF273" s="1003"/>
      <c r="AG273" s="1003"/>
      <c r="AI273" s="18"/>
      <c r="AJ273" s="18"/>
      <c r="AK273" s="18"/>
      <c r="AL273" s="18"/>
      <c r="AM273" s="18"/>
      <c r="AN273" s="18"/>
      <c r="AO273" s="18"/>
      <c r="AP273" s="18"/>
      <c r="AQ273" s="18"/>
    </row>
    <row r="274" spans="1:43" s="656" customFormat="1" x14ac:dyDescent="0.2">
      <c r="A274" s="666"/>
      <c r="E274" s="672"/>
      <c r="F274" s="672"/>
      <c r="G274" s="672"/>
      <c r="H274" s="672"/>
      <c r="I274" s="672"/>
      <c r="J274" s="672"/>
      <c r="K274" s="672"/>
      <c r="L274" s="672"/>
      <c r="M274" s="672"/>
      <c r="N274" s="672"/>
      <c r="O274" s="672"/>
      <c r="P274" s="672"/>
      <c r="Q274" s="672"/>
      <c r="R274" s="672"/>
      <c r="S274" s="672"/>
      <c r="T274" s="672"/>
      <c r="U274" s="672"/>
      <c r="V274" s="672"/>
      <c r="W274" s="672"/>
      <c r="X274" s="672"/>
      <c r="Y274" s="672"/>
      <c r="Z274" s="672"/>
      <c r="AA274" s="672"/>
      <c r="AB274" s="672"/>
      <c r="AC274" s="672"/>
      <c r="AD274" s="672"/>
      <c r="AE274" s="672"/>
      <c r="AF274" s="672"/>
      <c r="AG274" s="672"/>
      <c r="AI274" s="18"/>
      <c r="AJ274" s="18"/>
      <c r="AK274" s="18"/>
      <c r="AL274" s="18"/>
      <c r="AM274" s="18"/>
      <c r="AN274" s="18"/>
      <c r="AO274" s="18"/>
      <c r="AP274" s="18"/>
      <c r="AQ274" s="18"/>
    </row>
    <row r="275" spans="1:43" s="656" customFormat="1" x14ac:dyDescent="0.2">
      <c r="A275" s="666"/>
      <c r="D275" s="656" t="s">
        <v>1436</v>
      </c>
      <c r="E275" s="1004" t="s">
        <v>1673</v>
      </c>
      <c r="F275" s="1003"/>
      <c r="G275" s="1003"/>
      <c r="H275" s="1003"/>
      <c r="I275" s="1003"/>
      <c r="J275" s="1003"/>
      <c r="K275" s="1003"/>
      <c r="L275" s="1003"/>
      <c r="M275" s="1003"/>
      <c r="N275" s="1003"/>
      <c r="O275" s="1003"/>
      <c r="P275" s="1003"/>
      <c r="Q275" s="1003"/>
      <c r="R275" s="1003"/>
      <c r="S275" s="1003"/>
      <c r="T275" s="1003"/>
      <c r="U275" s="1003"/>
      <c r="V275" s="1003"/>
      <c r="W275" s="1003"/>
      <c r="X275" s="1003"/>
      <c r="Y275" s="1003"/>
      <c r="Z275" s="1003"/>
      <c r="AA275" s="1003"/>
      <c r="AB275" s="1003"/>
      <c r="AC275" s="1003"/>
      <c r="AD275" s="1003"/>
      <c r="AE275" s="1003"/>
      <c r="AF275" s="1003"/>
      <c r="AG275" s="1003"/>
      <c r="AI275" s="18"/>
      <c r="AJ275" s="18"/>
      <c r="AK275" s="18"/>
      <c r="AL275" s="18"/>
      <c r="AM275" s="18"/>
      <c r="AN275" s="18"/>
      <c r="AO275" s="18"/>
      <c r="AP275" s="18"/>
      <c r="AQ275" s="18"/>
    </row>
    <row r="276" spans="1:43" s="656" customFormat="1" x14ac:dyDescent="0.2">
      <c r="A276" s="666"/>
      <c r="E276" s="1003"/>
      <c r="F276" s="1003"/>
      <c r="G276" s="1003"/>
      <c r="H276" s="1003"/>
      <c r="I276" s="1003"/>
      <c r="J276" s="1003"/>
      <c r="K276" s="1003"/>
      <c r="L276" s="1003"/>
      <c r="M276" s="1003"/>
      <c r="N276" s="1003"/>
      <c r="O276" s="1003"/>
      <c r="P276" s="1003"/>
      <c r="Q276" s="1003"/>
      <c r="R276" s="1003"/>
      <c r="S276" s="1003"/>
      <c r="T276" s="1003"/>
      <c r="U276" s="1003"/>
      <c r="V276" s="1003"/>
      <c r="W276" s="1003"/>
      <c r="X276" s="1003"/>
      <c r="Y276" s="1003"/>
      <c r="Z276" s="1003"/>
      <c r="AA276" s="1003"/>
      <c r="AB276" s="1003"/>
      <c r="AC276" s="1003"/>
      <c r="AD276" s="1003"/>
      <c r="AE276" s="1003"/>
      <c r="AF276" s="1003"/>
      <c r="AG276" s="1003"/>
      <c r="AI276" s="18"/>
      <c r="AJ276" s="18"/>
      <c r="AK276" s="18"/>
      <c r="AL276" s="18"/>
      <c r="AM276" s="18"/>
      <c r="AN276" s="18"/>
      <c r="AO276" s="18"/>
      <c r="AP276" s="18"/>
      <c r="AQ276" s="18"/>
    </row>
    <row r="277" spans="1:43" s="656" customFormat="1" x14ac:dyDescent="0.2">
      <c r="A277" s="666"/>
      <c r="AI277" s="18"/>
      <c r="AJ277" s="18"/>
      <c r="AK277" s="18"/>
      <c r="AL277" s="18"/>
      <c r="AM277" s="18"/>
      <c r="AN277" s="18"/>
      <c r="AO277" s="18"/>
      <c r="AP277" s="18"/>
      <c r="AQ277" s="18"/>
    </row>
    <row r="278" spans="1:43" s="656" customFormat="1" x14ac:dyDescent="0.2">
      <c r="A278" s="666"/>
      <c r="D278" s="656" t="s">
        <v>1436</v>
      </c>
      <c r="E278" s="1003" t="s">
        <v>1460</v>
      </c>
      <c r="F278" s="1003"/>
      <c r="G278" s="1003"/>
      <c r="H278" s="1003"/>
      <c r="I278" s="1003"/>
      <c r="J278" s="1003"/>
      <c r="K278" s="1003"/>
      <c r="L278" s="1003"/>
      <c r="M278" s="1003"/>
      <c r="N278" s="1003"/>
      <c r="O278" s="1003"/>
      <c r="P278" s="1003"/>
      <c r="Q278" s="1003"/>
      <c r="R278" s="1003"/>
      <c r="S278" s="1003"/>
      <c r="T278" s="1003"/>
      <c r="U278" s="1003"/>
      <c r="V278" s="1003"/>
      <c r="W278" s="1003"/>
      <c r="X278" s="1003"/>
      <c r="Y278" s="1003"/>
      <c r="Z278" s="1003"/>
      <c r="AA278" s="1003"/>
      <c r="AB278" s="1003"/>
      <c r="AC278" s="1003"/>
      <c r="AD278" s="1003"/>
      <c r="AE278" s="1003"/>
      <c r="AF278" s="1003"/>
      <c r="AG278" s="1003"/>
      <c r="AI278" s="18"/>
      <c r="AJ278" s="18"/>
      <c r="AK278" s="18"/>
      <c r="AL278" s="18"/>
      <c r="AM278" s="18"/>
      <c r="AN278" s="18"/>
      <c r="AO278" s="18"/>
      <c r="AP278" s="18"/>
      <c r="AQ278" s="18"/>
    </row>
    <row r="279" spans="1:43" s="656" customFormat="1" x14ac:dyDescent="0.2">
      <c r="A279" s="666"/>
      <c r="AI279" s="18"/>
      <c r="AJ279" s="18"/>
      <c r="AK279" s="18"/>
      <c r="AL279" s="18"/>
      <c r="AM279" s="18"/>
      <c r="AN279" s="18"/>
      <c r="AO279" s="18"/>
      <c r="AP279" s="18"/>
      <c r="AQ279" s="18"/>
    </row>
    <row r="280" spans="1:43" s="656" customFormat="1" x14ac:dyDescent="0.2">
      <c r="A280" s="666"/>
      <c r="D280" s="1003" t="s">
        <v>1461</v>
      </c>
      <c r="E280" s="1003"/>
      <c r="F280" s="1003"/>
      <c r="G280" s="1003"/>
      <c r="H280" s="1003"/>
      <c r="I280" s="1003"/>
      <c r="J280" s="1003"/>
      <c r="K280" s="1003"/>
      <c r="L280" s="1003"/>
      <c r="M280" s="1003"/>
      <c r="N280" s="1003"/>
      <c r="O280" s="1003"/>
      <c r="P280" s="1003"/>
      <c r="Q280" s="1003"/>
      <c r="R280" s="1003"/>
      <c r="S280" s="1003"/>
      <c r="T280" s="1003"/>
      <c r="U280" s="1003"/>
      <c r="V280" s="1003"/>
      <c r="W280" s="1003"/>
      <c r="X280" s="1003"/>
      <c r="Y280" s="1003"/>
      <c r="Z280" s="1003"/>
      <c r="AA280" s="1003"/>
      <c r="AB280" s="1003"/>
      <c r="AC280" s="1003"/>
      <c r="AD280" s="1003"/>
      <c r="AE280" s="1003"/>
      <c r="AF280" s="1003"/>
      <c r="AG280" s="1003"/>
      <c r="AI280" s="18"/>
      <c r="AJ280" s="18"/>
      <c r="AK280" s="18"/>
      <c r="AL280" s="18"/>
      <c r="AM280" s="18"/>
      <c r="AN280" s="18"/>
      <c r="AO280" s="18"/>
      <c r="AP280" s="18"/>
      <c r="AQ280" s="18"/>
    </row>
    <row r="281" spans="1:43" s="656" customFormat="1" x14ac:dyDescent="0.2">
      <c r="A281" s="666"/>
      <c r="D281" s="890"/>
      <c r="E281" s="890"/>
      <c r="F281" s="890"/>
      <c r="G281" s="890"/>
      <c r="H281" s="890"/>
      <c r="I281" s="890"/>
      <c r="J281" s="890"/>
      <c r="K281" s="890"/>
      <c r="L281" s="890"/>
      <c r="M281" s="890"/>
      <c r="N281" s="890"/>
      <c r="O281" s="890"/>
      <c r="P281" s="890"/>
      <c r="Q281" s="890"/>
      <c r="R281" s="890"/>
      <c r="S281" s="890"/>
      <c r="T281" s="890"/>
      <c r="U281" s="890"/>
      <c r="V281" s="890"/>
      <c r="W281" s="890"/>
      <c r="X281" s="890"/>
      <c r="Y281" s="890"/>
      <c r="Z281" s="890"/>
      <c r="AA281" s="890"/>
      <c r="AB281" s="890"/>
      <c r="AC281" s="890"/>
      <c r="AD281" s="890"/>
      <c r="AE281" s="890"/>
      <c r="AF281" s="890"/>
      <c r="AG281" s="890"/>
      <c r="AI281" s="18"/>
      <c r="AJ281" s="18"/>
      <c r="AK281" s="18"/>
      <c r="AL281" s="18"/>
      <c r="AM281" s="18"/>
      <c r="AN281" s="18"/>
      <c r="AO281" s="18"/>
      <c r="AP281" s="18"/>
      <c r="AQ281" s="18"/>
    </row>
    <row r="282" spans="1:43" s="656" customFormat="1" x14ac:dyDescent="0.2">
      <c r="A282" s="666"/>
      <c r="D282" s="890"/>
      <c r="E282" s="890"/>
      <c r="F282" s="890"/>
      <c r="G282" s="890"/>
      <c r="H282" s="890"/>
      <c r="I282" s="890"/>
      <c r="J282" s="890"/>
      <c r="K282" s="890"/>
      <c r="L282" s="890"/>
      <c r="M282" s="890"/>
      <c r="N282" s="890"/>
      <c r="O282" s="890"/>
      <c r="P282" s="890"/>
      <c r="Q282" s="890"/>
      <c r="R282" s="890"/>
      <c r="S282" s="890"/>
      <c r="T282" s="890"/>
      <c r="U282" s="890"/>
      <c r="V282" s="890"/>
      <c r="W282" s="890"/>
      <c r="X282" s="890"/>
      <c r="Y282" s="890"/>
      <c r="Z282" s="890"/>
      <c r="AA282" s="890"/>
      <c r="AB282" s="890"/>
      <c r="AC282" s="890"/>
      <c r="AD282" s="890"/>
      <c r="AE282" s="890"/>
      <c r="AF282" s="890"/>
      <c r="AG282" s="890"/>
      <c r="AI282" s="18"/>
      <c r="AJ282" s="18"/>
      <c r="AK282" s="18"/>
      <c r="AL282" s="18"/>
      <c r="AM282" s="18"/>
      <c r="AN282" s="18"/>
      <c r="AO282" s="18"/>
      <c r="AP282" s="18"/>
      <c r="AQ282" s="18"/>
    </row>
    <row r="283" spans="1:43" s="656" customFormat="1" x14ac:dyDescent="0.2">
      <c r="A283" s="666"/>
      <c r="D283" s="890"/>
      <c r="E283" s="890"/>
      <c r="F283" s="890"/>
      <c r="G283" s="890"/>
      <c r="H283" s="890"/>
      <c r="I283" s="890"/>
      <c r="J283" s="890"/>
      <c r="K283" s="890"/>
      <c r="L283" s="890"/>
      <c r="M283" s="890"/>
      <c r="N283" s="890"/>
      <c r="O283" s="890"/>
      <c r="P283" s="890"/>
      <c r="Q283" s="890"/>
      <c r="R283" s="890"/>
      <c r="S283" s="890"/>
      <c r="T283" s="890"/>
      <c r="U283" s="890"/>
      <c r="V283" s="890"/>
      <c r="W283" s="890"/>
      <c r="X283" s="890"/>
      <c r="Y283" s="890"/>
      <c r="Z283" s="890"/>
      <c r="AA283" s="890"/>
      <c r="AB283" s="890"/>
      <c r="AC283" s="890"/>
      <c r="AD283" s="890"/>
      <c r="AE283" s="890"/>
      <c r="AF283" s="890"/>
      <c r="AG283" s="890"/>
      <c r="AI283" s="18"/>
      <c r="AJ283" s="18"/>
      <c r="AK283" s="18"/>
      <c r="AL283" s="18"/>
      <c r="AM283" s="18"/>
      <c r="AN283" s="18"/>
      <c r="AO283" s="18"/>
      <c r="AP283" s="18"/>
      <c r="AQ283" s="18"/>
    </row>
    <row r="284" spans="1:43" s="656" customFormat="1" x14ac:dyDescent="0.2">
      <c r="A284" s="666"/>
      <c r="D284" s="890"/>
      <c r="E284" s="890"/>
      <c r="F284" s="890"/>
      <c r="G284" s="890"/>
      <c r="H284" s="890"/>
      <c r="I284" s="890"/>
      <c r="J284" s="890"/>
      <c r="K284" s="890"/>
      <c r="L284" s="890"/>
      <c r="M284" s="890"/>
      <c r="N284" s="890"/>
      <c r="O284" s="890"/>
      <c r="P284" s="890"/>
      <c r="Q284" s="890"/>
      <c r="R284" s="890"/>
      <c r="S284" s="890"/>
      <c r="T284" s="890"/>
      <c r="U284" s="890"/>
      <c r="V284" s="890"/>
      <c r="W284" s="890"/>
      <c r="X284" s="890"/>
      <c r="Y284" s="890"/>
      <c r="Z284" s="890"/>
      <c r="AA284" s="890"/>
      <c r="AB284" s="890"/>
      <c r="AC284" s="890"/>
      <c r="AD284" s="890"/>
      <c r="AE284" s="890"/>
      <c r="AF284" s="890"/>
      <c r="AG284" s="890"/>
      <c r="AI284" s="18"/>
      <c r="AJ284" s="18"/>
      <c r="AK284" s="18"/>
      <c r="AL284" s="18"/>
      <c r="AM284" s="18"/>
      <c r="AN284" s="18"/>
      <c r="AO284" s="18"/>
      <c r="AP284" s="18"/>
      <c r="AQ284" s="18"/>
    </row>
    <row r="285" spans="1:43" s="656" customFormat="1" x14ac:dyDescent="0.2">
      <c r="A285" s="666"/>
      <c r="D285" s="890"/>
      <c r="E285" s="890"/>
      <c r="F285" s="890"/>
      <c r="G285" s="890"/>
      <c r="H285" s="890"/>
      <c r="I285" s="890"/>
      <c r="J285" s="890"/>
      <c r="K285" s="890"/>
      <c r="L285" s="890"/>
      <c r="M285" s="890"/>
      <c r="N285" s="890"/>
      <c r="O285" s="890"/>
      <c r="P285" s="890"/>
      <c r="Q285" s="890"/>
      <c r="R285" s="890"/>
      <c r="S285" s="890"/>
      <c r="T285" s="890"/>
      <c r="U285" s="890"/>
      <c r="V285" s="890"/>
      <c r="W285" s="890"/>
      <c r="X285" s="890"/>
      <c r="Y285" s="890"/>
      <c r="Z285" s="890"/>
      <c r="AA285" s="890"/>
      <c r="AB285" s="890"/>
      <c r="AC285" s="890"/>
      <c r="AD285" s="890"/>
      <c r="AE285" s="890"/>
      <c r="AF285" s="890"/>
      <c r="AG285" s="890"/>
      <c r="AI285" s="18"/>
      <c r="AJ285" s="18"/>
      <c r="AK285" s="18"/>
      <c r="AL285" s="18"/>
      <c r="AM285" s="18"/>
      <c r="AN285" s="18"/>
      <c r="AO285" s="18"/>
      <c r="AP285" s="18"/>
      <c r="AQ285" s="18"/>
    </row>
    <row r="286" spans="1:43" s="656" customFormat="1" x14ac:dyDescent="0.2">
      <c r="A286" s="666"/>
      <c r="D286" s="890"/>
      <c r="E286" s="890"/>
      <c r="F286" s="890"/>
      <c r="G286" s="890"/>
      <c r="H286" s="890"/>
      <c r="I286" s="890"/>
      <c r="J286" s="890"/>
      <c r="K286" s="890"/>
      <c r="L286" s="890"/>
      <c r="M286" s="890"/>
      <c r="N286" s="890"/>
      <c r="O286" s="890"/>
      <c r="P286" s="890"/>
      <c r="Q286" s="890"/>
      <c r="R286" s="890"/>
      <c r="S286" s="890"/>
      <c r="T286" s="890"/>
      <c r="U286" s="890"/>
      <c r="V286" s="890"/>
      <c r="W286" s="890"/>
      <c r="X286" s="890"/>
      <c r="Y286" s="890"/>
      <c r="Z286" s="890"/>
      <c r="AA286" s="890"/>
      <c r="AB286" s="890"/>
      <c r="AC286" s="890"/>
      <c r="AD286" s="890"/>
      <c r="AE286" s="890"/>
      <c r="AF286" s="890"/>
      <c r="AG286" s="890"/>
      <c r="AI286" s="18"/>
      <c r="AJ286" s="18"/>
      <c r="AK286" s="18"/>
      <c r="AL286" s="18"/>
      <c r="AM286" s="18"/>
      <c r="AN286" s="18"/>
      <c r="AO286" s="18"/>
      <c r="AP286" s="18"/>
      <c r="AQ286" s="18"/>
    </row>
    <row r="287" spans="1:43" s="656" customFormat="1" x14ac:dyDescent="0.2">
      <c r="A287" s="666"/>
      <c r="D287" s="890"/>
      <c r="E287" s="890"/>
      <c r="F287" s="890"/>
      <c r="G287" s="890"/>
      <c r="H287" s="890"/>
      <c r="I287" s="890"/>
      <c r="J287" s="890"/>
      <c r="K287" s="890"/>
      <c r="L287" s="890"/>
      <c r="M287" s="890"/>
      <c r="N287" s="890"/>
      <c r="O287" s="890"/>
      <c r="P287" s="890"/>
      <c r="Q287" s="890"/>
      <c r="R287" s="890"/>
      <c r="S287" s="890"/>
      <c r="T287" s="890"/>
      <c r="U287" s="890"/>
      <c r="V287" s="890"/>
      <c r="W287" s="890"/>
      <c r="X287" s="890"/>
      <c r="Y287" s="890"/>
      <c r="Z287" s="890"/>
      <c r="AA287" s="890"/>
      <c r="AB287" s="890"/>
      <c r="AC287" s="890"/>
      <c r="AD287" s="890"/>
      <c r="AE287" s="890"/>
      <c r="AF287" s="890"/>
      <c r="AG287" s="890"/>
      <c r="AI287" s="18"/>
      <c r="AJ287" s="18"/>
      <c r="AK287" s="18"/>
      <c r="AL287" s="18"/>
      <c r="AM287" s="18"/>
      <c r="AN287" s="18"/>
      <c r="AO287" s="18"/>
      <c r="AP287" s="18"/>
      <c r="AQ287" s="18"/>
    </row>
    <row r="288" spans="1:43" s="656" customFormat="1" x14ac:dyDescent="0.2">
      <c r="A288" s="666"/>
      <c r="D288" s="890"/>
      <c r="E288" s="890"/>
      <c r="F288" s="890"/>
      <c r="G288" s="890"/>
      <c r="H288" s="890"/>
      <c r="I288" s="890"/>
      <c r="J288" s="890"/>
      <c r="K288" s="890"/>
      <c r="L288" s="890"/>
      <c r="M288" s="890"/>
      <c r="N288" s="890"/>
      <c r="O288" s="890"/>
      <c r="P288" s="890"/>
      <c r="Q288" s="890"/>
      <c r="R288" s="890"/>
      <c r="S288" s="890"/>
      <c r="T288" s="890"/>
      <c r="U288" s="890"/>
      <c r="V288" s="890"/>
      <c r="W288" s="890"/>
      <c r="X288" s="890"/>
      <c r="Y288" s="890"/>
      <c r="Z288" s="890"/>
      <c r="AA288" s="890"/>
      <c r="AB288" s="890"/>
      <c r="AC288" s="890"/>
      <c r="AD288" s="890"/>
      <c r="AE288" s="890"/>
      <c r="AF288" s="890"/>
      <c r="AG288" s="890"/>
      <c r="AI288" s="18"/>
      <c r="AJ288" s="18"/>
      <c r="AK288" s="18"/>
      <c r="AL288" s="18"/>
      <c r="AM288" s="18"/>
      <c r="AN288" s="18"/>
      <c r="AO288" s="18"/>
      <c r="AP288" s="18"/>
      <c r="AQ288" s="18"/>
    </row>
    <row r="289" spans="1:63" s="656" customFormat="1" x14ac:dyDescent="0.2">
      <c r="A289" s="666"/>
      <c r="D289" s="890"/>
      <c r="E289" s="890"/>
      <c r="F289" s="890"/>
      <c r="G289" s="890"/>
      <c r="H289" s="890"/>
      <c r="I289" s="890"/>
      <c r="J289" s="890"/>
      <c r="K289" s="890"/>
      <c r="L289" s="890"/>
      <c r="M289" s="890"/>
      <c r="N289" s="890"/>
      <c r="O289" s="890"/>
      <c r="P289" s="890"/>
      <c r="Q289" s="890"/>
      <c r="R289" s="890"/>
      <c r="S289" s="890"/>
      <c r="T289" s="890"/>
      <c r="U289" s="890"/>
      <c r="V289" s="890"/>
      <c r="W289" s="890"/>
      <c r="X289" s="890"/>
      <c r="Y289" s="890"/>
      <c r="Z289" s="890"/>
      <c r="AA289" s="890"/>
      <c r="AB289" s="890"/>
      <c r="AC289" s="890"/>
      <c r="AD289" s="890"/>
      <c r="AE289" s="890"/>
      <c r="AF289" s="890"/>
      <c r="AG289" s="890"/>
      <c r="AI289" s="18"/>
      <c r="AJ289" s="18"/>
      <c r="AK289" s="18"/>
      <c r="AL289" s="18"/>
      <c r="AM289" s="18"/>
      <c r="AN289" s="18"/>
      <c r="AO289" s="18"/>
      <c r="AP289" s="18"/>
      <c r="AQ289" s="18"/>
    </row>
    <row r="290" spans="1:63" s="656" customFormat="1" x14ac:dyDescent="0.2">
      <c r="A290" s="666"/>
      <c r="AI290" s="18"/>
      <c r="AJ290" s="18"/>
      <c r="AK290" s="18"/>
      <c r="AL290" s="18"/>
      <c r="AM290" s="18"/>
      <c r="AN290" s="18"/>
      <c r="AO290" s="18"/>
      <c r="AP290" s="18"/>
      <c r="AQ290" s="18"/>
    </row>
    <row r="291" spans="1:63" s="656" customFormat="1" x14ac:dyDescent="0.2">
      <c r="A291" s="666"/>
      <c r="AI291" s="18"/>
      <c r="AJ291" s="18"/>
      <c r="AK291" s="18"/>
      <c r="AL291" s="18"/>
      <c r="AM291" s="18"/>
      <c r="AN291" s="18"/>
      <c r="AO291" s="18"/>
      <c r="AP291" s="18"/>
      <c r="AQ291" s="18"/>
    </row>
    <row r="292" spans="1:63" s="656" customFormat="1" x14ac:dyDescent="0.2">
      <c r="A292" s="666"/>
      <c r="AI292" s="18"/>
      <c r="AJ292" s="18"/>
      <c r="AK292" s="18"/>
      <c r="AL292" s="18"/>
      <c r="AM292" s="18"/>
      <c r="AN292" s="18"/>
      <c r="AO292" s="18"/>
      <c r="AP292" s="18"/>
      <c r="AQ292" s="18"/>
    </row>
    <row r="293" spans="1:63" s="656" customFormat="1" x14ac:dyDescent="0.2">
      <c r="A293" s="666"/>
      <c r="AI293" s="18"/>
      <c r="AJ293" s="18"/>
      <c r="AK293" s="18"/>
      <c r="AL293" s="18"/>
      <c r="AM293" s="18"/>
      <c r="AN293" s="18"/>
      <c r="AO293" s="18"/>
      <c r="AP293" s="18"/>
      <c r="AQ293" s="18"/>
    </row>
    <row r="294" spans="1:63" s="656" customFormat="1" x14ac:dyDescent="0.2">
      <c r="A294" s="666"/>
      <c r="D294" s="655" t="s">
        <v>1462</v>
      </c>
      <c r="AI294" s="18"/>
      <c r="AJ294" s="18"/>
      <c r="AK294" s="18"/>
      <c r="AL294" s="18"/>
      <c r="AM294" s="18"/>
      <c r="AN294" s="18"/>
      <c r="AO294" s="18"/>
      <c r="AP294" s="18"/>
      <c r="AQ294" s="18"/>
    </row>
    <row r="295" spans="1:63" s="656" customFormat="1" x14ac:dyDescent="0.2">
      <c r="A295" s="666"/>
      <c r="AI295" s="18"/>
      <c r="AJ295" s="18"/>
      <c r="AK295" s="18"/>
      <c r="AL295" s="18"/>
      <c r="AM295" s="18"/>
      <c r="AN295" s="18"/>
      <c r="AO295" s="18"/>
      <c r="AP295" s="18"/>
      <c r="AQ295" s="18"/>
    </row>
    <row r="296" spans="1:63" s="656" customFormat="1" x14ac:dyDescent="0.2">
      <c r="A296" s="666"/>
      <c r="D296" s="655" t="s">
        <v>1608</v>
      </c>
      <c r="E296" s="836"/>
      <c r="F296" s="836"/>
      <c r="G296" s="836"/>
      <c r="H296" s="836"/>
      <c r="I296" s="836"/>
      <c r="J296" s="836"/>
      <c r="K296" s="836"/>
      <c r="L296" s="836"/>
      <c r="M296" s="836"/>
      <c r="N296" s="836"/>
      <c r="O296" s="836"/>
      <c r="P296" s="836"/>
      <c r="Q296" s="836"/>
      <c r="R296" s="836"/>
      <c r="S296" s="836"/>
      <c r="T296" s="836"/>
      <c r="U296" s="836"/>
      <c r="V296" s="836"/>
      <c r="W296" s="836"/>
      <c r="X296" s="836"/>
      <c r="Y296" s="836"/>
      <c r="Z296" s="836"/>
      <c r="AA296" s="836"/>
      <c r="AB296" s="836"/>
      <c r="AC296" s="836"/>
      <c r="AD296" s="836"/>
      <c r="AE296" s="836"/>
      <c r="AF296" s="836"/>
      <c r="AG296" s="836"/>
      <c r="AI296" s="18"/>
      <c r="AJ296" s="18"/>
      <c r="AK296" s="18"/>
      <c r="AL296" s="18"/>
      <c r="AM296" s="18"/>
      <c r="AN296" s="18"/>
      <c r="AO296" s="18"/>
      <c r="AP296" s="18"/>
      <c r="AQ296" s="18"/>
    </row>
    <row r="297" spans="1:63" s="656" customFormat="1" x14ac:dyDescent="0.2">
      <c r="A297" s="666"/>
      <c r="E297" s="836"/>
      <c r="F297" s="836"/>
      <c r="G297" s="836"/>
      <c r="H297" s="836"/>
      <c r="I297" s="836"/>
      <c r="J297" s="836"/>
      <c r="K297" s="836"/>
      <c r="L297" s="836"/>
      <c r="M297" s="836"/>
      <c r="N297" s="836"/>
      <c r="O297" s="836"/>
      <c r="P297" s="836"/>
      <c r="Q297" s="836"/>
      <c r="R297" s="836"/>
      <c r="S297" s="836"/>
      <c r="T297" s="836"/>
      <c r="U297" s="836"/>
      <c r="V297" s="836"/>
      <c r="W297" s="836"/>
      <c r="X297" s="836"/>
      <c r="Y297" s="836"/>
      <c r="Z297" s="836"/>
      <c r="AA297" s="836"/>
      <c r="AB297" s="836"/>
      <c r="AC297" s="836"/>
      <c r="AD297" s="836"/>
      <c r="AE297" s="836"/>
      <c r="AF297" s="836"/>
      <c r="AG297" s="836"/>
      <c r="AI297" s="18"/>
      <c r="AJ297" s="18"/>
      <c r="AK297" s="18"/>
      <c r="AL297" s="18"/>
      <c r="AM297" s="18"/>
      <c r="AN297" s="18"/>
      <c r="AO297" s="18"/>
      <c r="AP297" s="18"/>
      <c r="AQ297" s="18"/>
    </row>
    <row r="298" spans="1:63" s="656" customFormat="1" x14ac:dyDescent="0.2">
      <c r="A298" s="666"/>
      <c r="D298" s="840" t="s">
        <v>1498</v>
      </c>
      <c r="E298" s="836"/>
      <c r="F298" s="836"/>
      <c r="G298" s="836"/>
      <c r="H298" s="836"/>
      <c r="I298" s="836"/>
      <c r="J298" s="836"/>
      <c r="K298" s="836"/>
      <c r="L298" s="836"/>
      <c r="M298" s="836"/>
      <c r="N298" s="836"/>
      <c r="O298" s="836"/>
      <c r="P298" s="836"/>
      <c r="Q298" s="836"/>
      <c r="R298" s="836"/>
      <c r="S298" s="836"/>
      <c r="T298" s="836"/>
      <c r="U298" s="836"/>
      <c r="V298" s="836"/>
      <c r="W298" s="836"/>
      <c r="X298" s="836"/>
      <c r="Y298" s="836"/>
      <c r="Z298" s="836"/>
      <c r="AA298" s="836"/>
      <c r="AB298" s="836"/>
      <c r="AC298" s="836"/>
      <c r="AD298" s="836"/>
      <c r="AE298" s="836"/>
      <c r="AF298" s="836"/>
      <c r="AG298" s="836"/>
      <c r="AI298" s="18"/>
      <c r="AJ298" s="18"/>
      <c r="AK298" s="18"/>
      <c r="AL298" s="18"/>
      <c r="AM298" s="18"/>
      <c r="AN298" s="18"/>
      <c r="AO298" s="18"/>
      <c r="AP298" s="18"/>
      <c r="AQ298" s="18"/>
    </row>
    <row r="299" spans="1:63" s="656" customFormat="1" ht="15" thickBot="1" x14ac:dyDescent="0.25">
      <c r="A299" s="666"/>
      <c r="D299" s="843"/>
      <c r="E299" s="836"/>
      <c r="F299" s="836"/>
      <c r="G299" s="836"/>
      <c r="H299" s="836"/>
      <c r="I299" s="836"/>
      <c r="J299" s="836"/>
      <c r="K299" s="836"/>
      <c r="L299" s="836"/>
      <c r="M299" s="836"/>
      <c r="N299" s="836"/>
      <c r="O299" s="836"/>
      <c r="P299" s="836"/>
      <c r="Q299" s="836"/>
      <c r="R299" s="836"/>
      <c r="S299" s="836"/>
      <c r="T299" s="836"/>
      <c r="U299" s="836"/>
      <c r="V299" s="836"/>
      <c r="W299" s="836"/>
      <c r="X299" s="836"/>
      <c r="Y299" s="836"/>
      <c r="Z299" s="836"/>
      <c r="AA299" s="836"/>
      <c r="AB299" s="836"/>
      <c r="AC299" s="836"/>
      <c r="AD299" s="836"/>
      <c r="AE299" s="836"/>
      <c r="AF299" s="836"/>
      <c r="AG299" s="836"/>
      <c r="AI299" s="1289" t="s">
        <v>1139</v>
      </c>
      <c r="AJ299" s="1289"/>
      <c r="AK299" s="1289"/>
      <c r="AL299" s="1289"/>
      <c r="AM299" s="1289"/>
      <c r="AN299" s="1289"/>
      <c r="AO299" s="1289"/>
      <c r="AP299" s="1289"/>
      <c r="AQ299" s="1289"/>
      <c r="AR299" s="677"/>
      <c r="AS299" s="1289" t="s">
        <v>1140</v>
      </c>
      <c r="AT299" s="1289"/>
      <c r="AU299" s="1289"/>
      <c r="AV299" s="1289"/>
      <c r="AW299" s="1289"/>
      <c r="AX299" s="1289"/>
      <c r="AY299" s="1289"/>
      <c r="AZ299" s="1289"/>
      <c r="BA299" s="1289"/>
      <c r="BB299" s="677"/>
      <c r="BC299" s="1289" t="s">
        <v>1141</v>
      </c>
      <c r="BD299" s="1289"/>
      <c r="BE299" s="1289"/>
      <c r="BF299" s="1289"/>
      <c r="BG299" s="1289"/>
      <c r="BH299" s="1289"/>
      <c r="BI299" s="1289"/>
      <c r="BJ299" s="1289"/>
      <c r="BK299" s="1289"/>
    </row>
    <row r="300" spans="1:63" s="656" customFormat="1" ht="15.75" customHeight="1" thickBot="1" x14ac:dyDescent="0.25">
      <c r="A300" s="666" t="s">
        <v>1499</v>
      </c>
      <c r="D300" s="983" t="s">
        <v>40</v>
      </c>
      <c r="E300" s="984"/>
      <c r="F300" s="984"/>
      <c r="G300" s="985"/>
      <c r="H300" s="960" t="s">
        <v>2</v>
      </c>
      <c r="I300" s="960"/>
      <c r="J300" s="960"/>
      <c r="K300" s="960"/>
      <c r="L300" s="960"/>
      <c r="M300" s="960"/>
      <c r="N300" s="960"/>
      <c r="O300" s="960"/>
      <c r="P300" s="960"/>
      <c r="Q300" s="960"/>
      <c r="R300" s="960"/>
      <c r="S300" s="960"/>
      <c r="T300" s="960"/>
      <c r="U300" s="960"/>
      <c r="V300" s="960"/>
      <c r="W300" s="960"/>
      <c r="X300" s="960"/>
      <c r="Y300" s="960"/>
      <c r="Z300" s="960"/>
      <c r="AA300" s="960"/>
      <c r="AB300" s="960"/>
      <c r="AC300" s="960"/>
      <c r="AD300" s="960"/>
      <c r="AE300" s="960"/>
      <c r="AF300" s="960"/>
      <c r="AG300" s="960"/>
      <c r="AH300" s="960"/>
      <c r="AI300" s="18"/>
      <c r="AJ300" s="18"/>
      <c r="AK300" s="18"/>
      <c r="AL300" s="18"/>
      <c r="AM300" s="18"/>
      <c r="AN300" s="18"/>
      <c r="AO300" s="18"/>
      <c r="AP300" s="18"/>
      <c r="AQ300" s="18"/>
    </row>
    <row r="301" spans="1:63" s="656" customFormat="1" ht="55.5" customHeight="1" thickTop="1" thickBot="1" x14ac:dyDescent="0.25">
      <c r="A301" s="666"/>
      <c r="D301" s="986"/>
      <c r="E301" s="987"/>
      <c r="F301" s="987"/>
      <c r="G301" s="988"/>
      <c r="H301" s="959" t="s">
        <v>41</v>
      </c>
      <c r="I301" s="959"/>
      <c r="J301" s="959"/>
      <c r="K301" s="959" t="s">
        <v>42</v>
      </c>
      <c r="L301" s="959"/>
      <c r="M301" s="959"/>
      <c r="N301" s="959" t="s">
        <v>43</v>
      </c>
      <c r="O301" s="959"/>
      <c r="P301" s="959"/>
      <c r="Q301" s="959" t="s">
        <v>1500</v>
      </c>
      <c r="R301" s="959"/>
      <c r="S301" s="959"/>
      <c r="T301" s="959" t="s">
        <v>44</v>
      </c>
      <c r="U301" s="959"/>
      <c r="V301" s="959"/>
      <c r="W301" s="959" t="s">
        <v>45</v>
      </c>
      <c r="X301" s="959"/>
      <c r="Y301" s="959"/>
      <c r="Z301" s="959" t="s">
        <v>445</v>
      </c>
      <c r="AA301" s="959"/>
      <c r="AB301" s="959"/>
      <c r="AC301" s="959" t="s">
        <v>46</v>
      </c>
      <c r="AD301" s="959"/>
      <c r="AE301" s="959"/>
      <c r="AF301" s="959" t="s">
        <v>14</v>
      </c>
      <c r="AG301" s="959"/>
      <c r="AH301" s="959"/>
      <c r="AI301" s="904" t="s">
        <v>41</v>
      </c>
      <c r="AJ301" s="834" t="s">
        <v>42</v>
      </c>
      <c r="AK301" s="834" t="s">
        <v>43</v>
      </c>
      <c r="AL301" s="834" t="s">
        <v>444</v>
      </c>
      <c r="AM301" s="834" t="s">
        <v>44</v>
      </c>
      <c r="AN301" s="834" t="s">
        <v>45</v>
      </c>
      <c r="AO301" s="834" t="s">
        <v>445</v>
      </c>
      <c r="AP301" s="834" t="s">
        <v>46</v>
      </c>
      <c r="AQ301" s="834" t="s">
        <v>14</v>
      </c>
      <c r="AS301" s="834" t="s">
        <v>41</v>
      </c>
      <c r="AT301" s="834" t="s">
        <v>42</v>
      </c>
      <c r="AU301" s="834" t="s">
        <v>43</v>
      </c>
      <c r="AV301" s="834" t="s">
        <v>444</v>
      </c>
      <c r="AW301" s="834" t="s">
        <v>44</v>
      </c>
      <c r="AX301" s="834" t="s">
        <v>45</v>
      </c>
      <c r="AY301" s="834" t="s">
        <v>445</v>
      </c>
      <c r="AZ301" s="834" t="s">
        <v>46</v>
      </c>
      <c r="BA301" s="834" t="s">
        <v>14</v>
      </c>
      <c r="BC301" s="834" t="s">
        <v>41</v>
      </c>
      <c r="BD301" s="834" t="s">
        <v>42</v>
      </c>
      <c r="BE301" s="834" t="s">
        <v>43</v>
      </c>
      <c r="BF301" s="834" t="s">
        <v>444</v>
      </c>
      <c r="BG301" s="834" t="s">
        <v>44</v>
      </c>
      <c r="BH301" s="834" t="s">
        <v>45</v>
      </c>
      <c r="BI301" s="834" t="s">
        <v>445</v>
      </c>
      <c r="BJ301" s="834" t="s">
        <v>46</v>
      </c>
      <c r="BK301" s="834" t="s">
        <v>14</v>
      </c>
    </row>
    <row r="302" spans="1:63" s="656" customFormat="1" ht="15.75" customHeight="1" thickBot="1" x14ac:dyDescent="0.25">
      <c r="A302" s="666"/>
      <c r="D302" s="1273" t="s">
        <v>25</v>
      </c>
      <c r="E302" s="1274"/>
      <c r="F302" s="1274"/>
      <c r="G302" s="1274"/>
      <c r="H302" s="1274"/>
      <c r="I302" s="1274"/>
      <c r="J302" s="1274"/>
      <c r="K302" s="1274"/>
      <c r="L302" s="1274"/>
      <c r="M302" s="1274"/>
      <c r="N302" s="1274"/>
      <c r="O302" s="1274"/>
      <c r="P302" s="1274"/>
      <c r="Q302" s="1274"/>
      <c r="R302" s="1274"/>
      <c r="S302" s="1274"/>
      <c r="T302" s="1274"/>
      <c r="U302" s="1274"/>
      <c r="V302" s="1274"/>
      <c r="W302" s="1274"/>
      <c r="X302" s="1274"/>
      <c r="Y302" s="1274"/>
      <c r="Z302" s="1274"/>
      <c r="AA302" s="1274"/>
      <c r="AB302" s="1274"/>
      <c r="AC302" s="1274"/>
      <c r="AD302" s="1274"/>
      <c r="AE302" s="1274"/>
      <c r="AF302" s="1274"/>
      <c r="AG302" s="1274"/>
      <c r="AH302" s="1275"/>
      <c r="AI302" s="683"/>
      <c r="AJ302" s="683"/>
      <c r="AK302" s="683"/>
      <c r="AL302" s="683"/>
      <c r="AM302" s="683"/>
      <c r="AN302" s="683"/>
      <c r="AO302" s="683"/>
      <c r="AP302" s="683"/>
      <c r="AQ302" s="687"/>
      <c r="AS302" s="682"/>
      <c r="AT302" s="683"/>
      <c r="AU302" s="683"/>
      <c r="AV302" s="683"/>
      <c r="AW302" s="683"/>
      <c r="AX302" s="683"/>
      <c r="AY302" s="683"/>
      <c r="AZ302" s="683"/>
      <c r="BA302" s="687"/>
      <c r="BC302" s="682"/>
      <c r="BD302" s="683"/>
      <c r="BE302" s="683"/>
      <c r="BF302" s="683"/>
      <c r="BG302" s="683"/>
      <c r="BH302" s="683"/>
      <c r="BI302" s="683"/>
      <c r="BJ302" s="683"/>
      <c r="BK302" s="687"/>
    </row>
    <row r="303" spans="1:63" s="656" customFormat="1" ht="21.75" customHeight="1" x14ac:dyDescent="0.2">
      <c r="A303" s="666"/>
      <c r="D303" s="1260" t="s">
        <v>26</v>
      </c>
      <c r="E303" s="1260"/>
      <c r="F303" s="1260"/>
      <c r="G303" s="1260"/>
      <c r="H303" s="1279" t="s">
        <v>1436</v>
      </c>
      <c r="I303" s="1280"/>
      <c r="J303" s="1281"/>
      <c r="K303" s="1258" t="s">
        <v>1436</v>
      </c>
      <c r="L303" s="1258"/>
      <c r="M303" s="1258"/>
      <c r="N303" s="1258">
        <v>363747</v>
      </c>
      <c r="O303" s="1258"/>
      <c r="P303" s="1258"/>
      <c r="Q303" s="1258" t="s">
        <v>1436</v>
      </c>
      <c r="R303" s="1258"/>
      <c r="S303" s="1258"/>
      <c r="T303" s="1258" t="s">
        <v>1436</v>
      </c>
      <c r="U303" s="1258"/>
      <c r="V303" s="1258"/>
      <c r="W303" s="1258" t="s">
        <v>1436</v>
      </c>
      <c r="X303" s="1258"/>
      <c r="Y303" s="1258"/>
      <c r="Z303" s="1258" t="s">
        <v>1436</v>
      </c>
      <c r="AA303" s="1258"/>
      <c r="AB303" s="1258"/>
      <c r="AC303" s="1258" t="s">
        <v>1436</v>
      </c>
      <c r="AD303" s="1258"/>
      <c r="AE303" s="1258"/>
      <c r="AF303" s="1102">
        <f>SUM(H303:AE303)</f>
        <v>363747</v>
      </c>
      <c r="AG303" s="1102"/>
      <c r="AH303" s="1102"/>
      <c r="AI303" s="677"/>
      <c r="AJ303" s="677"/>
      <c r="AK303" s="677"/>
      <c r="AL303" s="677"/>
      <c r="AM303" s="677"/>
      <c r="AN303" s="677"/>
      <c r="AO303" s="677"/>
      <c r="AP303" s="677"/>
      <c r="AQ303" s="678">
        <f>SUM(H303:AE303)-AF303</f>
        <v>0</v>
      </c>
      <c r="AS303" s="691" t="e">
        <f>H303-H326</f>
        <v>#VALUE!</v>
      </c>
      <c r="AT303" s="723" t="e">
        <f>K303-K326</f>
        <v>#VALUE!</v>
      </c>
      <c r="AU303" s="723">
        <f>N303-N326</f>
        <v>0</v>
      </c>
      <c r="AV303" s="723" t="e">
        <f>Q303-Q326</f>
        <v>#VALUE!</v>
      </c>
      <c r="AW303" s="723" t="e">
        <f>T303-T326</f>
        <v>#VALUE!</v>
      </c>
      <c r="AX303" s="723" t="e">
        <f>W303-W326</f>
        <v>#VALUE!</v>
      </c>
      <c r="AY303" s="723" t="e">
        <f>Z303-Z326</f>
        <v>#VALUE!</v>
      </c>
      <c r="AZ303" s="723" t="e">
        <f>AC303-AC326</f>
        <v>#VALUE!</v>
      </c>
      <c r="BA303" s="678">
        <f>AF303-AF326</f>
        <v>0</v>
      </c>
      <c r="BC303" s="676"/>
      <c r="BD303" s="677"/>
      <c r="BE303" s="677"/>
      <c r="BF303" s="677"/>
      <c r="BG303" s="677"/>
      <c r="BH303" s="677"/>
      <c r="BI303" s="677"/>
      <c r="BJ303" s="677"/>
      <c r="BK303" s="688"/>
    </row>
    <row r="304" spans="1:63" s="656" customFormat="1" x14ac:dyDescent="0.2">
      <c r="A304" s="666"/>
      <c r="D304" s="1024" t="s">
        <v>27</v>
      </c>
      <c r="E304" s="1024"/>
      <c r="F304" s="1024"/>
      <c r="G304" s="1024"/>
      <c r="H304" s="1025" t="s">
        <v>1436</v>
      </c>
      <c r="I304" s="1025"/>
      <c r="J304" s="1025"/>
      <c r="K304" s="1026" t="s">
        <v>1436</v>
      </c>
      <c r="L304" s="1026"/>
      <c r="M304" s="1026"/>
      <c r="N304" s="1026" t="s">
        <v>1436</v>
      </c>
      <c r="O304" s="1026"/>
      <c r="P304" s="1026"/>
      <c r="Q304" s="1026" t="s">
        <v>1436</v>
      </c>
      <c r="R304" s="1026"/>
      <c r="S304" s="1026"/>
      <c r="T304" s="1026" t="s">
        <v>1436</v>
      </c>
      <c r="U304" s="1026"/>
      <c r="V304" s="1026"/>
      <c r="W304" s="1026" t="s">
        <v>1436</v>
      </c>
      <c r="X304" s="1026"/>
      <c r="Y304" s="1026"/>
      <c r="Z304" s="1026">
        <v>1408</v>
      </c>
      <c r="AA304" s="1026"/>
      <c r="AB304" s="1026"/>
      <c r="AC304" s="1026" t="s">
        <v>1436</v>
      </c>
      <c r="AD304" s="1026"/>
      <c r="AE304" s="1026"/>
      <c r="AF304" s="1033">
        <f>SUM(H304:AE304)</f>
        <v>1408</v>
      </c>
      <c r="AG304" s="1033"/>
      <c r="AH304" s="1033"/>
      <c r="AI304" s="677"/>
      <c r="AJ304" s="677"/>
      <c r="AK304" s="677"/>
      <c r="AL304" s="677"/>
      <c r="AM304" s="677"/>
      <c r="AN304" s="677"/>
      <c r="AO304" s="677"/>
      <c r="AP304" s="677"/>
      <c r="AQ304" s="678">
        <f t="shared" ref="AQ304:AQ305" si="0">SUM(H304:AE304)-AF304</f>
        <v>0</v>
      </c>
      <c r="AS304" s="676"/>
      <c r="AT304" s="677"/>
      <c r="AU304" s="677"/>
      <c r="AV304" s="677"/>
      <c r="AW304" s="677"/>
      <c r="AX304" s="677"/>
      <c r="AY304" s="677"/>
      <c r="AZ304" s="677"/>
      <c r="BA304" s="688"/>
      <c r="BC304" s="676"/>
      <c r="BD304" s="677"/>
      <c r="BE304" s="677"/>
      <c r="BF304" s="677"/>
      <c r="BG304" s="677"/>
      <c r="BH304" s="677"/>
      <c r="BI304" s="677"/>
      <c r="BJ304" s="677"/>
      <c r="BK304" s="688"/>
    </row>
    <row r="305" spans="1:63" s="656" customFormat="1" x14ac:dyDescent="0.2">
      <c r="A305" s="666"/>
      <c r="D305" s="1024" t="s">
        <v>28</v>
      </c>
      <c r="E305" s="1024"/>
      <c r="F305" s="1024"/>
      <c r="G305" s="1024"/>
      <c r="H305" s="1025" t="s">
        <v>1436</v>
      </c>
      <c r="I305" s="1025"/>
      <c r="J305" s="1025"/>
      <c r="K305" s="1026" t="s">
        <v>1436</v>
      </c>
      <c r="L305" s="1026"/>
      <c r="M305" s="1026"/>
      <c r="N305" s="1026">
        <v>-21690</v>
      </c>
      <c r="O305" s="1026"/>
      <c r="P305" s="1026"/>
      <c r="Q305" s="1026" t="s">
        <v>1436</v>
      </c>
      <c r="R305" s="1026"/>
      <c r="S305" s="1026"/>
      <c r="T305" s="1026" t="s">
        <v>1436</v>
      </c>
      <c r="U305" s="1026"/>
      <c r="V305" s="1026"/>
      <c r="W305" s="1026" t="s">
        <v>1436</v>
      </c>
      <c r="X305" s="1026"/>
      <c r="Y305" s="1026"/>
      <c r="Z305" s="1026" t="s">
        <v>1436</v>
      </c>
      <c r="AA305" s="1026"/>
      <c r="AB305" s="1026"/>
      <c r="AC305" s="1026" t="s">
        <v>1436</v>
      </c>
      <c r="AD305" s="1026"/>
      <c r="AE305" s="1026"/>
      <c r="AF305" s="1033">
        <f>SUM(H305:AE305)</f>
        <v>-21690</v>
      </c>
      <c r="AG305" s="1033"/>
      <c r="AH305" s="1033"/>
      <c r="AI305" s="677"/>
      <c r="AJ305" s="677"/>
      <c r="AK305" s="677"/>
      <c r="AL305" s="677"/>
      <c r="AM305" s="677"/>
      <c r="AN305" s="677"/>
      <c r="AO305" s="677"/>
      <c r="AP305" s="677"/>
      <c r="AQ305" s="678">
        <f t="shared" si="0"/>
        <v>0</v>
      </c>
      <c r="AS305" s="676"/>
      <c r="AT305" s="677"/>
      <c r="AU305" s="677"/>
      <c r="AV305" s="677"/>
      <c r="AW305" s="677"/>
      <c r="AX305" s="677"/>
      <c r="AY305" s="677"/>
      <c r="AZ305" s="677"/>
      <c r="BA305" s="688"/>
      <c r="BC305" s="676"/>
      <c r="BD305" s="677"/>
      <c r="BE305" s="677"/>
      <c r="BF305" s="677"/>
      <c r="BG305" s="677"/>
      <c r="BH305" s="677"/>
      <c r="BI305" s="677"/>
      <c r="BJ305" s="677"/>
      <c r="BK305" s="688"/>
    </row>
    <row r="306" spans="1:63" s="656" customFormat="1" x14ac:dyDescent="0.2">
      <c r="A306" s="666"/>
      <c r="D306" s="1024" t="s">
        <v>29</v>
      </c>
      <c r="E306" s="1024"/>
      <c r="F306" s="1024"/>
      <c r="G306" s="1024"/>
      <c r="H306" s="1025" t="s">
        <v>1436</v>
      </c>
      <c r="I306" s="1025"/>
      <c r="J306" s="1025"/>
      <c r="K306" s="1026" t="s">
        <v>1436</v>
      </c>
      <c r="L306" s="1026"/>
      <c r="M306" s="1026"/>
      <c r="N306" s="1027">
        <v>1408</v>
      </c>
      <c r="O306" s="1026"/>
      <c r="P306" s="1026"/>
      <c r="Q306" s="1026" t="s">
        <v>1436</v>
      </c>
      <c r="R306" s="1026"/>
      <c r="S306" s="1026"/>
      <c r="T306" s="1026" t="s">
        <v>1436</v>
      </c>
      <c r="U306" s="1026"/>
      <c r="V306" s="1026"/>
      <c r="W306" s="1026" t="s">
        <v>1436</v>
      </c>
      <c r="X306" s="1026"/>
      <c r="Y306" s="1026"/>
      <c r="Z306" s="1026">
        <v>-1408</v>
      </c>
      <c r="AA306" s="1026"/>
      <c r="AB306" s="1026"/>
      <c r="AC306" s="1026" t="s">
        <v>1436</v>
      </c>
      <c r="AD306" s="1026"/>
      <c r="AE306" s="1026"/>
      <c r="AF306" s="1254" t="s">
        <v>1436</v>
      </c>
      <c r="AG306" s="1033"/>
      <c r="AH306" s="1033"/>
      <c r="AI306" s="677"/>
      <c r="AJ306" s="677"/>
      <c r="AK306" s="677"/>
      <c r="AL306" s="677"/>
      <c r="AM306" s="677"/>
      <c r="AN306" s="677"/>
      <c r="AO306" s="677"/>
      <c r="AP306" s="677"/>
      <c r="AQ306" s="678" t="e">
        <f>SUM(H306:AE306)-AF306</f>
        <v>#VALUE!</v>
      </c>
      <c r="AS306" s="676"/>
      <c r="AT306" s="677"/>
      <c r="AU306" s="677"/>
      <c r="AV306" s="677"/>
      <c r="AW306" s="677"/>
      <c r="AX306" s="677"/>
      <c r="AY306" s="677"/>
      <c r="AZ306" s="677"/>
      <c r="BA306" s="688"/>
      <c r="BC306" s="676"/>
      <c r="BD306" s="677"/>
      <c r="BE306" s="677"/>
      <c r="BF306" s="677"/>
      <c r="BG306" s="677"/>
      <c r="BH306" s="677"/>
      <c r="BI306" s="677"/>
      <c r="BJ306" s="677"/>
      <c r="BK306" s="688"/>
    </row>
    <row r="307" spans="1:63" s="656" customFormat="1" ht="22.5" customHeight="1" thickBot="1" x14ac:dyDescent="0.25">
      <c r="A307" s="666"/>
      <c r="D307" s="1010" t="s">
        <v>30</v>
      </c>
      <c r="E307" s="1010"/>
      <c r="F307" s="1010"/>
      <c r="G307" s="1010"/>
      <c r="H307" s="1034" t="s">
        <v>1436</v>
      </c>
      <c r="I307" s="1035"/>
      <c r="J307" s="1036"/>
      <c r="K307" s="1034" t="s">
        <v>1436</v>
      </c>
      <c r="L307" s="1035"/>
      <c r="M307" s="1036"/>
      <c r="N307" s="1037">
        <f>N303+N305+N306</f>
        <v>343465</v>
      </c>
      <c r="O307" s="1037"/>
      <c r="P307" s="1037"/>
      <c r="Q307" s="1034" t="s">
        <v>1436</v>
      </c>
      <c r="R307" s="1035"/>
      <c r="S307" s="1036"/>
      <c r="T307" s="1034" t="s">
        <v>1436</v>
      </c>
      <c r="U307" s="1035"/>
      <c r="V307" s="1036"/>
      <c r="W307" s="1034" t="s">
        <v>1436</v>
      </c>
      <c r="X307" s="1035"/>
      <c r="Y307" s="1036"/>
      <c r="Z307" s="1034" t="s">
        <v>1436</v>
      </c>
      <c r="AA307" s="1035"/>
      <c r="AB307" s="1036"/>
      <c r="AC307" s="1034" t="s">
        <v>1436</v>
      </c>
      <c r="AD307" s="1035"/>
      <c r="AE307" s="1036"/>
      <c r="AF307" s="1037">
        <f>SUM(AF303:AH305)</f>
        <v>343465</v>
      </c>
      <c r="AG307" s="1037"/>
      <c r="AH307" s="1037"/>
      <c r="AI307" s="723" t="e">
        <f>H303+H304-H305+H306-H307</f>
        <v>#VALUE!</v>
      </c>
      <c r="AJ307" s="723" t="e">
        <f>K303+K304-K305+K306-K307</f>
        <v>#VALUE!</v>
      </c>
      <c r="AK307" s="723" t="e">
        <f>N303+N304-N305+N306-N307</f>
        <v>#VALUE!</v>
      </c>
      <c r="AL307" s="723" t="e">
        <f>Q303+Q304-Q305+Q306-Q307</f>
        <v>#VALUE!</v>
      </c>
      <c r="AM307" s="723" t="e">
        <f>T303+T304-T305+T306-T306</f>
        <v>#VALUE!</v>
      </c>
      <c r="AN307" s="723" t="e">
        <f>W303+W304-W305+W306-W307</f>
        <v>#VALUE!</v>
      </c>
      <c r="AO307" s="723" t="e">
        <f>Z303+Z304-Z305+Z306-Z307</f>
        <v>#VALUE!</v>
      </c>
      <c r="AP307" s="723" t="e">
        <f>AC303+AC304-AC305+AC306-AC307</f>
        <v>#VALUE!</v>
      </c>
      <c r="AQ307" s="678" t="e">
        <f>AF303+AF304-AF305+AF306-AF307</f>
        <v>#VALUE!</v>
      </c>
      <c r="AS307" s="676"/>
      <c r="AT307" s="677"/>
      <c r="AU307" s="677"/>
      <c r="AV307" s="677"/>
      <c r="AW307" s="677"/>
      <c r="AX307" s="677"/>
      <c r="AY307" s="677"/>
      <c r="AZ307" s="677"/>
      <c r="BA307" s="688"/>
      <c r="BC307" s="691" t="e">
        <f>H307-BS!$D$21</f>
        <v>#VALUE!</v>
      </c>
      <c r="BD307" s="723" t="e">
        <f>K307-BS!$D$22</f>
        <v>#VALUE!</v>
      </c>
      <c r="BE307" s="723">
        <f>N307-BS!$D$23</f>
        <v>343465</v>
      </c>
      <c r="BF307" s="723" t="e">
        <f>Q307-BS!$D$24</f>
        <v>#VALUE!</v>
      </c>
      <c r="BG307" s="723" t="e">
        <f>T307-BS!$D$25</f>
        <v>#VALUE!</v>
      </c>
      <c r="BH307" s="723" t="e">
        <f>W307-BS!$D$26</f>
        <v>#VALUE!</v>
      </c>
      <c r="BI307" s="723" t="e">
        <f>Z307-BS!$D$27</f>
        <v>#VALUE!</v>
      </c>
      <c r="BJ307" s="723" t="e">
        <f>AC307-BS!$D$28</f>
        <v>#VALUE!</v>
      </c>
      <c r="BK307" s="678">
        <f>AF307-BS!$D$20</f>
        <v>343465</v>
      </c>
    </row>
    <row r="308" spans="1:63" s="656" customFormat="1" ht="15.75" customHeight="1" thickBot="1" x14ac:dyDescent="0.25">
      <c r="A308" s="666"/>
      <c r="D308" s="1276" t="s">
        <v>31</v>
      </c>
      <c r="E308" s="1277"/>
      <c r="F308" s="1277"/>
      <c r="G308" s="1277"/>
      <c r="H308" s="1277"/>
      <c r="I308" s="1277"/>
      <c r="J308" s="1277"/>
      <c r="K308" s="1277"/>
      <c r="L308" s="1277"/>
      <c r="M308" s="1277"/>
      <c r="N308" s="1277"/>
      <c r="O308" s="1277"/>
      <c r="P308" s="1277"/>
      <c r="Q308" s="1277"/>
      <c r="R308" s="1277"/>
      <c r="S308" s="1277"/>
      <c r="T308" s="1277"/>
      <c r="U308" s="1277"/>
      <c r="V308" s="1277"/>
      <c r="W308" s="1277"/>
      <c r="X308" s="1277"/>
      <c r="Y308" s="1277"/>
      <c r="Z308" s="1277"/>
      <c r="AA308" s="1277"/>
      <c r="AB308" s="1277"/>
      <c r="AC308" s="1277"/>
      <c r="AD308" s="1277"/>
      <c r="AE308" s="1277"/>
      <c r="AF308" s="1277"/>
      <c r="AG308" s="1277"/>
      <c r="AH308" s="1278"/>
      <c r="AI308" s="677"/>
      <c r="AJ308" s="677"/>
      <c r="AK308" s="677"/>
      <c r="AL308" s="677"/>
      <c r="AM308" s="677"/>
      <c r="AN308" s="677"/>
      <c r="AO308" s="677"/>
      <c r="AP308" s="677"/>
      <c r="AQ308" s="678"/>
      <c r="AS308" s="676"/>
      <c r="AT308" s="677"/>
      <c r="AU308" s="677"/>
      <c r="AV308" s="677"/>
      <c r="AW308" s="677"/>
      <c r="AX308" s="677"/>
      <c r="AY308" s="677"/>
      <c r="AZ308" s="677"/>
      <c r="BA308" s="688"/>
      <c r="BC308" s="676"/>
      <c r="BD308" s="677"/>
      <c r="BE308" s="677"/>
      <c r="BF308" s="677"/>
      <c r="BG308" s="677"/>
      <c r="BH308" s="677"/>
      <c r="BI308" s="677"/>
      <c r="BJ308" s="677"/>
      <c r="BK308" s="688"/>
    </row>
    <row r="309" spans="1:63" s="656" customFormat="1" ht="22.5" customHeight="1" x14ac:dyDescent="0.2">
      <c r="A309" s="666"/>
      <c r="D309" s="1260" t="s">
        <v>32</v>
      </c>
      <c r="E309" s="1260"/>
      <c r="F309" s="1260"/>
      <c r="G309" s="1260"/>
      <c r="H309" s="1264" t="s">
        <v>1436</v>
      </c>
      <c r="I309" s="1264"/>
      <c r="J309" s="1264"/>
      <c r="K309" s="1258" t="s">
        <v>1436</v>
      </c>
      <c r="L309" s="1258"/>
      <c r="M309" s="1258"/>
      <c r="N309" s="1258">
        <v>-346994</v>
      </c>
      <c r="O309" s="1258"/>
      <c r="P309" s="1258"/>
      <c r="Q309" s="1258" t="s">
        <v>1436</v>
      </c>
      <c r="R309" s="1258"/>
      <c r="S309" s="1258"/>
      <c r="T309" s="1258" t="s">
        <v>1436</v>
      </c>
      <c r="U309" s="1258"/>
      <c r="V309" s="1258"/>
      <c r="W309" s="1258" t="s">
        <v>1436</v>
      </c>
      <c r="X309" s="1258"/>
      <c r="Y309" s="1258"/>
      <c r="Z309" s="1258" t="s">
        <v>1436</v>
      </c>
      <c r="AA309" s="1258"/>
      <c r="AB309" s="1258"/>
      <c r="AC309" s="1258" t="s">
        <v>1436</v>
      </c>
      <c r="AD309" s="1258"/>
      <c r="AE309" s="1258"/>
      <c r="AF309" s="1102">
        <f>SUM(H309:AE309)</f>
        <v>-346994</v>
      </c>
      <c r="AG309" s="1102"/>
      <c r="AH309" s="1102"/>
      <c r="AI309" s="677"/>
      <c r="AJ309" s="677"/>
      <c r="AK309" s="677"/>
      <c r="AL309" s="677"/>
      <c r="AM309" s="677"/>
      <c r="AN309" s="677"/>
      <c r="AO309" s="677"/>
      <c r="AP309" s="677"/>
      <c r="AQ309" s="678">
        <f>SUM(H309:AE309)-AF309</f>
        <v>0</v>
      </c>
      <c r="AS309" s="691" t="e">
        <f>H309-H331</f>
        <v>#VALUE!</v>
      </c>
      <c r="AT309" s="723" t="e">
        <f>K309-K331</f>
        <v>#VALUE!</v>
      </c>
      <c r="AU309" s="723">
        <f>N309-N331</f>
        <v>0</v>
      </c>
      <c r="AV309" s="723" t="e">
        <f>Q309-Q331</f>
        <v>#VALUE!</v>
      </c>
      <c r="AW309" s="723" t="e">
        <f>T309-T331</f>
        <v>#VALUE!</v>
      </c>
      <c r="AX309" s="723" t="e">
        <f>W309-W331</f>
        <v>#VALUE!</v>
      </c>
      <c r="AY309" s="723" t="e">
        <f>Z309-Z331</f>
        <v>#VALUE!</v>
      </c>
      <c r="AZ309" s="723" t="e">
        <f>AC309-AC331</f>
        <v>#VALUE!</v>
      </c>
      <c r="BA309" s="678">
        <f>AF309-AF331</f>
        <v>0</v>
      </c>
      <c r="BC309" s="676"/>
      <c r="BD309" s="677"/>
      <c r="BE309" s="677"/>
      <c r="BF309" s="677"/>
      <c r="BG309" s="677"/>
      <c r="BH309" s="677"/>
      <c r="BI309" s="677"/>
      <c r="BJ309" s="677"/>
      <c r="BK309" s="688"/>
    </row>
    <row r="310" spans="1:63" s="656" customFormat="1" x14ac:dyDescent="0.2">
      <c r="A310" s="666"/>
      <c r="D310" s="1024" t="s">
        <v>27</v>
      </c>
      <c r="E310" s="1024"/>
      <c r="F310" s="1024"/>
      <c r="G310" s="1024"/>
      <c r="H310" s="1025" t="s">
        <v>1436</v>
      </c>
      <c r="I310" s="1025"/>
      <c r="J310" s="1025"/>
      <c r="K310" s="1026" t="s">
        <v>1436</v>
      </c>
      <c r="L310" s="1026"/>
      <c r="M310" s="1026"/>
      <c r="N310" s="1026">
        <v>-9943</v>
      </c>
      <c r="O310" s="1026"/>
      <c r="P310" s="1026"/>
      <c r="Q310" s="1026" t="s">
        <v>1436</v>
      </c>
      <c r="R310" s="1026"/>
      <c r="S310" s="1026"/>
      <c r="T310" s="1026" t="s">
        <v>1436</v>
      </c>
      <c r="U310" s="1026"/>
      <c r="V310" s="1026"/>
      <c r="W310" s="1026" t="s">
        <v>1436</v>
      </c>
      <c r="X310" s="1026"/>
      <c r="Y310" s="1026"/>
      <c r="Z310" s="1026" t="s">
        <v>1436</v>
      </c>
      <c r="AA310" s="1026"/>
      <c r="AB310" s="1026"/>
      <c r="AC310" s="1026" t="s">
        <v>1436</v>
      </c>
      <c r="AD310" s="1026"/>
      <c r="AE310" s="1026"/>
      <c r="AF310" s="1033">
        <f>SUM(H310:AE310)</f>
        <v>-9943</v>
      </c>
      <c r="AG310" s="1033"/>
      <c r="AH310" s="1033"/>
      <c r="AI310" s="677"/>
      <c r="AJ310" s="677"/>
      <c r="AK310" s="677"/>
      <c r="AL310" s="677"/>
      <c r="AM310" s="677"/>
      <c r="AN310" s="677"/>
      <c r="AO310" s="677"/>
      <c r="AP310" s="677"/>
      <c r="AQ310" s="678">
        <f t="shared" ref="AQ310:AQ311" si="1">SUM(H310:AE310)-AF310</f>
        <v>0</v>
      </c>
      <c r="AS310" s="676"/>
      <c r="AT310" s="677"/>
      <c r="AU310" s="677"/>
      <c r="AV310" s="677"/>
      <c r="AW310" s="677"/>
      <c r="AX310" s="677"/>
      <c r="AY310" s="677"/>
      <c r="AZ310" s="677"/>
      <c r="BA310" s="688"/>
      <c r="BC310" s="676"/>
      <c r="BD310" s="677"/>
      <c r="BE310" s="677"/>
      <c r="BF310" s="677"/>
      <c r="BG310" s="677"/>
      <c r="BH310" s="677"/>
      <c r="BI310" s="677"/>
      <c r="BJ310" s="677"/>
      <c r="BK310" s="688"/>
    </row>
    <row r="311" spans="1:63" s="656" customFormat="1" x14ac:dyDescent="0.2">
      <c r="A311" s="666"/>
      <c r="D311" s="1024" t="s">
        <v>28</v>
      </c>
      <c r="E311" s="1024"/>
      <c r="F311" s="1024"/>
      <c r="G311" s="1024"/>
      <c r="H311" s="1025" t="s">
        <v>1436</v>
      </c>
      <c r="I311" s="1025"/>
      <c r="J311" s="1025"/>
      <c r="K311" s="1026" t="s">
        <v>1436</v>
      </c>
      <c r="L311" s="1026"/>
      <c r="M311" s="1026"/>
      <c r="N311" s="1026">
        <v>21690</v>
      </c>
      <c r="O311" s="1026"/>
      <c r="P311" s="1026"/>
      <c r="Q311" s="1026" t="s">
        <v>1436</v>
      </c>
      <c r="R311" s="1026"/>
      <c r="S311" s="1026"/>
      <c r="T311" s="1026" t="s">
        <v>1436</v>
      </c>
      <c r="U311" s="1026"/>
      <c r="V311" s="1026"/>
      <c r="W311" s="1026" t="s">
        <v>1436</v>
      </c>
      <c r="X311" s="1026"/>
      <c r="Y311" s="1026"/>
      <c r="Z311" s="1026" t="s">
        <v>1436</v>
      </c>
      <c r="AA311" s="1026"/>
      <c r="AB311" s="1026"/>
      <c r="AC311" s="1026" t="s">
        <v>1436</v>
      </c>
      <c r="AD311" s="1026"/>
      <c r="AE311" s="1026"/>
      <c r="AF311" s="1033">
        <f>SUM(H311:AE311)</f>
        <v>21690</v>
      </c>
      <c r="AG311" s="1033"/>
      <c r="AH311" s="1033"/>
      <c r="AI311" s="677"/>
      <c r="AJ311" s="677"/>
      <c r="AK311" s="677"/>
      <c r="AL311" s="677"/>
      <c r="AM311" s="677"/>
      <c r="AN311" s="677"/>
      <c r="AO311" s="677"/>
      <c r="AP311" s="677"/>
      <c r="AQ311" s="678">
        <f t="shared" si="1"/>
        <v>0</v>
      </c>
      <c r="AS311" s="676"/>
      <c r="AT311" s="677"/>
      <c r="AU311" s="677"/>
      <c r="AV311" s="677"/>
      <c r="AW311" s="677"/>
      <c r="AX311" s="677"/>
      <c r="AY311" s="677"/>
      <c r="AZ311" s="677"/>
      <c r="BA311" s="688"/>
      <c r="BC311" s="735" t="s">
        <v>1142</v>
      </c>
      <c r="BD311" s="677"/>
      <c r="BE311" s="677"/>
      <c r="BF311" s="677"/>
      <c r="BG311" s="677"/>
      <c r="BH311" s="677"/>
      <c r="BI311" s="677"/>
      <c r="BJ311" s="677"/>
      <c r="BK311" s="688"/>
    </row>
    <row r="312" spans="1:63" s="656" customFormat="1" ht="22.5" customHeight="1" thickBot="1" x14ac:dyDescent="0.25">
      <c r="A312" s="666"/>
      <c r="D312" s="1010" t="s">
        <v>30</v>
      </c>
      <c r="E312" s="1010"/>
      <c r="F312" s="1010"/>
      <c r="G312" s="1010"/>
      <c r="H312" s="1034" t="s">
        <v>1436</v>
      </c>
      <c r="I312" s="1035"/>
      <c r="J312" s="1036"/>
      <c r="K312" s="1034" t="s">
        <v>1436</v>
      </c>
      <c r="L312" s="1035"/>
      <c r="M312" s="1036"/>
      <c r="N312" s="1037">
        <f>N309+N310+N311</f>
        <v>-335247</v>
      </c>
      <c r="O312" s="1037"/>
      <c r="P312" s="1037"/>
      <c r="Q312" s="1034" t="s">
        <v>1436</v>
      </c>
      <c r="R312" s="1035"/>
      <c r="S312" s="1036"/>
      <c r="T312" s="1034" t="s">
        <v>1436</v>
      </c>
      <c r="U312" s="1035"/>
      <c r="V312" s="1036"/>
      <c r="W312" s="1034" t="s">
        <v>1436</v>
      </c>
      <c r="X312" s="1035"/>
      <c r="Y312" s="1036"/>
      <c r="Z312" s="1034" t="s">
        <v>1436</v>
      </c>
      <c r="AA312" s="1035"/>
      <c r="AB312" s="1036"/>
      <c r="AC312" s="1034" t="s">
        <v>1436</v>
      </c>
      <c r="AD312" s="1035"/>
      <c r="AE312" s="1036"/>
      <c r="AF312" s="1037">
        <f>AF309+AF310+AF311</f>
        <v>-335247</v>
      </c>
      <c r="AG312" s="1037"/>
      <c r="AH312" s="1037"/>
      <c r="AI312" s="723" t="e">
        <f>H309+H310-H311-H312</f>
        <v>#VALUE!</v>
      </c>
      <c r="AJ312" s="723" t="e">
        <f>K309+K310-K311-K312</f>
        <v>#VALUE!</v>
      </c>
      <c r="AK312" s="723">
        <f>N309+N310+N311-N312</f>
        <v>0</v>
      </c>
      <c r="AL312" s="723" t="e">
        <f>Q309+Q310-Q311-Q312</f>
        <v>#VALUE!</v>
      </c>
      <c r="AM312" s="723" t="e">
        <f>T309+T310-T311-T312</f>
        <v>#VALUE!</v>
      </c>
      <c r="AN312" s="723" t="e">
        <f>W309+W310-W311-W312</f>
        <v>#VALUE!</v>
      </c>
      <c r="AO312" s="723" t="e">
        <f>Z309+Z310-Z311-Z312</f>
        <v>#VALUE!</v>
      </c>
      <c r="AP312" s="723" t="e">
        <f>AC309+AC310-AC311-AC312</f>
        <v>#VALUE!</v>
      </c>
      <c r="AQ312" s="678">
        <f>AF309+AF310-AF311-AF312</f>
        <v>-43380</v>
      </c>
      <c r="AS312" s="676"/>
      <c r="AT312" s="677"/>
      <c r="AU312" s="677"/>
      <c r="AV312" s="677"/>
      <c r="AW312" s="677"/>
      <c r="AX312" s="677"/>
      <c r="AY312" s="677"/>
      <c r="AZ312" s="677"/>
      <c r="BA312" s="688"/>
      <c r="BC312" s="691" t="e">
        <f>H312+#REF!-BS!$E$21</f>
        <v>#VALUE!</v>
      </c>
      <c r="BD312" s="723" t="e">
        <f>K312+#REF!-BS!$E$22</f>
        <v>#VALUE!</v>
      </c>
      <c r="BE312" s="723" t="e">
        <f>N312+#REF!-BS!$E$23</f>
        <v>#REF!</v>
      </c>
      <c r="BF312" s="723" t="e">
        <f>Q312+#REF!-BS!$E$24</f>
        <v>#VALUE!</v>
      </c>
      <c r="BG312" s="723" t="e">
        <f>T312+#REF!-BS!$E$25</f>
        <v>#VALUE!</v>
      </c>
      <c r="BH312" s="723" t="e">
        <f>W312+#REF!-BS!$E$26</f>
        <v>#VALUE!</v>
      </c>
      <c r="BI312" s="723" t="e">
        <f>Z312+#REF!-BS!$E$27</f>
        <v>#VALUE!</v>
      </c>
      <c r="BJ312" s="723" t="e">
        <f>AC312+#REF!-BS!$E$28</f>
        <v>#VALUE!</v>
      </c>
      <c r="BK312" s="678" t="e">
        <f>AF312+#REF!-BS!$E$20</f>
        <v>#REF!</v>
      </c>
    </row>
    <row r="313" spans="1:63" s="656" customFormat="1" ht="15.75" customHeight="1" thickBot="1" x14ac:dyDescent="0.25">
      <c r="A313" s="666"/>
      <c r="D313" s="1273" t="s">
        <v>34</v>
      </c>
      <c r="E313" s="1274"/>
      <c r="F313" s="1274"/>
      <c r="G313" s="1274"/>
      <c r="H313" s="1274"/>
      <c r="I313" s="1274"/>
      <c r="J313" s="1274"/>
      <c r="K313" s="1274"/>
      <c r="L313" s="1274"/>
      <c r="M313" s="1274"/>
      <c r="N313" s="1274"/>
      <c r="O313" s="1274"/>
      <c r="P313" s="1274"/>
      <c r="Q313" s="1274"/>
      <c r="R313" s="1274"/>
      <c r="S313" s="1274"/>
      <c r="T313" s="1274"/>
      <c r="U313" s="1274"/>
      <c r="V313" s="1274"/>
      <c r="W313" s="1274"/>
      <c r="X313" s="1274"/>
      <c r="Y313" s="1274"/>
      <c r="Z313" s="1274"/>
      <c r="AA313" s="1274"/>
      <c r="AB313" s="1274"/>
      <c r="AC313" s="1274"/>
      <c r="AD313" s="1274"/>
      <c r="AE313" s="1274"/>
      <c r="AF313" s="1274"/>
      <c r="AG313" s="1274"/>
      <c r="AH313" s="1275"/>
      <c r="AI313" s="677"/>
      <c r="AJ313" s="677"/>
      <c r="AK313" s="677"/>
      <c r="AL313" s="677"/>
      <c r="AM313" s="677"/>
      <c r="AN313" s="677"/>
      <c r="AO313" s="677"/>
      <c r="AP313" s="677"/>
      <c r="AQ313" s="678"/>
      <c r="AS313" s="676"/>
      <c r="AT313" s="677"/>
      <c r="AU313" s="677"/>
      <c r="AV313" s="677"/>
      <c r="AW313" s="677"/>
      <c r="AX313" s="677"/>
      <c r="AY313" s="677"/>
      <c r="AZ313" s="677"/>
      <c r="BA313" s="688"/>
      <c r="BC313" s="676"/>
      <c r="BD313" s="677"/>
      <c r="BE313" s="677"/>
      <c r="BF313" s="677"/>
      <c r="BG313" s="677"/>
      <c r="BH313" s="677"/>
      <c r="BI313" s="677"/>
      <c r="BJ313" s="677"/>
      <c r="BK313" s="688"/>
    </row>
    <row r="314" spans="1:63" s="656" customFormat="1" ht="22.5" customHeight="1" thickBot="1" x14ac:dyDescent="0.25">
      <c r="A314" s="666"/>
      <c r="D314" s="1283" t="s">
        <v>32</v>
      </c>
      <c r="E314" s="1283"/>
      <c r="F314" s="1283"/>
      <c r="G314" s="1283"/>
      <c r="H314" s="1034" t="s">
        <v>1436</v>
      </c>
      <c r="I314" s="1035"/>
      <c r="J314" s="1036"/>
      <c r="K314" s="1034" t="s">
        <v>1436</v>
      </c>
      <c r="L314" s="1035"/>
      <c r="M314" s="1036"/>
      <c r="N314" s="1282">
        <f>N303+N309</f>
        <v>16753</v>
      </c>
      <c r="O314" s="1282"/>
      <c r="P314" s="1282"/>
      <c r="Q314" s="1034" t="s">
        <v>1436</v>
      </c>
      <c r="R314" s="1035"/>
      <c r="S314" s="1036"/>
      <c r="T314" s="1034" t="s">
        <v>1436</v>
      </c>
      <c r="U314" s="1035"/>
      <c r="V314" s="1036"/>
      <c r="W314" s="1034" t="s">
        <v>1436</v>
      </c>
      <c r="X314" s="1035"/>
      <c r="Y314" s="1036"/>
      <c r="Z314" s="1034" t="s">
        <v>1436</v>
      </c>
      <c r="AA314" s="1035"/>
      <c r="AB314" s="1036"/>
      <c r="AC314" s="1034" t="s">
        <v>1436</v>
      </c>
      <c r="AD314" s="1035"/>
      <c r="AE314" s="1036"/>
      <c r="AF314" s="1282">
        <f>N314</f>
        <v>16753</v>
      </c>
      <c r="AG314" s="1282"/>
      <c r="AH314" s="1282"/>
      <c r="AI314" s="723" t="e">
        <f>H303-H309-#REF!-H314</f>
        <v>#VALUE!</v>
      </c>
      <c r="AJ314" s="723" t="e">
        <f>K303-K309-#REF!-K314</f>
        <v>#VALUE!</v>
      </c>
      <c r="AK314" s="723" t="e">
        <f>N303-N309-#REF!-N314</f>
        <v>#REF!</v>
      </c>
      <c r="AL314" s="723" t="e">
        <f>Q303-Q309-#REF!-Q314</f>
        <v>#VALUE!</v>
      </c>
      <c r="AM314" s="723" t="e">
        <f>T303-T309-#REF!-T314</f>
        <v>#VALUE!</v>
      </c>
      <c r="AN314" s="723" t="e">
        <f>W303-W309-#REF!-W314</f>
        <v>#VALUE!</v>
      </c>
      <c r="AO314" s="723" t="e">
        <f>Z303-Z309-#REF!-Z314</f>
        <v>#VALUE!</v>
      </c>
      <c r="AP314" s="723" t="e">
        <f>AC303-AC309-#REF!-AC314</f>
        <v>#VALUE!</v>
      </c>
      <c r="AQ314" s="678">
        <f>SUM(H314:AE314)-AF314</f>
        <v>0</v>
      </c>
      <c r="AS314" s="691" t="e">
        <f>H314-H339</f>
        <v>#VALUE!</v>
      </c>
      <c r="AT314" s="723" t="e">
        <f>K314-K339</f>
        <v>#VALUE!</v>
      </c>
      <c r="AU314" s="723">
        <f>N314-N339</f>
        <v>0</v>
      </c>
      <c r="AV314" s="723" t="e">
        <f>Q314-Q339</f>
        <v>#VALUE!</v>
      </c>
      <c r="AW314" s="723" t="e">
        <f>T314-T339</f>
        <v>#VALUE!</v>
      </c>
      <c r="AX314" s="723" t="e">
        <f>W314-W339</f>
        <v>#VALUE!</v>
      </c>
      <c r="AY314" s="723" t="e">
        <f>Z314-Z339</f>
        <v>#VALUE!</v>
      </c>
      <c r="AZ314" s="723" t="e">
        <f>AC314-AC339</f>
        <v>#VALUE!</v>
      </c>
      <c r="BA314" s="678">
        <f>AF314-AF339</f>
        <v>0</v>
      </c>
      <c r="BC314" s="676"/>
      <c r="BD314" s="677"/>
      <c r="BE314" s="677"/>
      <c r="BF314" s="677"/>
      <c r="BG314" s="677"/>
      <c r="BH314" s="677"/>
      <c r="BI314" s="677"/>
      <c r="BJ314" s="677"/>
      <c r="BK314" s="688"/>
    </row>
    <row r="315" spans="1:63" s="656" customFormat="1" ht="22.5" customHeight="1" thickBot="1" x14ac:dyDescent="0.25">
      <c r="A315" s="666"/>
      <c r="D315" s="1010" t="s">
        <v>30</v>
      </c>
      <c r="E315" s="1010"/>
      <c r="F315" s="1010"/>
      <c r="G315" s="1010"/>
      <c r="H315" s="1034" t="s">
        <v>1436</v>
      </c>
      <c r="I315" s="1035"/>
      <c r="J315" s="1036"/>
      <c r="K315" s="1034" t="s">
        <v>1436</v>
      </c>
      <c r="L315" s="1035"/>
      <c r="M315" s="1036"/>
      <c r="N315" s="1037">
        <f>N307+N312</f>
        <v>8218</v>
      </c>
      <c r="O315" s="1037"/>
      <c r="P315" s="1037"/>
      <c r="Q315" s="1034" t="s">
        <v>1436</v>
      </c>
      <c r="R315" s="1035"/>
      <c r="S315" s="1036"/>
      <c r="T315" s="1034" t="s">
        <v>1436</v>
      </c>
      <c r="U315" s="1035"/>
      <c r="V315" s="1036"/>
      <c r="W315" s="1034" t="s">
        <v>1436</v>
      </c>
      <c r="X315" s="1035"/>
      <c r="Y315" s="1036"/>
      <c r="Z315" s="1034" t="s">
        <v>1436</v>
      </c>
      <c r="AA315" s="1035"/>
      <c r="AB315" s="1036"/>
      <c r="AC315" s="1034" t="s">
        <v>1436</v>
      </c>
      <c r="AD315" s="1035"/>
      <c r="AE315" s="1036"/>
      <c r="AF315" s="1037">
        <f>N315</f>
        <v>8218</v>
      </c>
      <c r="AG315" s="1037"/>
      <c r="AH315" s="1037"/>
      <c r="AI315" s="680" t="e">
        <f>H307-H312-#REF!-H315</f>
        <v>#VALUE!</v>
      </c>
      <c r="AJ315" s="680" t="e">
        <f>K307-K312-#REF!-K315</f>
        <v>#VALUE!</v>
      </c>
      <c r="AK315" s="680" t="e">
        <f>N307-N312-#REF!-N315</f>
        <v>#REF!</v>
      </c>
      <c r="AL315" s="680" t="e">
        <f>Q307-Q312-#REF!-Q315</f>
        <v>#VALUE!</v>
      </c>
      <c r="AM315" s="680" t="e">
        <f>T307-T312-#REF!-T315</f>
        <v>#VALUE!</v>
      </c>
      <c r="AN315" s="680" t="e">
        <f>W307-W312-#REF!-W315</f>
        <v>#VALUE!</v>
      </c>
      <c r="AO315" s="680" t="e">
        <f>Z307-Z312-#REF!-Z315</f>
        <v>#VALUE!</v>
      </c>
      <c r="AP315" s="680" t="e">
        <f>AC307-AC312-#REF!-AC315</f>
        <v>#VALUE!</v>
      </c>
      <c r="AQ315" s="681">
        <f>SUM(H315:AE315)-AF315</f>
        <v>0</v>
      </c>
      <c r="AS315" s="700"/>
      <c r="AT315" s="724"/>
      <c r="AU315" s="724"/>
      <c r="AV315" s="724"/>
      <c r="AW315" s="724"/>
      <c r="AX315" s="724"/>
      <c r="AY315" s="724"/>
      <c r="AZ315" s="724"/>
      <c r="BA315" s="701"/>
      <c r="BC315" s="679" t="e">
        <f>H315-BS!$F$21</f>
        <v>#VALUE!</v>
      </c>
      <c r="BD315" s="680" t="e">
        <f>K315-BS!$F$22</f>
        <v>#VALUE!</v>
      </c>
      <c r="BE315" s="680">
        <f>N315-BS!$F$23</f>
        <v>8218</v>
      </c>
      <c r="BF315" s="680" t="e">
        <f>Q315-BS!$F$24</f>
        <v>#VALUE!</v>
      </c>
      <c r="BG315" s="680" t="e">
        <f>T315-BS!$F$25</f>
        <v>#VALUE!</v>
      </c>
      <c r="BH315" s="680" t="e">
        <f>W315-BS!$F$26</f>
        <v>#VALUE!</v>
      </c>
      <c r="BI315" s="680" t="e">
        <f>Z315-BS!$F$27</f>
        <v>#VALUE!</v>
      </c>
      <c r="BJ315" s="680" t="e">
        <f>AC315-BS!$F$28</f>
        <v>#VALUE!</v>
      </c>
      <c r="BK315" s="681">
        <f>AF315-BS!$F$20</f>
        <v>8218</v>
      </c>
    </row>
    <row r="316" spans="1:63" s="656" customFormat="1" x14ac:dyDescent="0.2">
      <c r="A316" s="666"/>
      <c r="D316" s="843"/>
      <c r="E316" s="888"/>
      <c r="F316" s="888"/>
      <c r="G316" s="888"/>
      <c r="H316" s="888"/>
      <c r="I316" s="888"/>
      <c r="J316" s="888"/>
      <c r="K316" s="888"/>
      <c r="L316" s="888"/>
      <c r="M316" s="888"/>
      <c r="N316" s="888"/>
      <c r="O316" s="888"/>
      <c r="P316" s="888"/>
      <c r="Q316" s="888"/>
      <c r="R316" s="888"/>
      <c r="S316" s="888"/>
      <c r="T316" s="888"/>
      <c r="U316" s="888"/>
      <c r="V316" s="888"/>
      <c r="W316" s="888"/>
      <c r="X316" s="888"/>
      <c r="Y316" s="888"/>
      <c r="Z316" s="888"/>
      <c r="AA316" s="888"/>
      <c r="AB316" s="888"/>
      <c r="AC316" s="888"/>
      <c r="AD316" s="888"/>
      <c r="AE316" s="888"/>
      <c r="AF316" s="888"/>
      <c r="AG316" s="888"/>
      <c r="AI316" s="18"/>
      <c r="AJ316" s="18"/>
      <c r="AK316" s="18"/>
      <c r="AL316" s="18"/>
      <c r="AM316" s="18"/>
      <c r="AN316" s="18"/>
      <c r="AO316" s="18"/>
      <c r="AP316" s="18"/>
      <c r="AQ316" s="18"/>
    </row>
    <row r="317" spans="1:63" s="656" customFormat="1" x14ac:dyDescent="0.2">
      <c r="A317" s="666"/>
      <c r="D317" s="843"/>
      <c r="E317" s="888"/>
      <c r="F317" s="888"/>
      <c r="G317" s="888"/>
      <c r="H317" s="888"/>
      <c r="I317" s="888"/>
      <c r="J317" s="888"/>
      <c r="K317" s="888"/>
      <c r="L317" s="888"/>
      <c r="M317" s="888"/>
      <c r="N317" s="888"/>
      <c r="O317" s="888"/>
      <c r="P317" s="888"/>
      <c r="Q317" s="888"/>
      <c r="R317" s="888"/>
      <c r="S317" s="888"/>
      <c r="T317" s="888"/>
      <c r="U317" s="888"/>
      <c r="V317" s="888"/>
      <c r="W317" s="888"/>
      <c r="X317" s="888"/>
      <c r="Y317" s="888"/>
      <c r="Z317" s="888"/>
      <c r="AA317" s="888"/>
      <c r="AB317" s="888"/>
      <c r="AC317" s="888"/>
      <c r="AD317" s="888"/>
      <c r="AE317" s="888"/>
      <c r="AF317" s="888"/>
      <c r="AG317" s="888"/>
      <c r="AI317" s="18"/>
      <c r="AJ317" s="18"/>
      <c r="AK317" s="18"/>
      <c r="AL317" s="18"/>
      <c r="AM317" s="18"/>
      <c r="AN317" s="18"/>
      <c r="AO317" s="18"/>
      <c r="AP317" s="18"/>
      <c r="AQ317" s="18"/>
    </row>
    <row r="318" spans="1:63" s="656" customFormat="1" ht="15" thickBot="1" x14ac:dyDescent="0.25">
      <c r="A318" s="666"/>
      <c r="D318" s="843"/>
      <c r="E318" s="836"/>
      <c r="F318" s="836"/>
      <c r="G318" s="836"/>
      <c r="H318" s="836"/>
      <c r="I318" s="836"/>
      <c r="J318" s="836"/>
      <c r="K318" s="836"/>
      <c r="L318" s="836"/>
      <c r="M318" s="836"/>
      <c r="N318" s="836"/>
      <c r="O318" s="836"/>
      <c r="P318" s="836"/>
      <c r="Q318" s="836"/>
      <c r="R318" s="836"/>
      <c r="S318" s="836"/>
      <c r="T318" s="836"/>
      <c r="U318" s="836"/>
      <c r="V318" s="836"/>
      <c r="W318" s="836"/>
      <c r="X318" s="836"/>
      <c r="Y318" s="836"/>
      <c r="Z318" s="836"/>
      <c r="AA318" s="836"/>
      <c r="AB318" s="836"/>
      <c r="AC318" s="836"/>
      <c r="AD318" s="836"/>
      <c r="AE318" s="836"/>
      <c r="AF318" s="836"/>
      <c r="AG318" s="836"/>
      <c r="AI318" s="18"/>
      <c r="AJ318" s="18"/>
      <c r="AK318" s="18"/>
      <c r="AL318" s="18"/>
      <c r="AM318" s="18"/>
      <c r="AN318" s="18"/>
      <c r="AO318" s="18"/>
      <c r="AP318" s="18"/>
      <c r="AQ318" s="18"/>
    </row>
    <row r="319" spans="1:63" s="656" customFormat="1" ht="15" thickBot="1" x14ac:dyDescent="0.25">
      <c r="A319" s="666" t="s">
        <v>1501</v>
      </c>
      <c r="D319" s="983" t="s">
        <v>40</v>
      </c>
      <c r="E319" s="984"/>
      <c r="F319" s="984"/>
      <c r="G319" s="985"/>
      <c r="H319" s="960" t="s">
        <v>3</v>
      </c>
      <c r="I319" s="960"/>
      <c r="J319" s="960"/>
      <c r="K319" s="960"/>
      <c r="L319" s="960"/>
      <c r="M319" s="960"/>
      <c r="N319" s="960"/>
      <c r="O319" s="960"/>
      <c r="P319" s="960"/>
      <c r="Q319" s="960"/>
      <c r="R319" s="960"/>
      <c r="S319" s="960"/>
      <c r="T319" s="960"/>
      <c r="U319" s="960"/>
      <c r="V319" s="960"/>
      <c r="W319" s="960"/>
      <c r="X319" s="960"/>
      <c r="Y319" s="960"/>
      <c r="Z319" s="960"/>
      <c r="AA319" s="960"/>
      <c r="AB319" s="960"/>
      <c r="AC319" s="960"/>
      <c r="AD319" s="960"/>
      <c r="AE319" s="960"/>
      <c r="AF319" s="960"/>
      <c r="AG319" s="960"/>
      <c r="AH319" s="960"/>
      <c r="AI319" s="18"/>
      <c r="AJ319" s="18"/>
      <c r="AK319" s="18"/>
      <c r="AL319" s="18"/>
      <c r="AM319" s="18"/>
      <c r="AN319" s="18"/>
      <c r="AO319" s="18"/>
      <c r="AP319" s="18"/>
      <c r="AQ319" s="18"/>
      <c r="BC319" s="670"/>
      <c r="BD319" s="670"/>
      <c r="BE319" s="670"/>
      <c r="BF319" s="670"/>
      <c r="BG319" s="670"/>
      <c r="BH319" s="670"/>
      <c r="BI319" s="670"/>
      <c r="BJ319" s="670"/>
      <c r="BK319" s="670"/>
    </row>
    <row r="320" spans="1:63" s="656" customFormat="1" ht="55.5" customHeight="1" thickTop="1" thickBot="1" x14ac:dyDescent="0.25">
      <c r="A320" s="666"/>
      <c r="D320" s="986"/>
      <c r="E320" s="987"/>
      <c r="F320" s="987"/>
      <c r="G320" s="988"/>
      <c r="H320" s="959" t="s">
        <v>41</v>
      </c>
      <c r="I320" s="959"/>
      <c r="J320" s="959"/>
      <c r="K320" s="959" t="s">
        <v>42</v>
      </c>
      <c r="L320" s="959"/>
      <c r="M320" s="959"/>
      <c r="N320" s="959" t="s">
        <v>43</v>
      </c>
      <c r="O320" s="959"/>
      <c r="P320" s="959"/>
      <c r="Q320" s="959" t="s">
        <v>1500</v>
      </c>
      <c r="R320" s="959"/>
      <c r="S320" s="959"/>
      <c r="T320" s="959" t="s">
        <v>44</v>
      </c>
      <c r="U320" s="959"/>
      <c r="V320" s="959"/>
      <c r="W320" s="959" t="s">
        <v>45</v>
      </c>
      <c r="X320" s="959"/>
      <c r="Y320" s="959"/>
      <c r="Z320" s="959" t="s">
        <v>445</v>
      </c>
      <c r="AA320" s="959"/>
      <c r="AB320" s="959"/>
      <c r="AC320" s="959" t="s">
        <v>46</v>
      </c>
      <c r="AD320" s="959"/>
      <c r="AE320" s="959"/>
      <c r="AF320" s="959" t="s">
        <v>14</v>
      </c>
      <c r="AG320" s="959"/>
      <c r="AH320" s="959"/>
      <c r="AI320" s="834" t="s">
        <v>41</v>
      </c>
      <c r="AJ320" s="834" t="s">
        <v>42</v>
      </c>
      <c r="AK320" s="834" t="s">
        <v>43</v>
      </c>
      <c r="AL320" s="834" t="s">
        <v>444</v>
      </c>
      <c r="AM320" s="834" t="s">
        <v>44</v>
      </c>
      <c r="AN320" s="834" t="s">
        <v>45</v>
      </c>
      <c r="AO320" s="834" t="s">
        <v>445</v>
      </c>
      <c r="AP320" s="834" t="s">
        <v>46</v>
      </c>
      <c r="AQ320" s="834" t="s">
        <v>14</v>
      </c>
      <c r="BC320" s="670"/>
      <c r="BD320" s="670"/>
      <c r="BE320" s="670"/>
      <c r="BF320" s="670"/>
      <c r="BG320" s="670"/>
      <c r="BH320" s="670"/>
      <c r="BI320" s="670"/>
      <c r="BJ320" s="670"/>
      <c r="BK320" s="670"/>
    </row>
    <row r="321" spans="1:63" s="656" customFormat="1" ht="15" thickBot="1" x14ac:dyDescent="0.25">
      <c r="A321" s="666"/>
      <c r="D321" s="1273" t="s">
        <v>25</v>
      </c>
      <c r="E321" s="1274"/>
      <c r="F321" s="1274"/>
      <c r="G321" s="1274"/>
      <c r="H321" s="1274"/>
      <c r="I321" s="1274"/>
      <c r="J321" s="1274"/>
      <c r="K321" s="1274"/>
      <c r="L321" s="1274"/>
      <c r="M321" s="1274"/>
      <c r="N321" s="1274"/>
      <c r="O321" s="1274"/>
      <c r="P321" s="1274"/>
      <c r="Q321" s="1274"/>
      <c r="R321" s="1274"/>
      <c r="S321" s="1274"/>
      <c r="T321" s="1274"/>
      <c r="U321" s="1274"/>
      <c r="V321" s="1274"/>
      <c r="W321" s="1274"/>
      <c r="X321" s="1274"/>
      <c r="Y321" s="1274"/>
      <c r="Z321" s="1274"/>
      <c r="AA321" s="1274"/>
      <c r="AB321" s="1274"/>
      <c r="AC321" s="1274"/>
      <c r="AD321" s="1274"/>
      <c r="AE321" s="1274"/>
      <c r="AF321" s="1274"/>
      <c r="AG321" s="1274"/>
      <c r="AH321" s="1275"/>
      <c r="AI321" s="682"/>
      <c r="AJ321" s="683"/>
      <c r="AK321" s="683"/>
      <c r="AL321" s="683"/>
      <c r="AM321" s="683"/>
      <c r="AN321" s="683"/>
      <c r="AO321" s="683"/>
      <c r="AP321" s="683"/>
      <c r="AQ321" s="687"/>
      <c r="BC321" s="844"/>
      <c r="BD321" s="845"/>
      <c r="BE321" s="845"/>
      <c r="BF321" s="845"/>
      <c r="BG321" s="845"/>
      <c r="BH321" s="845"/>
      <c r="BI321" s="845"/>
      <c r="BJ321" s="845"/>
      <c r="BK321" s="846"/>
    </row>
    <row r="322" spans="1:63" s="656" customFormat="1" ht="22.5" customHeight="1" x14ac:dyDescent="0.2">
      <c r="A322" s="666"/>
      <c r="D322" s="1260" t="s">
        <v>26</v>
      </c>
      <c r="E322" s="1260"/>
      <c r="F322" s="1260"/>
      <c r="G322" s="1260"/>
      <c r="H322" s="1264" t="s">
        <v>1436</v>
      </c>
      <c r="I322" s="1264"/>
      <c r="J322" s="1264"/>
      <c r="K322" s="1258" t="s">
        <v>1436</v>
      </c>
      <c r="L322" s="1258"/>
      <c r="M322" s="1258"/>
      <c r="N322" s="1258">
        <v>419866</v>
      </c>
      <c r="O322" s="1258"/>
      <c r="P322" s="1258"/>
      <c r="Q322" s="1258" t="s">
        <v>1436</v>
      </c>
      <c r="R322" s="1258"/>
      <c r="S322" s="1258"/>
      <c r="T322" s="1258" t="s">
        <v>1436</v>
      </c>
      <c r="U322" s="1258"/>
      <c r="V322" s="1258"/>
      <c r="W322" s="1258" t="s">
        <v>1436</v>
      </c>
      <c r="X322" s="1258"/>
      <c r="Y322" s="1258"/>
      <c r="Z322" s="1258" t="s">
        <v>1436</v>
      </c>
      <c r="AA322" s="1258"/>
      <c r="AB322" s="1258"/>
      <c r="AC322" s="1258" t="s">
        <v>1436</v>
      </c>
      <c r="AD322" s="1258"/>
      <c r="AE322" s="1258"/>
      <c r="AF322" s="1102">
        <f>SUM(H322:AE322)</f>
        <v>419866</v>
      </c>
      <c r="AG322" s="1102"/>
      <c r="AH322" s="1102"/>
      <c r="AI322" s="676"/>
      <c r="AJ322" s="677"/>
      <c r="AK322" s="677"/>
      <c r="AL322" s="677"/>
      <c r="AM322" s="677"/>
      <c r="AN322" s="677"/>
      <c r="AO322" s="677"/>
      <c r="AP322" s="677"/>
      <c r="AQ322" s="678">
        <f>SUM(H322:AE322)-AF322</f>
        <v>0</v>
      </c>
      <c r="BC322" s="842"/>
      <c r="BD322" s="670"/>
      <c r="BE322" s="670"/>
      <c r="BF322" s="670"/>
      <c r="BG322" s="670"/>
      <c r="BH322" s="670"/>
      <c r="BI322" s="670"/>
      <c r="BJ322" s="670"/>
      <c r="BK322" s="841"/>
    </row>
    <row r="323" spans="1:63" s="656" customFormat="1" x14ac:dyDescent="0.2">
      <c r="A323" s="666"/>
      <c r="D323" s="1024" t="s">
        <v>27</v>
      </c>
      <c r="E323" s="1024"/>
      <c r="F323" s="1024"/>
      <c r="G323" s="1024"/>
      <c r="H323" s="1025" t="s">
        <v>1436</v>
      </c>
      <c r="I323" s="1025"/>
      <c r="J323" s="1025"/>
      <c r="K323" s="1026" t="s">
        <v>1436</v>
      </c>
      <c r="L323" s="1026"/>
      <c r="M323" s="1026"/>
      <c r="N323" s="1026" t="s">
        <v>1436</v>
      </c>
      <c r="O323" s="1026"/>
      <c r="P323" s="1026"/>
      <c r="Q323" s="1026" t="s">
        <v>1436</v>
      </c>
      <c r="R323" s="1026"/>
      <c r="S323" s="1026"/>
      <c r="T323" s="1026" t="s">
        <v>1436</v>
      </c>
      <c r="U323" s="1026"/>
      <c r="V323" s="1026"/>
      <c r="W323" s="1026" t="s">
        <v>1436</v>
      </c>
      <c r="X323" s="1026"/>
      <c r="Y323" s="1026"/>
      <c r="Z323" s="1026">
        <v>1967</v>
      </c>
      <c r="AA323" s="1026"/>
      <c r="AB323" s="1026"/>
      <c r="AC323" s="1026" t="s">
        <v>1436</v>
      </c>
      <c r="AD323" s="1026"/>
      <c r="AE323" s="1026"/>
      <c r="AF323" s="1033">
        <f>SUM(H323:AE323)</f>
        <v>1967</v>
      </c>
      <c r="AG323" s="1033"/>
      <c r="AH323" s="1033"/>
      <c r="AI323" s="676"/>
      <c r="AJ323" s="677"/>
      <c r="AK323" s="677"/>
      <c r="AL323" s="677"/>
      <c r="AM323" s="677"/>
      <c r="AN323" s="677"/>
      <c r="AO323" s="677"/>
      <c r="AP323" s="677"/>
      <c r="AQ323" s="678">
        <f t="shared" ref="AQ323:AQ324" si="2">SUM(H323:AE323)-AF323</f>
        <v>0</v>
      </c>
      <c r="BC323" s="842"/>
      <c r="BD323" s="670"/>
      <c r="BE323" s="670"/>
      <c r="BF323" s="670"/>
      <c r="BG323" s="670"/>
      <c r="BH323" s="670"/>
      <c r="BI323" s="670"/>
      <c r="BJ323" s="670"/>
      <c r="BK323" s="841"/>
    </row>
    <row r="324" spans="1:63" s="656" customFormat="1" x14ac:dyDescent="0.2">
      <c r="A324" s="666"/>
      <c r="D324" s="1024" t="s">
        <v>28</v>
      </c>
      <c r="E324" s="1024"/>
      <c r="F324" s="1024"/>
      <c r="G324" s="1024"/>
      <c r="H324" s="1025" t="s">
        <v>1436</v>
      </c>
      <c r="I324" s="1025"/>
      <c r="J324" s="1025"/>
      <c r="K324" s="1026" t="s">
        <v>1436</v>
      </c>
      <c r="L324" s="1026"/>
      <c r="M324" s="1026"/>
      <c r="N324" s="1026">
        <v>-58086</v>
      </c>
      <c r="O324" s="1026"/>
      <c r="P324" s="1026"/>
      <c r="Q324" s="1026" t="s">
        <v>1436</v>
      </c>
      <c r="R324" s="1026"/>
      <c r="S324" s="1026"/>
      <c r="T324" s="1026" t="s">
        <v>1436</v>
      </c>
      <c r="U324" s="1026"/>
      <c r="V324" s="1026"/>
      <c r="W324" s="1026" t="s">
        <v>1436</v>
      </c>
      <c r="X324" s="1026"/>
      <c r="Y324" s="1026"/>
      <c r="Z324" s="1026" t="s">
        <v>1436</v>
      </c>
      <c r="AA324" s="1026"/>
      <c r="AB324" s="1026"/>
      <c r="AC324" s="1026" t="s">
        <v>1436</v>
      </c>
      <c r="AD324" s="1026"/>
      <c r="AE324" s="1026"/>
      <c r="AF324" s="1033">
        <f>SUM(H324:AE324)</f>
        <v>-58086</v>
      </c>
      <c r="AG324" s="1033"/>
      <c r="AH324" s="1033"/>
      <c r="AI324" s="676"/>
      <c r="AJ324" s="677"/>
      <c r="AK324" s="677"/>
      <c r="AL324" s="677"/>
      <c r="AM324" s="677"/>
      <c r="AN324" s="677"/>
      <c r="AO324" s="677"/>
      <c r="AP324" s="677"/>
      <c r="AQ324" s="678">
        <f t="shared" si="2"/>
        <v>0</v>
      </c>
      <c r="BC324" s="842"/>
      <c r="BD324" s="670"/>
      <c r="BE324" s="670"/>
      <c r="BF324" s="670"/>
      <c r="BG324" s="670"/>
      <c r="BH324" s="670"/>
      <c r="BI324" s="670"/>
      <c r="BJ324" s="670"/>
      <c r="BK324" s="841"/>
    </row>
    <row r="325" spans="1:63" s="656" customFormat="1" x14ac:dyDescent="0.2">
      <c r="A325" s="666"/>
      <c r="D325" s="1024" t="s">
        <v>29</v>
      </c>
      <c r="E325" s="1024"/>
      <c r="F325" s="1024"/>
      <c r="G325" s="1024"/>
      <c r="H325" s="1025" t="s">
        <v>1436</v>
      </c>
      <c r="I325" s="1025"/>
      <c r="J325" s="1025"/>
      <c r="K325" s="1026" t="s">
        <v>1436</v>
      </c>
      <c r="L325" s="1026"/>
      <c r="M325" s="1026"/>
      <c r="N325" s="1026">
        <v>1967</v>
      </c>
      <c r="O325" s="1026"/>
      <c r="P325" s="1026"/>
      <c r="Q325" s="1026" t="s">
        <v>1436</v>
      </c>
      <c r="R325" s="1026"/>
      <c r="S325" s="1026"/>
      <c r="T325" s="1026" t="s">
        <v>1436</v>
      </c>
      <c r="U325" s="1026"/>
      <c r="V325" s="1026"/>
      <c r="W325" s="1026" t="s">
        <v>1436</v>
      </c>
      <c r="X325" s="1026"/>
      <c r="Y325" s="1026"/>
      <c r="Z325" s="1026">
        <v>-1967</v>
      </c>
      <c r="AA325" s="1026"/>
      <c r="AB325" s="1026"/>
      <c r="AC325" s="1026" t="s">
        <v>1436</v>
      </c>
      <c r="AD325" s="1026"/>
      <c r="AE325" s="1026"/>
      <c r="AF325" s="1284" t="s">
        <v>1436</v>
      </c>
      <c r="AG325" s="1033"/>
      <c r="AH325" s="1033"/>
      <c r="AI325" s="676"/>
      <c r="AJ325" s="677"/>
      <c r="AK325" s="677"/>
      <c r="AL325" s="677"/>
      <c r="AM325" s="677"/>
      <c r="AN325" s="677"/>
      <c r="AO325" s="677"/>
      <c r="AP325" s="677"/>
      <c r="AQ325" s="678" t="e">
        <f>SUM(H325:AE325)-AF325</f>
        <v>#VALUE!</v>
      </c>
      <c r="BC325" s="842"/>
      <c r="BD325" s="670"/>
      <c r="BE325" s="670"/>
      <c r="BF325" s="670"/>
      <c r="BG325" s="670"/>
      <c r="BH325" s="670"/>
      <c r="BI325" s="670"/>
      <c r="BJ325" s="670"/>
      <c r="BK325" s="841"/>
    </row>
    <row r="326" spans="1:63" s="656" customFormat="1" ht="22.5" customHeight="1" thickBot="1" x14ac:dyDescent="0.25">
      <c r="A326" s="666"/>
      <c r="D326" s="1010" t="s">
        <v>30</v>
      </c>
      <c r="E326" s="1010"/>
      <c r="F326" s="1010"/>
      <c r="G326" s="1010"/>
      <c r="H326" s="1034" t="s">
        <v>1436</v>
      </c>
      <c r="I326" s="1035"/>
      <c r="J326" s="1036"/>
      <c r="K326" s="1034" t="s">
        <v>1436</v>
      </c>
      <c r="L326" s="1035"/>
      <c r="M326" s="1036"/>
      <c r="N326" s="1037">
        <f>N322+N324+N325</f>
        <v>363747</v>
      </c>
      <c r="O326" s="1037"/>
      <c r="P326" s="1037"/>
      <c r="Q326" s="1034" t="s">
        <v>1436</v>
      </c>
      <c r="R326" s="1035"/>
      <c r="S326" s="1036"/>
      <c r="T326" s="1034" t="s">
        <v>1436</v>
      </c>
      <c r="U326" s="1035"/>
      <c r="V326" s="1036"/>
      <c r="W326" s="1034" t="s">
        <v>1436</v>
      </c>
      <c r="X326" s="1035"/>
      <c r="Y326" s="1036"/>
      <c r="Z326" s="1034" t="s">
        <v>1436</v>
      </c>
      <c r="AA326" s="1035"/>
      <c r="AB326" s="1036"/>
      <c r="AC326" s="1034" t="s">
        <v>1436</v>
      </c>
      <c r="AD326" s="1035"/>
      <c r="AE326" s="1036"/>
      <c r="AF326" s="1037">
        <f>SUM(AF322:AH324)</f>
        <v>363747</v>
      </c>
      <c r="AG326" s="1037"/>
      <c r="AH326" s="1037"/>
      <c r="AI326" s="691" t="e">
        <f>H322+H323-H324+H325-H326</f>
        <v>#VALUE!</v>
      </c>
      <c r="AJ326" s="723" t="e">
        <f>K322+K323-K324+K325-K326</f>
        <v>#VALUE!</v>
      </c>
      <c r="AK326" s="723" t="e">
        <f>N322+N323-N324+N325-N326</f>
        <v>#VALUE!</v>
      </c>
      <c r="AL326" s="723" t="e">
        <f>Q322+Q323-Q324+Q325-Q326</f>
        <v>#VALUE!</v>
      </c>
      <c r="AM326" s="723" t="e">
        <f>T322+T323-T324+T325-T325</f>
        <v>#VALUE!</v>
      </c>
      <c r="AN326" s="723" t="e">
        <f>W322+W323-W324+W325-W326</f>
        <v>#VALUE!</v>
      </c>
      <c r="AO326" s="723" t="e">
        <f>Z322+Z323-Z324+Z325-Z326</f>
        <v>#VALUE!</v>
      </c>
      <c r="AP326" s="723" t="e">
        <f>AC322+AC323-AC324+AC325-AC326</f>
        <v>#VALUE!</v>
      </c>
      <c r="AQ326" s="678" t="e">
        <f>AF322+AF323-AF324+AF325-AF326</f>
        <v>#VALUE!</v>
      </c>
      <c r="BC326" s="842"/>
      <c r="BD326" s="670"/>
      <c r="BE326" s="670"/>
      <c r="BF326" s="670"/>
      <c r="BG326" s="670"/>
      <c r="BH326" s="670"/>
      <c r="BI326" s="670"/>
      <c r="BJ326" s="670"/>
      <c r="BK326" s="841"/>
    </row>
    <row r="327" spans="1:63" s="656" customFormat="1" ht="15" thickBot="1" x14ac:dyDescent="0.25">
      <c r="A327" s="666"/>
      <c r="D327" s="1273" t="s">
        <v>31</v>
      </c>
      <c r="E327" s="1274"/>
      <c r="F327" s="1274"/>
      <c r="G327" s="1274"/>
      <c r="H327" s="1274"/>
      <c r="I327" s="1274"/>
      <c r="J327" s="1274"/>
      <c r="K327" s="1274"/>
      <c r="L327" s="1274"/>
      <c r="M327" s="1274"/>
      <c r="N327" s="1274"/>
      <c r="O327" s="1274"/>
      <c r="P327" s="1274"/>
      <c r="Q327" s="1274"/>
      <c r="R327" s="1274"/>
      <c r="S327" s="1274"/>
      <c r="T327" s="1274"/>
      <c r="U327" s="1274"/>
      <c r="V327" s="1274"/>
      <c r="W327" s="1274"/>
      <c r="X327" s="1274"/>
      <c r="Y327" s="1274"/>
      <c r="Z327" s="1274"/>
      <c r="AA327" s="1274"/>
      <c r="AB327" s="1274"/>
      <c r="AC327" s="1274"/>
      <c r="AD327" s="1274"/>
      <c r="AE327" s="1274"/>
      <c r="AF327" s="1274"/>
      <c r="AG327" s="1274"/>
      <c r="AH327" s="1275"/>
      <c r="AI327" s="676"/>
      <c r="AJ327" s="677"/>
      <c r="AK327" s="677"/>
      <c r="AL327" s="677"/>
      <c r="AM327" s="677"/>
      <c r="AN327" s="677"/>
      <c r="AO327" s="677"/>
      <c r="AP327" s="677"/>
      <c r="AQ327" s="678"/>
      <c r="BC327" s="842"/>
      <c r="BD327" s="670"/>
      <c r="BE327" s="670"/>
      <c r="BF327" s="670"/>
      <c r="BG327" s="670"/>
      <c r="BH327" s="670"/>
      <c r="BI327" s="670"/>
      <c r="BJ327" s="670"/>
      <c r="BK327" s="841"/>
    </row>
    <row r="328" spans="1:63" s="656" customFormat="1" ht="22.5" customHeight="1" x14ac:dyDescent="0.2">
      <c r="A328" s="666"/>
      <c r="D328" s="1260" t="s">
        <v>32</v>
      </c>
      <c r="E328" s="1260"/>
      <c r="F328" s="1260"/>
      <c r="G328" s="1260"/>
      <c r="H328" s="1264" t="s">
        <v>1436</v>
      </c>
      <c r="I328" s="1264"/>
      <c r="J328" s="1264"/>
      <c r="K328" s="1258" t="s">
        <v>1436</v>
      </c>
      <c r="L328" s="1258"/>
      <c r="M328" s="1258"/>
      <c r="N328" s="1258">
        <v>-394703</v>
      </c>
      <c r="O328" s="1258"/>
      <c r="P328" s="1258"/>
      <c r="Q328" s="1258" t="s">
        <v>1436</v>
      </c>
      <c r="R328" s="1258"/>
      <c r="S328" s="1258"/>
      <c r="T328" s="1258" t="s">
        <v>1436</v>
      </c>
      <c r="U328" s="1258"/>
      <c r="V328" s="1258"/>
      <c r="W328" s="1258" t="s">
        <v>1436</v>
      </c>
      <c r="X328" s="1258"/>
      <c r="Y328" s="1258"/>
      <c r="Z328" s="1258" t="s">
        <v>1436</v>
      </c>
      <c r="AA328" s="1258"/>
      <c r="AB328" s="1258"/>
      <c r="AC328" s="1258" t="s">
        <v>1436</v>
      </c>
      <c r="AD328" s="1258"/>
      <c r="AE328" s="1258"/>
      <c r="AF328" s="1102">
        <f>SUM(H328:AE328)</f>
        <v>-394703</v>
      </c>
      <c r="AG328" s="1102"/>
      <c r="AH328" s="1102"/>
      <c r="AI328" s="676"/>
      <c r="AJ328" s="677"/>
      <c r="AK328" s="677"/>
      <c r="AL328" s="677"/>
      <c r="AM328" s="677"/>
      <c r="AN328" s="677"/>
      <c r="AO328" s="677"/>
      <c r="AP328" s="677"/>
      <c r="AQ328" s="678">
        <f>SUM(H328:AE328)-AF328</f>
        <v>0</v>
      </c>
      <c r="BC328" s="842"/>
      <c r="BD328" s="670"/>
      <c r="BE328" s="670"/>
      <c r="BF328" s="670"/>
      <c r="BG328" s="670"/>
      <c r="BH328" s="670"/>
      <c r="BI328" s="670"/>
      <c r="BJ328" s="670"/>
      <c r="BK328" s="841"/>
    </row>
    <row r="329" spans="1:63" s="656" customFormat="1" x14ac:dyDescent="0.2">
      <c r="A329" s="666"/>
      <c r="D329" s="1024" t="s">
        <v>27</v>
      </c>
      <c r="E329" s="1024"/>
      <c r="F329" s="1024"/>
      <c r="G329" s="1024"/>
      <c r="H329" s="1025" t="s">
        <v>1436</v>
      </c>
      <c r="I329" s="1025"/>
      <c r="J329" s="1025"/>
      <c r="K329" s="1026" t="s">
        <v>1436</v>
      </c>
      <c r="L329" s="1026"/>
      <c r="M329" s="1026"/>
      <c r="N329" s="1026">
        <v>-10377</v>
      </c>
      <c r="O329" s="1026"/>
      <c r="P329" s="1026"/>
      <c r="Q329" s="1026" t="s">
        <v>1436</v>
      </c>
      <c r="R329" s="1026"/>
      <c r="S329" s="1026"/>
      <c r="T329" s="1026" t="s">
        <v>1436</v>
      </c>
      <c r="U329" s="1026"/>
      <c r="V329" s="1026"/>
      <c r="W329" s="1026" t="s">
        <v>1436</v>
      </c>
      <c r="X329" s="1026"/>
      <c r="Y329" s="1026"/>
      <c r="Z329" s="1026" t="s">
        <v>1436</v>
      </c>
      <c r="AA329" s="1026"/>
      <c r="AB329" s="1026"/>
      <c r="AC329" s="1026" t="s">
        <v>1436</v>
      </c>
      <c r="AD329" s="1026"/>
      <c r="AE329" s="1026"/>
      <c r="AF329" s="1033">
        <f>SUM(H329:AE329)</f>
        <v>-10377</v>
      </c>
      <c r="AG329" s="1033"/>
      <c r="AH329" s="1033"/>
      <c r="AI329" s="676"/>
      <c r="AJ329" s="677"/>
      <c r="AK329" s="677"/>
      <c r="AL329" s="677"/>
      <c r="AM329" s="677"/>
      <c r="AN329" s="677"/>
      <c r="AO329" s="677"/>
      <c r="AP329" s="677"/>
      <c r="AQ329" s="678">
        <f t="shared" ref="AQ329:AQ330" si="3">SUM(H329:AE329)-AF329</f>
        <v>0</v>
      </c>
      <c r="BC329" s="842"/>
      <c r="BD329" s="670"/>
      <c r="BE329" s="670"/>
      <c r="BF329" s="670"/>
      <c r="BG329" s="670"/>
      <c r="BH329" s="670"/>
      <c r="BI329" s="670"/>
      <c r="BJ329" s="670"/>
      <c r="BK329" s="841"/>
    </row>
    <row r="330" spans="1:63" s="656" customFormat="1" x14ac:dyDescent="0.2">
      <c r="A330" s="666"/>
      <c r="D330" s="1024" t="s">
        <v>28</v>
      </c>
      <c r="E330" s="1024"/>
      <c r="F330" s="1024"/>
      <c r="G330" s="1024"/>
      <c r="H330" s="1025" t="s">
        <v>1436</v>
      </c>
      <c r="I330" s="1025"/>
      <c r="J330" s="1025"/>
      <c r="K330" s="1026" t="s">
        <v>1436</v>
      </c>
      <c r="L330" s="1026"/>
      <c r="M330" s="1026"/>
      <c r="N330" s="1026">
        <v>58086</v>
      </c>
      <c r="O330" s="1026"/>
      <c r="P330" s="1026"/>
      <c r="Q330" s="1026" t="s">
        <v>1436</v>
      </c>
      <c r="R330" s="1026"/>
      <c r="S330" s="1026"/>
      <c r="T330" s="1026" t="s">
        <v>1436</v>
      </c>
      <c r="U330" s="1026"/>
      <c r="V330" s="1026"/>
      <c r="W330" s="1026" t="s">
        <v>1436</v>
      </c>
      <c r="X330" s="1026"/>
      <c r="Y330" s="1026"/>
      <c r="Z330" s="1026" t="s">
        <v>1436</v>
      </c>
      <c r="AA330" s="1026"/>
      <c r="AB330" s="1026"/>
      <c r="AC330" s="1026" t="s">
        <v>1436</v>
      </c>
      <c r="AD330" s="1026"/>
      <c r="AE330" s="1026"/>
      <c r="AF330" s="1033">
        <f>SUM(H330:AE330)</f>
        <v>58086</v>
      </c>
      <c r="AG330" s="1033"/>
      <c r="AH330" s="1033"/>
      <c r="AI330" s="676"/>
      <c r="AJ330" s="677"/>
      <c r="AK330" s="677"/>
      <c r="AL330" s="677"/>
      <c r="AM330" s="677"/>
      <c r="AN330" s="677"/>
      <c r="AO330" s="677"/>
      <c r="AP330" s="677"/>
      <c r="AQ330" s="678">
        <f t="shared" si="3"/>
        <v>0</v>
      </c>
      <c r="BC330" s="842"/>
      <c r="BD330" s="670"/>
      <c r="BE330" s="670"/>
      <c r="BF330" s="670"/>
      <c r="BG330" s="670"/>
      <c r="BH330" s="670"/>
      <c r="BI330" s="670"/>
      <c r="BJ330" s="670"/>
      <c r="BK330" s="841"/>
    </row>
    <row r="331" spans="1:63" s="656" customFormat="1" ht="22.5" customHeight="1" thickBot="1" x14ac:dyDescent="0.25">
      <c r="A331" s="666"/>
      <c r="D331" s="1010" t="s">
        <v>30</v>
      </c>
      <c r="E331" s="1010"/>
      <c r="F331" s="1010"/>
      <c r="G331" s="1010"/>
      <c r="H331" s="1034" t="s">
        <v>1436</v>
      </c>
      <c r="I331" s="1035"/>
      <c r="J331" s="1036"/>
      <c r="K331" s="1034" t="s">
        <v>1436</v>
      </c>
      <c r="L331" s="1035"/>
      <c r="M331" s="1036"/>
      <c r="N331" s="1037">
        <f>N328+N329+N330</f>
        <v>-346994</v>
      </c>
      <c r="O331" s="1037"/>
      <c r="P331" s="1037"/>
      <c r="Q331" s="1034" t="s">
        <v>1436</v>
      </c>
      <c r="R331" s="1035"/>
      <c r="S331" s="1036"/>
      <c r="T331" s="1034" t="s">
        <v>1436</v>
      </c>
      <c r="U331" s="1035"/>
      <c r="V331" s="1036"/>
      <c r="W331" s="1034" t="s">
        <v>1436</v>
      </c>
      <c r="X331" s="1035"/>
      <c r="Y331" s="1036"/>
      <c r="Z331" s="1034" t="s">
        <v>1436</v>
      </c>
      <c r="AA331" s="1035"/>
      <c r="AB331" s="1036"/>
      <c r="AC331" s="1034" t="s">
        <v>1436</v>
      </c>
      <c r="AD331" s="1035"/>
      <c r="AE331" s="1036"/>
      <c r="AF331" s="1037">
        <f>AF328+AF329+AF330</f>
        <v>-346994</v>
      </c>
      <c r="AG331" s="1037"/>
      <c r="AH331" s="1037"/>
      <c r="AI331" s="691" t="e">
        <f>H328+H329-H330-H331</f>
        <v>#VALUE!</v>
      </c>
      <c r="AJ331" s="723" t="e">
        <f>K328+K329-K330-K331</f>
        <v>#VALUE!</v>
      </c>
      <c r="AK331" s="723">
        <f>N328+N329+N330-N331</f>
        <v>0</v>
      </c>
      <c r="AL331" s="723" t="e">
        <f>Q328+Q329-Q330-Q331</f>
        <v>#VALUE!</v>
      </c>
      <c r="AM331" s="723" t="e">
        <f>T328+T329-T330-T331</f>
        <v>#VALUE!</v>
      </c>
      <c r="AN331" s="723" t="e">
        <f>W328+W329-W330-W331</f>
        <v>#VALUE!</v>
      </c>
      <c r="AO331" s="723" t="e">
        <f>Z328+Z329-Z330-Z331</f>
        <v>#VALUE!</v>
      </c>
      <c r="AP331" s="723" t="e">
        <f>AC328+AC329-AC330-AC331</f>
        <v>#VALUE!</v>
      </c>
      <c r="AQ331" s="678">
        <f>AF328+AF329-AF330-AF331</f>
        <v>-116172</v>
      </c>
      <c r="BC331" s="842"/>
      <c r="BD331" s="670"/>
      <c r="BE331" s="670"/>
      <c r="BF331" s="670"/>
      <c r="BG331" s="670"/>
      <c r="BH331" s="670"/>
      <c r="BI331" s="670"/>
      <c r="BJ331" s="670"/>
      <c r="BK331" s="841"/>
    </row>
    <row r="332" spans="1:63" s="656" customFormat="1" ht="15" thickBot="1" x14ac:dyDescent="0.25">
      <c r="A332" s="666"/>
      <c r="D332" s="1273" t="s">
        <v>33</v>
      </c>
      <c r="E332" s="1274"/>
      <c r="F332" s="1274"/>
      <c r="G332" s="1274"/>
      <c r="H332" s="1274"/>
      <c r="I332" s="1274"/>
      <c r="J332" s="1274"/>
      <c r="K332" s="1274"/>
      <c r="L332" s="1274"/>
      <c r="M332" s="1274"/>
      <c r="N332" s="1274"/>
      <c r="O332" s="1274"/>
      <c r="P332" s="1274"/>
      <c r="Q332" s="1274"/>
      <c r="R332" s="1274"/>
      <c r="S332" s="1274"/>
      <c r="T332" s="1274"/>
      <c r="U332" s="1274"/>
      <c r="V332" s="1274"/>
      <c r="W332" s="1274"/>
      <c r="X332" s="1274"/>
      <c r="Y332" s="1274"/>
      <c r="Z332" s="1274"/>
      <c r="AA332" s="1274"/>
      <c r="AB332" s="1274"/>
      <c r="AC332" s="1274"/>
      <c r="AD332" s="1274"/>
      <c r="AE332" s="1274"/>
      <c r="AF332" s="1274"/>
      <c r="AG332" s="1274"/>
      <c r="AH332" s="1275"/>
      <c r="AI332" s="676"/>
      <c r="AJ332" s="677"/>
      <c r="AK332" s="677"/>
      <c r="AL332" s="677"/>
      <c r="AM332" s="677"/>
      <c r="AN332" s="677"/>
      <c r="AO332" s="677"/>
      <c r="AP332" s="677"/>
      <c r="AQ332" s="678"/>
      <c r="BC332" s="842"/>
      <c r="BD332" s="670"/>
      <c r="BE332" s="670"/>
      <c r="BF332" s="670"/>
      <c r="BG332" s="670"/>
      <c r="BH332" s="670"/>
      <c r="BI332" s="670"/>
      <c r="BJ332" s="670"/>
      <c r="BK332" s="841"/>
    </row>
    <row r="333" spans="1:63" s="656" customFormat="1" ht="22.5" customHeight="1" x14ac:dyDescent="0.2">
      <c r="A333" s="666"/>
      <c r="D333" s="1260" t="s">
        <v>32</v>
      </c>
      <c r="E333" s="1260"/>
      <c r="F333" s="1260"/>
      <c r="G333" s="1260"/>
      <c r="H333" s="1264" t="s">
        <v>1436</v>
      </c>
      <c r="I333" s="1264"/>
      <c r="J333" s="1264"/>
      <c r="K333" s="1258" t="s">
        <v>1436</v>
      </c>
      <c r="L333" s="1258"/>
      <c r="M333" s="1258"/>
      <c r="N333" s="1258" t="s">
        <v>1436</v>
      </c>
      <c r="O333" s="1258"/>
      <c r="P333" s="1258"/>
      <c r="Q333" s="1258" t="s">
        <v>1436</v>
      </c>
      <c r="R333" s="1258"/>
      <c r="S333" s="1258"/>
      <c r="T333" s="1258" t="s">
        <v>1436</v>
      </c>
      <c r="U333" s="1258"/>
      <c r="V333" s="1258"/>
      <c r="W333" s="1258" t="s">
        <v>1436</v>
      </c>
      <c r="X333" s="1258"/>
      <c r="Y333" s="1258"/>
      <c r="Z333" s="1258" t="s">
        <v>1436</v>
      </c>
      <c r="AA333" s="1258"/>
      <c r="AB333" s="1258"/>
      <c r="AC333" s="1258" t="s">
        <v>1436</v>
      </c>
      <c r="AD333" s="1258"/>
      <c r="AE333" s="1258"/>
      <c r="AF333" s="1102" t="s">
        <v>1436</v>
      </c>
      <c r="AG333" s="1102"/>
      <c r="AH333" s="1102"/>
      <c r="AI333" s="676"/>
      <c r="AJ333" s="677"/>
      <c r="AK333" s="677"/>
      <c r="AL333" s="677"/>
      <c r="AM333" s="677"/>
      <c r="AN333" s="677"/>
      <c r="AO333" s="677"/>
      <c r="AP333" s="677"/>
      <c r="AQ333" s="678" t="e">
        <f>SUM(H333:AE333)-AF333</f>
        <v>#VALUE!</v>
      </c>
      <c r="BC333" s="842"/>
      <c r="BD333" s="670"/>
      <c r="BE333" s="670"/>
      <c r="BF333" s="670"/>
      <c r="BG333" s="670"/>
      <c r="BH333" s="670"/>
      <c r="BI333" s="670"/>
      <c r="BJ333" s="670"/>
      <c r="BK333" s="841"/>
    </row>
    <row r="334" spans="1:63" s="656" customFormat="1" x14ac:dyDescent="0.2">
      <c r="A334" s="666"/>
      <c r="D334" s="1024" t="s">
        <v>27</v>
      </c>
      <c r="E334" s="1024"/>
      <c r="F334" s="1024"/>
      <c r="G334" s="1024"/>
      <c r="H334" s="1025" t="s">
        <v>1436</v>
      </c>
      <c r="I334" s="1025"/>
      <c r="J334" s="1025"/>
      <c r="K334" s="1026" t="s">
        <v>1436</v>
      </c>
      <c r="L334" s="1026"/>
      <c r="M334" s="1026"/>
      <c r="N334" s="1026" t="s">
        <v>1436</v>
      </c>
      <c r="O334" s="1026"/>
      <c r="P334" s="1026"/>
      <c r="Q334" s="1026" t="s">
        <v>1436</v>
      </c>
      <c r="R334" s="1026"/>
      <c r="S334" s="1026"/>
      <c r="T334" s="1026" t="s">
        <v>1436</v>
      </c>
      <c r="U334" s="1026"/>
      <c r="V334" s="1026"/>
      <c r="W334" s="1026" t="s">
        <v>1436</v>
      </c>
      <c r="X334" s="1026"/>
      <c r="Y334" s="1026"/>
      <c r="Z334" s="1026" t="s">
        <v>1436</v>
      </c>
      <c r="AA334" s="1026"/>
      <c r="AB334" s="1026"/>
      <c r="AC334" s="1026" t="s">
        <v>1436</v>
      </c>
      <c r="AD334" s="1026"/>
      <c r="AE334" s="1026"/>
      <c r="AF334" s="1033" t="s">
        <v>1436</v>
      </c>
      <c r="AG334" s="1033"/>
      <c r="AH334" s="1033"/>
      <c r="AI334" s="676"/>
      <c r="AJ334" s="677"/>
      <c r="AK334" s="677"/>
      <c r="AL334" s="677"/>
      <c r="AM334" s="677"/>
      <c r="AN334" s="677"/>
      <c r="AO334" s="677"/>
      <c r="AP334" s="677"/>
      <c r="AQ334" s="678" t="e">
        <f>SUM(H334:AE334)-AF334</f>
        <v>#VALUE!</v>
      </c>
      <c r="BC334" s="842"/>
      <c r="BD334" s="670"/>
      <c r="BE334" s="670"/>
      <c r="BF334" s="670"/>
      <c r="BG334" s="670"/>
      <c r="BH334" s="670"/>
      <c r="BI334" s="670"/>
      <c r="BJ334" s="670"/>
      <c r="BK334" s="841"/>
    </row>
    <row r="335" spans="1:63" s="656" customFormat="1" x14ac:dyDescent="0.2">
      <c r="A335" s="666"/>
      <c r="D335" s="1024" t="s">
        <v>28</v>
      </c>
      <c r="E335" s="1024"/>
      <c r="F335" s="1024"/>
      <c r="G335" s="1024"/>
      <c r="H335" s="1025" t="s">
        <v>1436</v>
      </c>
      <c r="I335" s="1025"/>
      <c r="J335" s="1025"/>
      <c r="K335" s="1026" t="s">
        <v>1436</v>
      </c>
      <c r="L335" s="1026"/>
      <c r="M335" s="1026"/>
      <c r="N335" s="1026" t="s">
        <v>1436</v>
      </c>
      <c r="O335" s="1026"/>
      <c r="P335" s="1026"/>
      <c r="Q335" s="1026" t="s">
        <v>1436</v>
      </c>
      <c r="R335" s="1026"/>
      <c r="S335" s="1026"/>
      <c r="T335" s="1026" t="s">
        <v>1436</v>
      </c>
      <c r="U335" s="1026"/>
      <c r="V335" s="1026"/>
      <c r="W335" s="1026" t="s">
        <v>1436</v>
      </c>
      <c r="X335" s="1026"/>
      <c r="Y335" s="1026"/>
      <c r="Z335" s="1026" t="s">
        <v>1436</v>
      </c>
      <c r="AA335" s="1026"/>
      <c r="AB335" s="1026"/>
      <c r="AC335" s="1026" t="s">
        <v>1436</v>
      </c>
      <c r="AD335" s="1026"/>
      <c r="AE335" s="1026"/>
      <c r="AF335" s="1033" t="s">
        <v>1436</v>
      </c>
      <c r="AG335" s="1033"/>
      <c r="AH335" s="1033"/>
      <c r="AI335" s="676"/>
      <c r="AJ335" s="677"/>
      <c r="AK335" s="677"/>
      <c r="AL335" s="677"/>
      <c r="AM335" s="677"/>
      <c r="AN335" s="677"/>
      <c r="AO335" s="677"/>
      <c r="AP335" s="677"/>
      <c r="AQ335" s="678" t="e">
        <f t="shared" ref="AQ335" si="4">SUM(H335:AE335)-AF335</f>
        <v>#VALUE!</v>
      </c>
      <c r="BC335" s="842"/>
      <c r="BD335" s="670"/>
      <c r="BE335" s="670"/>
      <c r="BF335" s="670"/>
      <c r="BG335" s="670"/>
      <c r="BH335" s="670"/>
      <c r="BI335" s="670"/>
      <c r="BJ335" s="670"/>
      <c r="BK335" s="841"/>
    </row>
    <row r="336" spans="1:63" s="656" customFormat="1" ht="22.5" customHeight="1" thickBot="1" x14ac:dyDescent="0.25">
      <c r="A336" s="666"/>
      <c r="D336" s="1010" t="s">
        <v>30</v>
      </c>
      <c r="E336" s="1010"/>
      <c r="F336" s="1010"/>
      <c r="G336" s="1010"/>
      <c r="H336" s="1037" t="s">
        <v>1436</v>
      </c>
      <c r="I336" s="1037"/>
      <c r="J336" s="1037"/>
      <c r="K336" s="1037" t="s">
        <v>1436</v>
      </c>
      <c r="L336" s="1037"/>
      <c r="M336" s="1037"/>
      <c r="N336" s="1037" t="s">
        <v>1436</v>
      </c>
      <c r="O336" s="1037"/>
      <c r="P336" s="1037"/>
      <c r="Q336" s="1037" t="s">
        <v>1436</v>
      </c>
      <c r="R336" s="1037"/>
      <c r="S336" s="1037"/>
      <c r="T336" s="1037" t="s">
        <v>1436</v>
      </c>
      <c r="U336" s="1037"/>
      <c r="V336" s="1037"/>
      <c r="W336" s="1037" t="s">
        <v>1436</v>
      </c>
      <c r="X336" s="1037"/>
      <c r="Y336" s="1037"/>
      <c r="Z336" s="1037" t="s">
        <v>1436</v>
      </c>
      <c r="AA336" s="1037"/>
      <c r="AB336" s="1037"/>
      <c r="AC336" s="1037" t="s">
        <v>1436</v>
      </c>
      <c r="AD336" s="1037"/>
      <c r="AE336" s="1037"/>
      <c r="AF336" s="1037" t="s">
        <v>1436</v>
      </c>
      <c r="AG336" s="1037"/>
      <c r="AH336" s="1037"/>
      <c r="AI336" s="691" t="e">
        <f>H333+H334-H335-H336</f>
        <v>#VALUE!</v>
      </c>
      <c r="AJ336" s="723" t="e">
        <f>K333+K334-K335-K336</f>
        <v>#VALUE!</v>
      </c>
      <c r="AK336" s="723" t="e">
        <f>N333+N334-N335-N336</f>
        <v>#VALUE!</v>
      </c>
      <c r="AL336" s="723" t="e">
        <f>Q333+Q334-Q335-Q336</f>
        <v>#VALUE!</v>
      </c>
      <c r="AM336" s="723" t="e">
        <f>T333+T334-T335-T336</f>
        <v>#VALUE!</v>
      </c>
      <c r="AN336" s="723" t="e">
        <f>W333+W334-W335-W336</f>
        <v>#VALUE!</v>
      </c>
      <c r="AO336" s="723" t="e">
        <f>Z333+Z334-Z335-Z336</f>
        <v>#VALUE!</v>
      </c>
      <c r="AP336" s="723" t="e">
        <f>AC333+AC334-AC335-AC336</f>
        <v>#VALUE!</v>
      </c>
      <c r="AQ336" s="678" t="e">
        <f>AF333+AF334-AF335-AF336</f>
        <v>#VALUE!</v>
      </c>
      <c r="BC336" s="842"/>
      <c r="BD336" s="670"/>
      <c r="BE336" s="670"/>
      <c r="BF336" s="670"/>
      <c r="BG336" s="670"/>
      <c r="BH336" s="670"/>
      <c r="BI336" s="670"/>
      <c r="BJ336" s="670"/>
      <c r="BK336" s="841"/>
    </row>
    <row r="337" spans="1:63" s="656" customFormat="1" ht="15" thickBot="1" x14ac:dyDescent="0.25">
      <c r="A337" s="666"/>
      <c r="D337" s="1273" t="s">
        <v>34</v>
      </c>
      <c r="E337" s="1274"/>
      <c r="F337" s="1274"/>
      <c r="G337" s="1274"/>
      <c r="H337" s="1274"/>
      <c r="I337" s="1274"/>
      <c r="J337" s="1274"/>
      <c r="K337" s="1274"/>
      <c r="L337" s="1274"/>
      <c r="M337" s="1274"/>
      <c r="N337" s="1274"/>
      <c r="O337" s="1274"/>
      <c r="P337" s="1274"/>
      <c r="Q337" s="1274"/>
      <c r="R337" s="1274"/>
      <c r="S337" s="1274"/>
      <c r="T337" s="1274"/>
      <c r="U337" s="1274"/>
      <c r="V337" s="1274"/>
      <c r="W337" s="1274"/>
      <c r="X337" s="1274"/>
      <c r="Y337" s="1274"/>
      <c r="Z337" s="1274"/>
      <c r="AA337" s="1274"/>
      <c r="AB337" s="1274"/>
      <c r="AC337" s="1274"/>
      <c r="AD337" s="1274"/>
      <c r="AE337" s="1274"/>
      <c r="AF337" s="1274"/>
      <c r="AG337" s="1274"/>
      <c r="AH337" s="1275"/>
      <c r="AI337" s="676"/>
      <c r="AJ337" s="677"/>
      <c r="AK337" s="677"/>
      <c r="AL337" s="677"/>
      <c r="AM337" s="677"/>
      <c r="AN337" s="677"/>
      <c r="AO337" s="677"/>
      <c r="AP337" s="677"/>
      <c r="AQ337" s="678"/>
      <c r="BC337" s="842"/>
      <c r="BD337" s="670"/>
      <c r="BE337" s="670"/>
      <c r="BF337" s="670"/>
      <c r="BG337" s="670"/>
      <c r="BH337" s="670"/>
      <c r="BI337" s="670"/>
      <c r="BJ337" s="670"/>
      <c r="BK337" s="841"/>
    </row>
    <row r="338" spans="1:63" s="656" customFormat="1" ht="22.5" customHeight="1" x14ac:dyDescent="0.2">
      <c r="A338" s="666"/>
      <c r="D338" s="1283" t="s">
        <v>32</v>
      </c>
      <c r="E338" s="1283"/>
      <c r="F338" s="1283"/>
      <c r="G338" s="1283"/>
      <c r="H338" s="1282" t="s">
        <v>1436</v>
      </c>
      <c r="I338" s="1282"/>
      <c r="J338" s="1282"/>
      <c r="K338" s="1282" t="s">
        <v>1436</v>
      </c>
      <c r="L338" s="1282"/>
      <c r="M338" s="1282"/>
      <c r="N338" s="1282">
        <f>N322+N328</f>
        <v>25163</v>
      </c>
      <c r="O338" s="1282"/>
      <c r="P338" s="1282"/>
      <c r="Q338" s="1282" t="s">
        <v>1436</v>
      </c>
      <c r="R338" s="1282"/>
      <c r="S338" s="1282"/>
      <c r="T338" s="1282" t="s">
        <v>1436</v>
      </c>
      <c r="U338" s="1282"/>
      <c r="V338" s="1282"/>
      <c r="W338" s="1282" t="s">
        <v>1436</v>
      </c>
      <c r="X338" s="1282"/>
      <c r="Y338" s="1282"/>
      <c r="Z338" s="1282" t="s">
        <v>1436</v>
      </c>
      <c r="AA338" s="1282"/>
      <c r="AB338" s="1282"/>
      <c r="AC338" s="1282" t="s">
        <v>1436</v>
      </c>
      <c r="AD338" s="1282"/>
      <c r="AE338" s="1282"/>
      <c r="AF338" s="1282">
        <f>AF322+AF328</f>
        <v>25163</v>
      </c>
      <c r="AG338" s="1282"/>
      <c r="AH338" s="1282"/>
      <c r="AI338" s="691" t="e">
        <f>H322-H328-H333-H338</f>
        <v>#VALUE!</v>
      </c>
      <c r="AJ338" s="723" t="e">
        <f>K322-K328-K333-K338</f>
        <v>#VALUE!</v>
      </c>
      <c r="AK338" s="723" t="e">
        <f>N322-N328-N333-N338</f>
        <v>#VALUE!</v>
      </c>
      <c r="AL338" s="723" t="e">
        <f>Q322-Q328-Q333-Q338</f>
        <v>#VALUE!</v>
      </c>
      <c r="AM338" s="723" t="e">
        <f>T322-T328-T333-T338</f>
        <v>#VALUE!</v>
      </c>
      <c r="AN338" s="723" t="e">
        <f>W322-W328-W333-W338</f>
        <v>#VALUE!</v>
      </c>
      <c r="AO338" s="723" t="e">
        <f>Z322-Z328-Z333-Z338</f>
        <v>#VALUE!</v>
      </c>
      <c r="AP338" s="723" t="e">
        <f>AC322-AC328-AC333-AC338</f>
        <v>#VALUE!</v>
      </c>
      <c r="AQ338" s="678">
        <f>SUM(H338:AE338)-AF338</f>
        <v>0</v>
      </c>
      <c r="BC338" s="842"/>
      <c r="BD338" s="670"/>
      <c r="BE338" s="670"/>
      <c r="BF338" s="670"/>
      <c r="BG338" s="670"/>
      <c r="BH338" s="670"/>
      <c r="BI338" s="670"/>
      <c r="BJ338" s="670"/>
      <c r="BK338" s="841"/>
    </row>
    <row r="339" spans="1:63" s="656" customFormat="1" ht="22.5" customHeight="1" thickBot="1" x14ac:dyDescent="0.25">
      <c r="A339" s="666"/>
      <c r="D339" s="1010" t="s">
        <v>30</v>
      </c>
      <c r="E339" s="1010"/>
      <c r="F339" s="1010"/>
      <c r="G339" s="1010"/>
      <c r="H339" s="1037" t="s">
        <v>1436</v>
      </c>
      <c r="I339" s="1037"/>
      <c r="J339" s="1037"/>
      <c r="K339" s="1037" t="s">
        <v>1436</v>
      </c>
      <c r="L339" s="1037"/>
      <c r="M339" s="1037"/>
      <c r="N339" s="1037">
        <f>N326+N331</f>
        <v>16753</v>
      </c>
      <c r="O339" s="1037"/>
      <c r="P339" s="1037"/>
      <c r="Q339" s="1037" t="s">
        <v>1436</v>
      </c>
      <c r="R339" s="1037"/>
      <c r="S339" s="1037"/>
      <c r="T339" s="1037" t="s">
        <v>1436</v>
      </c>
      <c r="U339" s="1037"/>
      <c r="V339" s="1037"/>
      <c r="W339" s="1037" t="s">
        <v>1436</v>
      </c>
      <c r="X339" s="1037"/>
      <c r="Y339" s="1037"/>
      <c r="Z339" s="1037" t="s">
        <v>1436</v>
      </c>
      <c r="AA339" s="1037"/>
      <c r="AB339" s="1037"/>
      <c r="AC339" s="1037" t="s">
        <v>1436</v>
      </c>
      <c r="AD339" s="1037"/>
      <c r="AE339" s="1037"/>
      <c r="AF339" s="1037">
        <f>AF326+AF331</f>
        <v>16753</v>
      </c>
      <c r="AG339" s="1037"/>
      <c r="AH339" s="1037"/>
      <c r="AI339" s="679" t="e">
        <f>H326-H331-H336-H339</f>
        <v>#VALUE!</v>
      </c>
      <c r="AJ339" s="680" t="e">
        <f>K326-K331-K336-K339</f>
        <v>#VALUE!</v>
      </c>
      <c r="AK339" s="680" t="e">
        <f>N326-N331-N336-N339</f>
        <v>#VALUE!</v>
      </c>
      <c r="AL339" s="680" t="e">
        <f>Q326-Q331-Q336-Q339</f>
        <v>#VALUE!</v>
      </c>
      <c r="AM339" s="680" t="e">
        <f>T326-T331-T336-T339</f>
        <v>#VALUE!</v>
      </c>
      <c r="AN339" s="680" t="e">
        <f>W326-W331-W336-W339</f>
        <v>#VALUE!</v>
      </c>
      <c r="AO339" s="680" t="e">
        <f>Z326-Z331-Z336-Z339</f>
        <v>#VALUE!</v>
      </c>
      <c r="AP339" s="680" t="e">
        <f>AC326-AC331-AC336-AC339</f>
        <v>#VALUE!</v>
      </c>
      <c r="AQ339" s="681">
        <f>SUM(H339:AE339)-AF339</f>
        <v>0</v>
      </c>
      <c r="BC339" s="679" t="e">
        <f>H339-BS!$G$21</f>
        <v>#VALUE!</v>
      </c>
      <c r="BD339" s="680" t="e">
        <f>K339-BS!$G$22</f>
        <v>#VALUE!</v>
      </c>
      <c r="BE339" s="680">
        <f>N339-BS!$G$23</f>
        <v>16753</v>
      </c>
      <c r="BF339" s="680" t="e">
        <f>Q339-BS!$G$24</f>
        <v>#VALUE!</v>
      </c>
      <c r="BG339" s="680" t="e">
        <f>T339-BS!$G$25</f>
        <v>#VALUE!</v>
      </c>
      <c r="BH339" s="680" t="e">
        <f>W339-BS!$G$26</f>
        <v>#VALUE!</v>
      </c>
      <c r="BI339" s="680" t="e">
        <f>Z339-BS!$G$27</f>
        <v>#VALUE!</v>
      </c>
      <c r="BJ339" s="680" t="e">
        <f>AC339-BS!$G$28</f>
        <v>#VALUE!</v>
      </c>
      <c r="BK339" s="681">
        <f>AF339-BS!$G$20</f>
        <v>16753</v>
      </c>
    </row>
    <row r="340" spans="1:63" s="656" customFormat="1" x14ac:dyDescent="0.2">
      <c r="A340" s="666"/>
      <c r="D340" s="843"/>
      <c r="E340" s="836"/>
      <c r="F340" s="836"/>
      <c r="G340" s="836"/>
      <c r="H340" s="836"/>
      <c r="I340" s="836"/>
      <c r="J340" s="836"/>
      <c r="K340" s="836"/>
      <c r="L340" s="836"/>
      <c r="M340" s="836"/>
      <c r="N340" s="836"/>
      <c r="O340" s="836"/>
      <c r="P340" s="836"/>
      <c r="Q340" s="836"/>
      <c r="R340" s="836"/>
      <c r="S340" s="836"/>
      <c r="T340" s="836"/>
      <c r="U340" s="836"/>
      <c r="V340" s="836"/>
      <c r="W340" s="836"/>
      <c r="X340" s="836"/>
      <c r="Y340" s="836"/>
      <c r="Z340" s="836"/>
      <c r="AA340" s="836"/>
      <c r="AB340" s="836"/>
      <c r="AC340" s="836"/>
      <c r="AD340" s="836"/>
      <c r="AE340" s="836"/>
      <c r="AF340" s="836"/>
      <c r="AG340" s="836"/>
      <c r="AI340" s="18"/>
      <c r="AJ340" s="18"/>
      <c r="AK340" s="18"/>
      <c r="AL340" s="18"/>
      <c r="AM340" s="18"/>
      <c r="AN340" s="18"/>
      <c r="AO340" s="18"/>
      <c r="AP340" s="18"/>
      <c r="AQ340" s="18"/>
    </row>
    <row r="341" spans="1:63" s="656" customFormat="1" x14ac:dyDescent="0.2">
      <c r="A341" s="666"/>
      <c r="AI341" s="18"/>
      <c r="AJ341" s="18"/>
      <c r="AK341" s="18"/>
      <c r="AL341" s="18"/>
      <c r="AM341" s="18"/>
      <c r="AN341" s="18"/>
      <c r="AO341" s="18"/>
      <c r="AP341" s="18"/>
      <c r="AQ341" s="18"/>
    </row>
    <row r="342" spans="1:63" s="656" customFormat="1" x14ac:dyDescent="0.2">
      <c r="A342" s="666"/>
      <c r="AI342" s="18"/>
      <c r="AJ342" s="18"/>
      <c r="AK342" s="18"/>
      <c r="AL342" s="18"/>
      <c r="AM342" s="18"/>
      <c r="AN342" s="18"/>
      <c r="AO342" s="18"/>
      <c r="AP342" s="18"/>
      <c r="AQ342" s="18"/>
    </row>
    <row r="343" spans="1:63" s="656" customFormat="1" x14ac:dyDescent="0.2">
      <c r="A343" s="666"/>
      <c r="AI343" s="18"/>
      <c r="AJ343" s="18"/>
      <c r="AK343" s="18"/>
      <c r="AL343" s="18"/>
      <c r="AM343" s="18"/>
      <c r="AN343" s="18"/>
      <c r="AO343" s="18"/>
      <c r="AP343" s="18"/>
      <c r="AQ343" s="18"/>
    </row>
    <row r="344" spans="1:63" s="656" customFormat="1" x14ac:dyDescent="0.2">
      <c r="A344" s="666"/>
      <c r="D344" s="655" t="s">
        <v>1465</v>
      </c>
      <c r="AI344" s="18"/>
      <c r="AJ344" s="18"/>
      <c r="AK344" s="18"/>
      <c r="AL344" s="18"/>
      <c r="AM344" s="18"/>
      <c r="AN344" s="18"/>
      <c r="AO344" s="18"/>
      <c r="AP344" s="18"/>
      <c r="AQ344" s="18"/>
    </row>
    <row r="345" spans="1:63" s="656" customFormat="1" x14ac:dyDescent="0.2">
      <c r="A345" s="666"/>
      <c r="AI345" s="18"/>
      <c r="AJ345" s="18"/>
      <c r="AK345" s="18"/>
      <c r="AL345" s="18"/>
      <c r="AM345" s="18"/>
      <c r="AN345" s="18"/>
      <c r="AO345" s="18"/>
      <c r="AP345" s="18"/>
      <c r="AQ345" s="18"/>
    </row>
    <row r="346" spans="1:63" s="656" customFormat="1" x14ac:dyDescent="0.2">
      <c r="A346" s="666"/>
      <c r="D346" s="1004" t="s">
        <v>1591</v>
      </c>
      <c r="E346" s="1028"/>
      <c r="F346" s="1028"/>
      <c r="G346" s="1028"/>
      <c r="H346" s="1028"/>
      <c r="I346" s="1028"/>
      <c r="J346" s="1028"/>
      <c r="K346" s="1028"/>
      <c r="L346" s="1028"/>
      <c r="M346" s="1028"/>
      <c r="N346" s="1028"/>
      <c r="O346" s="1028"/>
      <c r="P346" s="1028"/>
      <c r="Q346" s="1028"/>
      <c r="R346" s="1028"/>
      <c r="S346" s="1028"/>
      <c r="T346" s="1028"/>
      <c r="U346" s="1028"/>
      <c r="V346" s="1028"/>
      <c r="W346" s="1028"/>
      <c r="X346" s="1028"/>
      <c r="Y346" s="1028"/>
      <c r="Z346" s="1028"/>
      <c r="AA346" s="1028"/>
      <c r="AB346" s="1028"/>
      <c r="AC346" s="1028"/>
      <c r="AD346" s="1028"/>
      <c r="AE346" s="1028"/>
      <c r="AF346" s="1028"/>
      <c r="AG346" s="1028"/>
      <c r="AI346" s="18"/>
      <c r="AJ346" s="18"/>
      <c r="AK346" s="18"/>
      <c r="AL346" s="18"/>
      <c r="AM346" s="18"/>
      <c r="AN346" s="18"/>
      <c r="AO346" s="18"/>
      <c r="AP346" s="18"/>
      <c r="AQ346" s="18"/>
    </row>
    <row r="347" spans="1:63" s="656" customFormat="1" ht="27.75" customHeight="1" x14ac:dyDescent="0.2">
      <c r="A347" s="666"/>
      <c r="D347" s="1028"/>
      <c r="E347" s="1028"/>
      <c r="F347" s="1028"/>
      <c r="G347" s="1028"/>
      <c r="H347" s="1028"/>
      <c r="I347" s="1028"/>
      <c r="J347" s="1028"/>
      <c r="K347" s="1028"/>
      <c r="L347" s="1028"/>
      <c r="M347" s="1028"/>
      <c r="N347" s="1028"/>
      <c r="O347" s="1028"/>
      <c r="P347" s="1028"/>
      <c r="Q347" s="1028"/>
      <c r="R347" s="1028"/>
      <c r="S347" s="1028"/>
      <c r="T347" s="1028"/>
      <c r="U347" s="1028"/>
      <c r="V347" s="1028"/>
      <c r="W347" s="1028"/>
      <c r="X347" s="1028"/>
      <c r="Y347" s="1028"/>
      <c r="Z347" s="1028"/>
      <c r="AA347" s="1028"/>
      <c r="AB347" s="1028"/>
      <c r="AC347" s="1028"/>
      <c r="AD347" s="1028"/>
      <c r="AE347" s="1028"/>
      <c r="AF347" s="1028"/>
      <c r="AG347" s="1028"/>
      <c r="AI347" s="18"/>
      <c r="AJ347" s="18"/>
      <c r="AK347" s="18"/>
      <c r="AL347" s="18"/>
      <c r="AM347" s="18"/>
      <c r="AN347" s="18"/>
      <c r="AO347" s="18"/>
      <c r="AP347" s="18"/>
      <c r="AQ347" s="18"/>
    </row>
    <row r="348" spans="1:63" s="656" customFormat="1" x14ac:dyDescent="0.2">
      <c r="A348" s="666"/>
      <c r="AI348" s="18"/>
      <c r="AJ348" s="18"/>
      <c r="AK348" s="18"/>
      <c r="AL348" s="18"/>
      <c r="AM348" s="18"/>
      <c r="AN348" s="18"/>
      <c r="AO348" s="18"/>
      <c r="AP348" s="18"/>
      <c r="AQ348" s="18"/>
    </row>
    <row r="349" spans="1:63" s="656" customFormat="1" x14ac:dyDescent="0.2">
      <c r="A349" s="666"/>
      <c r="D349" s="1029" t="s">
        <v>1463</v>
      </c>
      <c r="E349" s="1029"/>
      <c r="F349" s="1029"/>
      <c r="G349" s="1029"/>
      <c r="H349" s="1029"/>
      <c r="I349" s="1029"/>
      <c r="J349" s="1029"/>
      <c r="K349" s="1029"/>
      <c r="L349" s="1029"/>
      <c r="M349" s="1029"/>
      <c r="N349" s="1029"/>
      <c r="O349" s="1029"/>
      <c r="P349" s="1029"/>
      <c r="Q349" s="1029"/>
      <c r="R349" s="1029"/>
      <c r="S349" s="1029"/>
      <c r="T349" s="1029"/>
      <c r="U349" s="1029"/>
      <c r="V349" s="1029"/>
      <c r="W349" s="1029"/>
      <c r="X349" s="1029"/>
      <c r="Y349" s="1029"/>
      <c r="Z349" s="1029"/>
      <c r="AA349" s="1029"/>
      <c r="AB349" s="1029"/>
      <c r="AC349" s="1029"/>
      <c r="AD349" s="1029"/>
      <c r="AE349" s="1029"/>
      <c r="AF349" s="1029"/>
      <c r="AG349" s="1029"/>
      <c r="AI349" s="18"/>
      <c r="AJ349" s="18"/>
      <c r="AK349" s="18"/>
      <c r="AL349" s="18"/>
      <c r="AM349" s="18"/>
      <c r="AN349" s="18"/>
      <c r="AO349" s="18"/>
      <c r="AP349" s="18"/>
      <c r="AQ349" s="18"/>
    </row>
    <row r="350" spans="1:63" s="656" customFormat="1" ht="15" thickBot="1" x14ac:dyDescent="0.25">
      <c r="A350" s="666"/>
      <c r="AI350" s="18"/>
      <c r="AJ350" s="18"/>
      <c r="AK350" s="18"/>
      <c r="AL350" s="18"/>
      <c r="AM350" s="18"/>
      <c r="AN350" s="18"/>
      <c r="AO350" s="18"/>
      <c r="AP350" s="18"/>
      <c r="AQ350" s="18"/>
    </row>
    <row r="351" spans="1:63" s="656" customFormat="1" ht="15.75" customHeight="1" thickBot="1" x14ac:dyDescent="0.25">
      <c r="A351" s="666">
        <v>12</v>
      </c>
      <c r="D351" s="960" t="s">
        <v>86</v>
      </c>
      <c r="E351" s="960"/>
      <c r="F351" s="960"/>
      <c r="G351" s="960"/>
      <c r="H351" s="960"/>
      <c r="I351" s="960" t="s">
        <v>2</v>
      </c>
      <c r="J351" s="960"/>
      <c r="K351" s="960"/>
      <c r="L351" s="960"/>
      <c r="M351" s="960"/>
      <c r="N351" s="960"/>
      <c r="O351" s="960"/>
      <c r="P351" s="960"/>
      <c r="Q351" s="960"/>
      <c r="R351" s="960"/>
      <c r="S351" s="960"/>
      <c r="T351" s="960"/>
      <c r="U351" s="960"/>
      <c r="V351" s="960"/>
      <c r="W351" s="960"/>
      <c r="X351" s="960"/>
      <c r="Y351" s="960"/>
      <c r="Z351" s="960"/>
      <c r="AA351" s="960"/>
      <c r="AB351" s="960"/>
      <c r="AC351" s="960"/>
      <c r="AD351" s="960"/>
      <c r="AE351" s="960"/>
      <c r="AF351" s="960"/>
      <c r="AG351" s="960"/>
      <c r="AI351" s="18"/>
      <c r="AJ351" s="18"/>
      <c r="AK351" s="18"/>
      <c r="AL351" s="18"/>
      <c r="AM351" s="18"/>
      <c r="AN351" s="18"/>
      <c r="AO351" s="18"/>
      <c r="AP351" s="18"/>
      <c r="AQ351" s="18"/>
    </row>
    <row r="352" spans="1:63" s="656" customFormat="1" ht="47.25" customHeight="1" thickTop="1" thickBot="1" x14ac:dyDescent="0.25">
      <c r="A352" s="666"/>
      <c r="D352" s="960"/>
      <c r="E352" s="960"/>
      <c r="F352" s="960"/>
      <c r="G352" s="960"/>
      <c r="H352" s="960"/>
      <c r="I352" s="959" t="s">
        <v>87</v>
      </c>
      <c r="J352" s="959"/>
      <c r="K352" s="959"/>
      <c r="L352" s="959"/>
      <c r="M352" s="959"/>
      <c r="N352" s="959" t="s">
        <v>455</v>
      </c>
      <c r="O352" s="959"/>
      <c r="P352" s="959"/>
      <c r="Q352" s="959"/>
      <c r="R352" s="959"/>
      <c r="S352" s="959" t="s">
        <v>459</v>
      </c>
      <c r="T352" s="959"/>
      <c r="U352" s="959"/>
      <c r="V352" s="959"/>
      <c r="W352" s="959"/>
      <c r="X352" s="959" t="s">
        <v>457</v>
      </c>
      <c r="Y352" s="959"/>
      <c r="Z352" s="959"/>
      <c r="AA352" s="959"/>
      <c r="AB352" s="959"/>
      <c r="AC352" s="959" t="s">
        <v>89</v>
      </c>
      <c r="AD352" s="959"/>
      <c r="AE352" s="959"/>
      <c r="AF352" s="959"/>
      <c r="AG352" s="959"/>
      <c r="AI352" s="661" t="s">
        <v>87</v>
      </c>
      <c r="AJ352" s="664" t="s">
        <v>456</v>
      </c>
      <c r="AK352" s="661" t="s">
        <v>459</v>
      </c>
      <c r="AL352" s="664" t="s">
        <v>457</v>
      </c>
      <c r="AM352" s="661" t="s">
        <v>89</v>
      </c>
      <c r="AN352" s="18"/>
      <c r="AO352" s="59" t="s">
        <v>89</v>
      </c>
      <c r="AP352" s="18"/>
      <c r="AQ352" s="18"/>
    </row>
    <row r="353" spans="1:43" s="656" customFormat="1" ht="28.5" customHeight="1" thickBot="1" x14ac:dyDescent="0.25">
      <c r="A353" s="666"/>
      <c r="D353" s="1007" t="s">
        <v>93</v>
      </c>
      <c r="E353" s="1007"/>
      <c r="F353" s="1007"/>
      <c r="G353" s="1007"/>
      <c r="H353" s="1007"/>
      <c r="I353" s="935">
        <v>7872</v>
      </c>
      <c r="J353" s="1005"/>
      <c r="K353" s="1005"/>
      <c r="L353" s="1005"/>
      <c r="M353" s="1005"/>
      <c r="N353" s="1005">
        <v>30751</v>
      </c>
      <c r="O353" s="1005"/>
      <c r="P353" s="1005"/>
      <c r="Q353" s="1005"/>
      <c r="R353" s="1005"/>
      <c r="S353" s="1005" t="s">
        <v>1436</v>
      </c>
      <c r="T353" s="1005"/>
      <c r="U353" s="1005"/>
      <c r="V353" s="1005"/>
      <c r="W353" s="1005"/>
      <c r="X353" s="1005">
        <v>-27753</v>
      </c>
      <c r="Y353" s="1005"/>
      <c r="Z353" s="1005"/>
      <c r="AA353" s="1005"/>
      <c r="AB353" s="1005"/>
      <c r="AC353" s="1030">
        <f t="shared" ref="AC353" si="5">SUM(I353:AB353)</f>
        <v>10870</v>
      </c>
      <c r="AD353" s="1030"/>
      <c r="AE353" s="1030"/>
      <c r="AF353" s="1030"/>
      <c r="AG353" s="1031"/>
      <c r="AI353" s="676"/>
      <c r="AJ353" s="677"/>
      <c r="AK353" s="677"/>
      <c r="AL353" s="677"/>
      <c r="AM353" s="678">
        <f t="shared" ref="AM353" si="6">SUM(I353:AB353)-AC353</f>
        <v>0</v>
      </c>
      <c r="AN353" s="18"/>
      <c r="AO353" s="685">
        <f>AC353-BS!E45</f>
        <v>10870</v>
      </c>
      <c r="AP353" s="18"/>
      <c r="AQ353" s="18"/>
    </row>
    <row r="354" spans="1:43" s="656" customFormat="1" ht="28.5" customHeight="1" thickBot="1" x14ac:dyDescent="0.25">
      <c r="A354" s="666"/>
      <c r="D354" s="1006" t="s">
        <v>95</v>
      </c>
      <c r="E354" s="1006"/>
      <c r="F354" s="1006"/>
      <c r="G354" s="1006"/>
      <c r="H354" s="1006"/>
      <c r="I354" s="1008">
        <f>SUM(I353:M353)</f>
        <v>7872</v>
      </c>
      <c r="J354" s="1009"/>
      <c r="K354" s="1009"/>
      <c r="L354" s="1009"/>
      <c r="M354" s="1009"/>
      <c r="N354" s="1009">
        <f>SUM(N353:R353)</f>
        <v>30751</v>
      </c>
      <c r="O354" s="1009"/>
      <c r="P354" s="1009"/>
      <c r="Q354" s="1009"/>
      <c r="R354" s="1009"/>
      <c r="S354" s="1009" t="s">
        <v>1436</v>
      </c>
      <c r="T354" s="1009"/>
      <c r="U354" s="1009"/>
      <c r="V354" s="1009"/>
      <c r="W354" s="1009"/>
      <c r="X354" s="1009">
        <f>SUM(X353:AB353)</f>
        <v>-27753</v>
      </c>
      <c r="Y354" s="1009"/>
      <c r="Z354" s="1009"/>
      <c r="AA354" s="1009"/>
      <c r="AB354" s="1009"/>
      <c r="AC354" s="1009">
        <f>SUM(AC353:AG353)</f>
        <v>10870</v>
      </c>
      <c r="AD354" s="1009"/>
      <c r="AE354" s="1009"/>
      <c r="AF354" s="1009"/>
      <c r="AG354" s="1011"/>
      <c r="AI354" s="679">
        <f>SUM(I353:M353)-I354</f>
        <v>0</v>
      </c>
      <c r="AJ354" s="680">
        <f>SUM(N353:R353)-N354</f>
        <v>0</v>
      </c>
      <c r="AK354" s="680" t="e">
        <f>SUM(S353:W353)-S354</f>
        <v>#VALUE!</v>
      </c>
      <c r="AL354" s="680">
        <f>SUM(X353:AB353)-X354</f>
        <v>0</v>
      </c>
      <c r="AM354" s="681">
        <f>SUM(I354:AB354)-AC354</f>
        <v>0</v>
      </c>
      <c r="AN354" s="18"/>
      <c r="AO354" s="686">
        <f>AC354-BS!E40</f>
        <v>10870</v>
      </c>
      <c r="AP354" s="18"/>
      <c r="AQ354" s="18"/>
    </row>
    <row r="355" spans="1:43" s="656" customFormat="1" x14ac:dyDescent="0.2">
      <c r="A355" s="666"/>
      <c r="AI355" s="18"/>
      <c r="AJ355" s="18"/>
      <c r="AK355" s="18"/>
      <c r="AL355" s="18"/>
      <c r="AM355" s="18"/>
      <c r="AN355" s="18"/>
      <c r="AO355" s="18"/>
      <c r="AP355" s="18"/>
      <c r="AQ355" s="18"/>
    </row>
    <row r="356" spans="1:43" s="656" customFormat="1" x14ac:dyDescent="0.2">
      <c r="A356" s="666"/>
      <c r="AI356" s="18"/>
      <c r="AJ356" s="18"/>
      <c r="AK356" s="18"/>
      <c r="AL356" s="18"/>
      <c r="AM356" s="18"/>
      <c r="AN356" s="18"/>
      <c r="AO356" s="18"/>
      <c r="AP356" s="18"/>
      <c r="AQ356" s="18"/>
    </row>
    <row r="357" spans="1:43" s="656" customFormat="1" x14ac:dyDescent="0.2">
      <c r="A357" s="666"/>
      <c r="D357" s="655" t="s">
        <v>1609</v>
      </c>
      <c r="AI357" s="18"/>
      <c r="AJ357" s="18"/>
      <c r="AK357" s="18"/>
      <c r="AL357" s="18"/>
      <c r="AM357" s="18"/>
      <c r="AN357" s="18"/>
      <c r="AO357" s="18"/>
      <c r="AP357" s="18"/>
      <c r="AQ357" s="18"/>
    </row>
    <row r="358" spans="1:43" s="656" customFormat="1" x14ac:dyDescent="0.2">
      <c r="A358" s="666"/>
      <c r="AI358" s="18"/>
      <c r="AJ358" s="18"/>
      <c r="AK358" s="18"/>
      <c r="AL358" s="18"/>
      <c r="AM358" s="18"/>
      <c r="AN358" s="18"/>
      <c r="AO358" s="18"/>
      <c r="AP358" s="18"/>
      <c r="AQ358" s="18"/>
    </row>
    <row r="359" spans="1:43" s="656" customFormat="1" x14ac:dyDescent="0.2">
      <c r="A359" s="666"/>
      <c r="D359" s="1012" t="s">
        <v>1466</v>
      </c>
      <c r="E359" s="1012"/>
      <c r="F359" s="1012"/>
      <c r="G359" s="1012"/>
      <c r="H359" s="1012"/>
      <c r="I359" s="1012"/>
      <c r="J359" s="1012"/>
      <c r="K359" s="1012"/>
      <c r="L359" s="1012"/>
      <c r="M359" s="1012"/>
      <c r="N359" s="1012"/>
      <c r="O359" s="1012"/>
      <c r="P359" s="1012"/>
      <c r="Q359" s="1012"/>
      <c r="R359" s="1012"/>
      <c r="S359" s="1012"/>
      <c r="T359" s="1012"/>
      <c r="U359" s="1012"/>
      <c r="V359" s="1012"/>
      <c r="W359" s="1012"/>
      <c r="X359" s="1012"/>
      <c r="Y359" s="1012"/>
      <c r="Z359" s="1012"/>
      <c r="AA359" s="1012"/>
      <c r="AB359" s="1012"/>
      <c r="AC359" s="1012"/>
      <c r="AD359" s="1012"/>
      <c r="AE359" s="1012"/>
      <c r="AF359" s="1012"/>
      <c r="AG359" s="1012"/>
      <c r="AI359" s="18"/>
      <c r="AJ359" s="18"/>
      <c r="AK359" s="18"/>
      <c r="AL359" s="18"/>
      <c r="AM359" s="18"/>
      <c r="AN359" s="18"/>
      <c r="AO359" s="18"/>
      <c r="AP359" s="18"/>
      <c r="AQ359" s="18"/>
    </row>
    <row r="360" spans="1:43" s="656" customFormat="1" ht="15" thickBot="1" x14ac:dyDescent="0.25">
      <c r="A360" s="666"/>
      <c r="AI360" s="18"/>
      <c r="AJ360" s="18"/>
      <c r="AK360" s="18"/>
      <c r="AL360" s="18"/>
      <c r="AM360" s="18"/>
      <c r="AN360" s="18"/>
      <c r="AO360" s="18"/>
      <c r="AP360" s="18"/>
      <c r="AQ360" s="18"/>
    </row>
    <row r="361" spans="1:43" s="656" customFormat="1" ht="15" thickBot="1" x14ac:dyDescent="0.25">
      <c r="A361" s="666"/>
      <c r="D361" s="960" t="s">
        <v>122</v>
      </c>
      <c r="E361" s="960"/>
      <c r="F361" s="960"/>
      <c r="G361" s="960"/>
      <c r="H361" s="960"/>
      <c r="I361" s="960" t="s">
        <v>2</v>
      </c>
      <c r="J361" s="960"/>
      <c r="K361" s="960"/>
      <c r="L361" s="960"/>
      <c r="M361" s="960"/>
      <c r="N361" s="960"/>
      <c r="O361" s="960"/>
      <c r="P361" s="960"/>
      <c r="Q361" s="960"/>
      <c r="R361" s="960"/>
      <c r="S361" s="960"/>
      <c r="T361" s="960"/>
      <c r="U361" s="960"/>
      <c r="V361" s="960"/>
      <c r="W361" s="960"/>
      <c r="X361" s="960"/>
      <c r="Y361" s="960"/>
      <c r="Z361" s="960"/>
      <c r="AA361" s="960"/>
      <c r="AB361" s="960"/>
      <c r="AC361" s="960"/>
      <c r="AD361" s="960"/>
      <c r="AE361" s="960"/>
      <c r="AF361" s="960"/>
      <c r="AG361" s="960"/>
      <c r="AI361" s="18"/>
      <c r="AJ361" s="18"/>
      <c r="AK361" s="18"/>
      <c r="AL361" s="18"/>
      <c r="AM361" s="18"/>
      <c r="AN361" s="18"/>
      <c r="AO361" s="18"/>
      <c r="AP361" s="18"/>
      <c r="AQ361" s="18"/>
    </row>
    <row r="362" spans="1:43" s="656" customFormat="1" ht="48" customHeight="1" thickTop="1" thickBot="1" x14ac:dyDescent="0.25">
      <c r="A362" s="666">
        <v>15</v>
      </c>
      <c r="D362" s="960"/>
      <c r="E362" s="960"/>
      <c r="F362" s="960"/>
      <c r="G362" s="960"/>
      <c r="H362" s="960"/>
      <c r="I362" s="959" t="s">
        <v>87</v>
      </c>
      <c r="J362" s="959"/>
      <c r="K362" s="959"/>
      <c r="L362" s="959"/>
      <c r="M362" s="959"/>
      <c r="N362" s="959" t="s">
        <v>455</v>
      </c>
      <c r="O362" s="959"/>
      <c r="P362" s="959"/>
      <c r="Q362" s="959"/>
      <c r="R362" s="959"/>
      <c r="S362" s="959" t="s">
        <v>459</v>
      </c>
      <c r="T362" s="959"/>
      <c r="U362" s="959"/>
      <c r="V362" s="959"/>
      <c r="W362" s="959"/>
      <c r="X362" s="959" t="s">
        <v>457</v>
      </c>
      <c r="Y362" s="959"/>
      <c r="Z362" s="959"/>
      <c r="AA362" s="959"/>
      <c r="AB362" s="959"/>
      <c r="AC362" s="959" t="s">
        <v>89</v>
      </c>
      <c r="AD362" s="959"/>
      <c r="AE362" s="959"/>
      <c r="AF362" s="959"/>
      <c r="AG362" s="959"/>
      <c r="AI362" s="661" t="s">
        <v>123</v>
      </c>
      <c r="AJ362" s="664" t="s">
        <v>455</v>
      </c>
      <c r="AK362" s="661" t="s">
        <v>459</v>
      </c>
      <c r="AL362" s="664" t="s">
        <v>457</v>
      </c>
      <c r="AM362" s="661" t="s">
        <v>89</v>
      </c>
      <c r="AN362" s="18"/>
      <c r="AO362" s="661" t="s">
        <v>89</v>
      </c>
      <c r="AP362" s="18"/>
      <c r="AQ362" s="18"/>
    </row>
    <row r="363" spans="1:43" s="656" customFormat="1" ht="37.5" customHeight="1" x14ac:dyDescent="0.2">
      <c r="A363" s="666"/>
      <c r="D363" s="975" t="s">
        <v>125</v>
      </c>
      <c r="E363" s="976"/>
      <c r="F363" s="976"/>
      <c r="G363" s="976"/>
      <c r="H363" s="977"/>
      <c r="I363" s="1013">
        <v>187362</v>
      </c>
      <c r="J363" s="1014"/>
      <c r="K363" s="1014"/>
      <c r="L363" s="1014"/>
      <c r="M363" s="1014"/>
      <c r="N363" s="1014">
        <v>10448</v>
      </c>
      <c r="O363" s="1014"/>
      <c r="P363" s="1014"/>
      <c r="Q363" s="1014"/>
      <c r="R363" s="1014"/>
      <c r="S363" s="1014" t="s">
        <v>1436</v>
      </c>
      <c r="T363" s="1014"/>
      <c r="U363" s="1014"/>
      <c r="V363" s="1014"/>
      <c r="W363" s="1014"/>
      <c r="X363" s="1014">
        <v>-18895</v>
      </c>
      <c r="Y363" s="1014"/>
      <c r="Z363" s="1014"/>
      <c r="AA363" s="1014"/>
      <c r="AB363" s="1014"/>
      <c r="AC363" s="1095">
        <f>SUM(I363:AB363)</f>
        <v>178915</v>
      </c>
      <c r="AD363" s="1095"/>
      <c r="AE363" s="1095"/>
      <c r="AF363" s="1095"/>
      <c r="AG363" s="1096"/>
      <c r="AI363" s="682"/>
      <c r="AJ363" s="683"/>
      <c r="AK363" s="683"/>
      <c r="AL363" s="683"/>
      <c r="AM363" s="684">
        <f t="shared" ref="AM363:AM364" si="7">SUM(I363:AB363)-AC363</f>
        <v>0</v>
      </c>
      <c r="AN363" s="18"/>
      <c r="AO363" s="689">
        <f>AC363-BS!$E$56-BS!$E$48</f>
        <v>178915</v>
      </c>
      <c r="AP363" s="18"/>
      <c r="AQ363" s="18"/>
    </row>
    <row r="364" spans="1:43" s="656" customFormat="1" ht="27.75" customHeight="1" thickBot="1" x14ac:dyDescent="0.25">
      <c r="A364" s="666"/>
      <c r="D364" s="1010" t="s">
        <v>129</v>
      </c>
      <c r="E364" s="1010"/>
      <c r="F364" s="1010"/>
      <c r="G364" s="1010"/>
      <c r="H364" s="1010"/>
      <c r="I364" s="1008">
        <f>SUM(I363:M363)</f>
        <v>187362</v>
      </c>
      <c r="J364" s="1009"/>
      <c r="K364" s="1009"/>
      <c r="L364" s="1009"/>
      <c r="M364" s="1009"/>
      <c r="N364" s="1009">
        <f>SUM(N363:R363)</f>
        <v>10448</v>
      </c>
      <c r="O364" s="1009"/>
      <c r="P364" s="1009"/>
      <c r="Q364" s="1009"/>
      <c r="R364" s="1009"/>
      <c r="S364" s="1009" t="s">
        <v>1436</v>
      </c>
      <c r="T364" s="1009"/>
      <c r="U364" s="1009"/>
      <c r="V364" s="1009"/>
      <c r="W364" s="1009"/>
      <c r="X364" s="1009">
        <f>SUM(X363:AB363)</f>
        <v>-18895</v>
      </c>
      <c r="Y364" s="1009"/>
      <c r="Z364" s="1009"/>
      <c r="AA364" s="1009"/>
      <c r="AB364" s="1009"/>
      <c r="AC364" s="1009">
        <f>SUM(AC363:AG363)</f>
        <v>178915</v>
      </c>
      <c r="AD364" s="1009"/>
      <c r="AE364" s="1009"/>
      <c r="AF364" s="1009"/>
      <c r="AG364" s="1011"/>
      <c r="AI364" s="679">
        <f>SUM(I361:M363)-I364</f>
        <v>0</v>
      </c>
      <c r="AJ364" s="680">
        <f>SUM(N363:R363)-N364</f>
        <v>0</v>
      </c>
      <c r="AK364" s="680" t="e">
        <f>SUM(S363:W363)-S364</f>
        <v>#VALUE!</v>
      </c>
      <c r="AL364" s="680">
        <f>SUM(X363:AB363)-X364</f>
        <v>0</v>
      </c>
      <c r="AM364" s="681">
        <f t="shared" si="7"/>
        <v>0</v>
      </c>
      <c r="AN364" s="18"/>
      <c r="AO364" s="686">
        <f>AC364-BS!$E$47-BS!$E$55</f>
        <v>178915</v>
      </c>
      <c r="AP364" s="18"/>
      <c r="AQ364" s="18"/>
    </row>
    <row r="365" spans="1:43" s="656" customFormat="1" x14ac:dyDescent="0.2">
      <c r="A365" s="666"/>
      <c r="AI365" s="18"/>
      <c r="AJ365" s="18"/>
      <c r="AK365" s="18"/>
      <c r="AL365" s="18"/>
      <c r="AM365" s="18"/>
      <c r="AN365" s="18"/>
      <c r="AO365" s="18"/>
      <c r="AP365" s="18"/>
      <c r="AQ365" s="18"/>
    </row>
    <row r="366" spans="1:43" s="656" customFormat="1" x14ac:dyDescent="0.2">
      <c r="A366" s="666"/>
      <c r="AI366" s="18"/>
      <c r="AJ366" s="18"/>
      <c r="AK366" s="18"/>
      <c r="AL366" s="18"/>
      <c r="AM366" s="18"/>
      <c r="AN366" s="18"/>
      <c r="AO366" s="18"/>
      <c r="AP366" s="18"/>
      <c r="AQ366" s="18"/>
    </row>
    <row r="367" spans="1:43" s="656" customFormat="1" ht="63" customHeight="1" x14ac:dyDescent="0.2">
      <c r="A367" s="666"/>
      <c r="D367" s="1047" t="s">
        <v>1664</v>
      </c>
      <c r="E367" s="1098"/>
      <c r="F367" s="1098"/>
      <c r="G367" s="1098"/>
      <c r="H367" s="1098"/>
      <c r="I367" s="1098"/>
      <c r="J367" s="1098"/>
      <c r="K367" s="1098"/>
      <c r="L367" s="1098"/>
      <c r="M367" s="1098"/>
      <c r="N367" s="1098"/>
      <c r="O367" s="1098"/>
      <c r="P367" s="1098"/>
      <c r="Q367" s="1098"/>
      <c r="R367" s="1098"/>
      <c r="S367" s="1098"/>
      <c r="T367" s="1098"/>
      <c r="U367" s="1098"/>
      <c r="V367" s="1098"/>
      <c r="W367" s="1098"/>
      <c r="X367" s="1098"/>
      <c r="Y367" s="1098"/>
      <c r="Z367" s="1098"/>
      <c r="AA367" s="1098"/>
      <c r="AB367" s="1098"/>
      <c r="AC367" s="1098"/>
      <c r="AD367" s="1098"/>
      <c r="AE367" s="1098"/>
      <c r="AF367" s="1098"/>
      <c r="AG367" s="1098"/>
      <c r="AI367" s="18"/>
      <c r="AJ367" s="18"/>
      <c r="AK367" s="18"/>
      <c r="AL367" s="18"/>
      <c r="AM367" s="18"/>
      <c r="AN367" s="18"/>
      <c r="AO367" s="18"/>
      <c r="AP367" s="18"/>
      <c r="AQ367" s="18"/>
    </row>
    <row r="368" spans="1:43" s="656" customFormat="1" x14ac:dyDescent="0.2">
      <c r="A368" s="666"/>
      <c r="AI368" s="18"/>
      <c r="AJ368" s="18"/>
      <c r="AK368" s="18"/>
      <c r="AL368" s="18"/>
      <c r="AM368" s="18"/>
      <c r="AN368" s="18"/>
      <c r="AO368" s="18"/>
      <c r="AP368" s="18"/>
      <c r="AQ368" s="18"/>
    </row>
    <row r="369" spans="1:43" s="656" customFormat="1" x14ac:dyDescent="0.2">
      <c r="A369" s="666"/>
      <c r="D369" s="1047" t="s">
        <v>1674</v>
      </c>
      <c r="E369" s="1098"/>
      <c r="F369" s="1098"/>
      <c r="G369" s="1098"/>
      <c r="H369" s="1098"/>
      <c r="I369" s="1098"/>
      <c r="J369" s="1098"/>
      <c r="K369" s="1098"/>
      <c r="L369" s="1098"/>
      <c r="M369" s="1098"/>
      <c r="N369" s="1098"/>
      <c r="O369" s="1098"/>
      <c r="P369" s="1098"/>
      <c r="Q369" s="1098"/>
      <c r="R369" s="1098"/>
      <c r="S369" s="1098"/>
      <c r="T369" s="1098"/>
      <c r="U369" s="1098"/>
      <c r="V369" s="1098"/>
      <c r="W369" s="1098"/>
      <c r="X369" s="1098"/>
      <c r="Y369" s="1098"/>
      <c r="Z369" s="1098"/>
      <c r="AA369" s="1098"/>
      <c r="AB369" s="1098"/>
      <c r="AC369" s="1098"/>
      <c r="AD369" s="1098"/>
      <c r="AE369" s="1098"/>
      <c r="AF369" s="1098"/>
      <c r="AG369" s="1098"/>
      <c r="AI369" s="18"/>
      <c r="AJ369" s="18"/>
      <c r="AK369" s="18"/>
      <c r="AL369" s="18"/>
      <c r="AM369" s="18"/>
      <c r="AN369" s="18"/>
      <c r="AO369" s="18"/>
      <c r="AP369" s="18"/>
      <c r="AQ369" s="18"/>
    </row>
    <row r="370" spans="1:43" s="656" customFormat="1" x14ac:dyDescent="0.2">
      <c r="A370" s="666"/>
      <c r="D370" s="1098"/>
      <c r="E370" s="1098"/>
      <c r="F370" s="1098"/>
      <c r="G370" s="1098"/>
      <c r="H370" s="1098"/>
      <c r="I370" s="1098"/>
      <c r="J370" s="1098"/>
      <c r="K370" s="1098"/>
      <c r="L370" s="1098"/>
      <c r="M370" s="1098"/>
      <c r="N370" s="1098"/>
      <c r="O370" s="1098"/>
      <c r="P370" s="1098"/>
      <c r="Q370" s="1098"/>
      <c r="R370" s="1098"/>
      <c r="S370" s="1098"/>
      <c r="T370" s="1098"/>
      <c r="U370" s="1098"/>
      <c r="V370" s="1098"/>
      <c r="W370" s="1098"/>
      <c r="X370" s="1098"/>
      <c r="Y370" s="1098"/>
      <c r="Z370" s="1098"/>
      <c r="AA370" s="1098"/>
      <c r="AB370" s="1098"/>
      <c r="AC370" s="1098"/>
      <c r="AD370" s="1098"/>
      <c r="AE370" s="1098"/>
      <c r="AF370" s="1098"/>
      <c r="AG370" s="1098"/>
      <c r="AI370" s="18"/>
      <c r="AJ370" s="18"/>
      <c r="AK370" s="18"/>
      <c r="AL370" s="18"/>
      <c r="AM370" s="18"/>
      <c r="AN370" s="18"/>
      <c r="AO370" s="18"/>
      <c r="AP370" s="18"/>
      <c r="AQ370" s="18"/>
    </row>
    <row r="371" spans="1:43" s="656" customFormat="1" x14ac:dyDescent="0.2">
      <c r="A371" s="666"/>
      <c r="AI371" s="18"/>
      <c r="AJ371" s="18"/>
      <c r="AK371" s="18"/>
      <c r="AL371" s="18"/>
      <c r="AM371" s="18"/>
      <c r="AN371" s="18"/>
      <c r="AO371" s="18"/>
      <c r="AP371" s="18"/>
      <c r="AQ371" s="18"/>
    </row>
    <row r="372" spans="1:43" s="656" customFormat="1" x14ac:dyDescent="0.2">
      <c r="A372" s="666"/>
      <c r="D372" s="1097" t="s">
        <v>1669</v>
      </c>
      <c r="E372" s="1029"/>
      <c r="F372" s="1029"/>
      <c r="G372" s="1029"/>
      <c r="H372" s="1029"/>
      <c r="I372" s="1029"/>
      <c r="J372" s="1029"/>
      <c r="K372" s="1029"/>
      <c r="L372" s="1029"/>
      <c r="M372" s="1029"/>
      <c r="N372" s="1029"/>
      <c r="O372" s="1029"/>
      <c r="P372" s="1029"/>
      <c r="Q372" s="1029"/>
      <c r="R372" s="1029"/>
      <c r="S372" s="1029"/>
      <c r="T372" s="1029"/>
      <c r="U372" s="1029"/>
      <c r="V372" s="1029"/>
      <c r="W372" s="1029"/>
      <c r="X372" s="1029"/>
      <c r="Y372" s="1029"/>
      <c r="Z372" s="1029"/>
      <c r="AA372" s="1029"/>
      <c r="AB372" s="1029"/>
      <c r="AC372" s="1029"/>
      <c r="AD372" s="1029"/>
      <c r="AE372" s="1029"/>
      <c r="AF372" s="1029"/>
      <c r="AG372" s="1029"/>
      <c r="AI372" s="18"/>
      <c r="AJ372" s="18"/>
      <c r="AK372" s="18"/>
      <c r="AL372" s="18"/>
      <c r="AM372" s="18"/>
      <c r="AN372" s="18"/>
      <c r="AO372" s="18"/>
      <c r="AP372" s="18"/>
      <c r="AQ372" s="18"/>
    </row>
    <row r="373" spans="1:43" s="656" customFormat="1" x14ac:dyDescent="0.2">
      <c r="A373" s="666"/>
      <c r="AI373" s="18"/>
      <c r="AJ373" s="18"/>
      <c r="AK373" s="18"/>
      <c r="AL373" s="18"/>
      <c r="AM373" s="18"/>
      <c r="AN373" s="18"/>
      <c r="AO373" s="18"/>
      <c r="AP373" s="18"/>
      <c r="AQ373" s="18"/>
    </row>
    <row r="374" spans="1:43" s="656" customFormat="1" x14ac:dyDescent="0.2">
      <c r="A374" s="666"/>
      <c r="D374" s="1029" t="s">
        <v>1467</v>
      </c>
      <c r="E374" s="1029"/>
      <c r="F374" s="1029"/>
      <c r="G374" s="1029"/>
      <c r="H374" s="1029"/>
      <c r="I374" s="1029"/>
      <c r="J374" s="1029"/>
      <c r="K374" s="1029"/>
      <c r="L374" s="1029"/>
      <c r="M374" s="1029"/>
      <c r="N374" s="1029"/>
      <c r="O374" s="1029"/>
      <c r="P374" s="1029"/>
      <c r="Q374" s="1029"/>
      <c r="R374" s="1029"/>
      <c r="S374" s="1029"/>
      <c r="T374" s="1029"/>
      <c r="U374" s="1029"/>
      <c r="V374" s="1029"/>
      <c r="W374" s="1029"/>
      <c r="X374" s="1029"/>
      <c r="Y374" s="1029"/>
      <c r="Z374" s="1029"/>
      <c r="AA374" s="1029"/>
      <c r="AB374" s="1029"/>
      <c r="AC374" s="1029"/>
      <c r="AD374" s="1029"/>
      <c r="AE374" s="1029"/>
      <c r="AF374" s="1029"/>
      <c r="AG374" s="1029"/>
      <c r="AI374" s="18"/>
      <c r="AJ374" s="18"/>
      <c r="AK374" s="18"/>
      <c r="AL374" s="18"/>
      <c r="AM374" s="18"/>
      <c r="AN374" s="18"/>
      <c r="AO374" s="18"/>
      <c r="AP374" s="18"/>
      <c r="AQ374" s="18"/>
    </row>
    <row r="375" spans="1:43" s="656" customFormat="1" ht="15" thickBot="1" x14ac:dyDescent="0.25">
      <c r="A375" s="666"/>
      <c r="AI375" s="18"/>
      <c r="AJ375" s="18"/>
      <c r="AK375" s="18"/>
      <c r="AL375" s="18"/>
      <c r="AM375" s="18"/>
      <c r="AN375" s="18"/>
      <c r="AO375" s="18"/>
      <c r="AP375" s="18"/>
      <c r="AQ375" s="18"/>
    </row>
    <row r="376" spans="1:43" s="656" customFormat="1" ht="27.75" customHeight="1" thickTop="1" thickBot="1" x14ac:dyDescent="0.25">
      <c r="A376" s="666">
        <v>16</v>
      </c>
      <c r="D376" s="960" t="s">
        <v>131</v>
      </c>
      <c r="E376" s="960"/>
      <c r="F376" s="960"/>
      <c r="G376" s="960"/>
      <c r="H376" s="960"/>
      <c r="I376" s="960"/>
      <c r="J376" s="960"/>
      <c r="K376" s="960"/>
      <c r="L376" s="960"/>
      <c r="M376" s="960" t="s">
        <v>132</v>
      </c>
      <c r="N376" s="960"/>
      <c r="O376" s="960"/>
      <c r="P376" s="960"/>
      <c r="Q376" s="960"/>
      <c r="R376" s="960"/>
      <c r="S376" s="960"/>
      <c r="T376" s="960" t="s">
        <v>133</v>
      </c>
      <c r="U376" s="960"/>
      <c r="V376" s="960"/>
      <c r="W376" s="960"/>
      <c r="X376" s="960"/>
      <c r="Y376" s="960"/>
      <c r="Z376" s="960"/>
      <c r="AA376" s="960" t="s">
        <v>129</v>
      </c>
      <c r="AB376" s="960"/>
      <c r="AC376" s="960"/>
      <c r="AD376" s="960"/>
      <c r="AE376" s="960"/>
      <c r="AF376" s="960"/>
      <c r="AG376" s="960"/>
      <c r="AI376" s="18"/>
      <c r="AJ376" s="18"/>
      <c r="AK376" s="661" t="s">
        <v>132</v>
      </c>
      <c r="AL376" s="664" t="s">
        <v>133</v>
      </c>
      <c r="AM376" s="664" t="s">
        <v>129</v>
      </c>
      <c r="AN376" s="18"/>
      <c r="AO376" s="661" t="s">
        <v>129</v>
      </c>
      <c r="AP376" s="18"/>
      <c r="AQ376" s="18"/>
    </row>
    <row r="377" spans="1:43" s="656" customFormat="1" ht="27.75" customHeight="1" thickBot="1" x14ac:dyDescent="0.25">
      <c r="A377" s="666"/>
      <c r="D377" s="1100" t="s">
        <v>138</v>
      </c>
      <c r="E377" s="1100"/>
      <c r="F377" s="1100"/>
      <c r="G377" s="1100"/>
      <c r="H377" s="1100"/>
      <c r="I377" s="1100"/>
      <c r="J377" s="1100"/>
      <c r="K377" s="1100"/>
      <c r="L377" s="1100"/>
      <c r="M377" s="1100"/>
      <c r="N377" s="1100"/>
      <c r="O377" s="1100"/>
      <c r="P377" s="1100"/>
      <c r="Q377" s="1100"/>
      <c r="R377" s="1100"/>
      <c r="S377" s="1100"/>
      <c r="T377" s="1100"/>
      <c r="U377" s="1100"/>
      <c r="V377" s="1100"/>
      <c r="W377" s="1100"/>
      <c r="X377" s="1100"/>
      <c r="Y377" s="1100"/>
      <c r="Z377" s="1100"/>
      <c r="AA377" s="1100"/>
      <c r="AB377" s="1100"/>
      <c r="AC377" s="1100"/>
      <c r="AD377" s="1100"/>
      <c r="AE377" s="1100"/>
      <c r="AF377" s="1100"/>
      <c r="AG377" s="1100"/>
      <c r="AI377" s="18"/>
      <c r="AJ377" s="18"/>
      <c r="AK377" s="18"/>
      <c r="AL377" s="18"/>
      <c r="AM377" s="18"/>
      <c r="AN377" s="18"/>
      <c r="AO377" s="18"/>
      <c r="AP377" s="18"/>
      <c r="AQ377" s="18"/>
    </row>
    <row r="378" spans="1:43" s="656" customFormat="1" ht="27.75" customHeight="1" x14ac:dyDescent="0.2">
      <c r="A378" s="666"/>
      <c r="D378" s="1101" t="s">
        <v>139</v>
      </c>
      <c r="E378" s="1101"/>
      <c r="F378" s="1101"/>
      <c r="G378" s="1101"/>
      <c r="H378" s="1101"/>
      <c r="I378" s="1101"/>
      <c r="J378" s="1101"/>
      <c r="K378" s="1101"/>
      <c r="L378" s="1101"/>
      <c r="M378" s="963">
        <v>1605583</v>
      </c>
      <c r="N378" s="963"/>
      <c r="O378" s="963"/>
      <c r="P378" s="963"/>
      <c r="Q378" s="963"/>
      <c r="R378" s="963"/>
      <c r="S378" s="963"/>
      <c r="T378" s="963">
        <v>776055</v>
      </c>
      <c r="U378" s="963"/>
      <c r="V378" s="963"/>
      <c r="W378" s="963"/>
      <c r="X378" s="963"/>
      <c r="Y378" s="963"/>
      <c r="Z378" s="963"/>
      <c r="AA378" s="1102">
        <f>M378+T378</f>
        <v>2381638</v>
      </c>
      <c r="AB378" s="1102"/>
      <c r="AC378" s="1102"/>
      <c r="AD378" s="1102"/>
      <c r="AE378" s="1102"/>
      <c r="AF378" s="1102"/>
      <c r="AG378" s="1102"/>
      <c r="AI378" s="18"/>
      <c r="AJ378" s="18"/>
      <c r="AK378" s="682"/>
      <c r="AL378" s="683"/>
      <c r="AM378" s="684">
        <f t="shared" ref="AM378" si="8">SUM(M378:Z378)-AA378</f>
        <v>0</v>
      </c>
      <c r="AN378" s="18"/>
      <c r="AO378" s="689">
        <f>AA378-BS!$D$56</f>
        <v>2381638</v>
      </c>
      <c r="AP378" s="18"/>
      <c r="AQ378" s="18"/>
    </row>
    <row r="379" spans="1:43" s="656" customFormat="1" ht="27.75" customHeight="1" x14ac:dyDescent="0.2">
      <c r="A379" s="666"/>
      <c r="D379" s="1002" t="s">
        <v>141</v>
      </c>
      <c r="E379" s="1002"/>
      <c r="F379" s="1002"/>
      <c r="G379" s="1002"/>
      <c r="H379" s="1002"/>
      <c r="I379" s="1002"/>
      <c r="J379" s="1002"/>
      <c r="K379" s="1002"/>
      <c r="L379" s="1002"/>
      <c r="M379" s="932">
        <v>287</v>
      </c>
      <c r="N379" s="932"/>
      <c r="O379" s="932"/>
      <c r="P379" s="932"/>
      <c r="Q379" s="932"/>
      <c r="R379" s="932"/>
      <c r="S379" s="932"/>
      <c r="T379" s="1103" t="s">
        <v>1436</v>
      </c>
      <c r="U379" s="932"/>
      <c r="V379" s="932"/>
      <c r="W379" s="932"/>
      <c r="X379" s="932"/>
      <c r="Y379" s="932"/>
      <c r="Z379" s="932"/>
      <c r="AA379" s="1033">
        <f>M379</f>
        <v>287</v>
      </c>
      <c r="AB379" s="1033"/>
      <c r="AC379" s="1033"/>
      <c r="AD379" s="1033"/>
      <c r="AE379" s="1033"/>
      <c r="AF379" s="1033"/>
      <c r="AG379" s="1033"/>
      <c r="AI379" s="18"/>
      <c r="AJ379" s="18"/>
      <c r="AK379" s="676"/>
      <c r="AL379" s="677"/>
      <c r="AM379" s="678">
        <f t="shared" ref="AM379" si="9">SUM(M379:Z379)-AA379</f>
        <v>0</v>
      </c>
      <c r="AN379" s="18"/>
      <c r="AO379" s="685">
        <f>AA379-BS!$D$62</f>
        <v>287</v>
      </c>
      <c r="AP379" s="18"/>
      <c r="AQ379" s="18"/>
    </row>
    <row r="380" spans="1:43" s="656" customFormat="1" ht="27.75" customHeight="1" thickBot="1" x14ac:dyDescent="0.25">
      <c r="A380" s="666"/>
      <c r="D380" s="1099" t="s">
        <v>128</v>
      </c>
      <c r="E380" s="1099"/>
      <c r="F380" s="1099"/>
      <c r="G380" s="1099"/>
      <c r="H380" s="1099"/>
      <c r="I380" s="1099"/>
      <c r="J380" s="1099"/>
      <c r="K380" s="1099"/>
      <c r="L380" s="1099"/>
      <c r="M380" s="932">
        <v>2677</v>
      </c>
      <c r="N380" s="932"/>
      <c r="O380" s="932"/>
      <c r="P380" s="932"/>
      <c r="Q380" s="932"/>
      <c r="R380" s="932"/>
      <c r="S380" s="932"/>
      <c r="T380" s="1103" t="s">
        <v>1436</v>
      </c>
      <c r="U380" s="932"/>
      <c r="V380" s="932"/>
      <c r="W380" s="932"/>
      <c r="X380" s="932"/>
      <c r="Y380" s="932"/>
      <c r="Z380" s="932"/>
      <c r="AA380" s="1033">
        <f>M380</f>
        <v>2677</v>
      </c>
      <c r="AB380" s="1033"/>
      <c r="AC380" s="1033"/>
      <c r="AD380" s="1033"/>
      <c r="AE380" s="1033"/>
      <c r="AF380" s="1033"/>
      <c r="AG380" s="1033"/>
      <c r="AI380" s="18"/>
      <c r="AJ380" s="18"/>
      <c r="AK380" s="676"/>
      <c r="AL380" s="677"/>
      <c r="AM380" s="678">
        <f>SUM(M380:Z380)-AA380</f>
        <v>0</v>
      </c>
      <c r="AN380" s="18"/>
      <c r="AO380" s="685">
        <f>AA380-BS!$D$63</f>
        <v>2677</v>
      </c>
      <c r="AP380" s="18"/>
      <c r="AQ380" s="18"/>
    </row>
    <row r="381" spans="1:43" s="656" customFormat="1" ht="27.75" customHeight="1" thickBot="1" x14ac:dyDescent="0.25">
      <c r="A381" s="666"/>
      <c r="D381" s="1006" t="s">
        <v>142</v>
      </c>
      <c r="E381" s="1006"/>
      <c r="F381" s="1006"/>
      <c r="G381" s="1006"/>
      <c r="H381" s="1006"/>
      <c r="I381" s="1006"/>
      <c r="J381" s="1006"/>
      <c r="K381" s="1006"/>
      <c r="L381" s="1006"/>
      <c r="M381" s="1104">
        <f>SUM(M378:S380)</f>
        <v>1608547</v>
      </c>
      <c r="N381" s="1104"/>
      <c r="O381" s="1104"/>
      <c r="P381" s="1104"/>
      <c r="Q381" s="1104"/>
      <c r="R381" s="1104"/>
      <c r="S381" s="1104"/>
      <c r="T381" s="1104">
        <f>SUM(T378:Z380)</f>
        <v>776055</v>
      </c>
      <c r="U381" s="1104"/>
      <c r="V381" s="1104"/>
      <c r="W381" s="1104"/>
      <c r="X381" s="1104"/>
      <c r="Y381" s="1104"/>
      <c r="Z381" s="1104"/>
      <c r="AA381" s="1104">
        <f>SUM(AA378:AG380)</f>
        <v>2384602</v>
      </c>
      <c r="AB381" s="1104"/>
      <c r="AC381" s="1104"/>
      <c r="AD381" s="1104"/>
      <c r="AE381" s="1104"/>
      <c r="AF381" s="1104"/>
      <c r="AG381" s="1104"/>
      <c r="AI381" s="18"/>
      <c r="AJ381" s="18"/>
      <c r="AK381" s="679">
        <f>SUM(M378:S380)-M381</f>
        <v>0</v>
      </c>
      <c r="AL381" s="680">
        <f>SUM(T378:Z380)-T381</f>
        <v>0</v>
      </c>
      <c r="AM381" s="681">
        <f>SUM(AA378:AG380)-AA381</f>
        <v>0</v>
      </c>
      <c r="AN381" s="18"/>
      <c r="AO381" s="686">
        <f>AA381-BS!$D$55</f>
        <v>2384602</v>
      </c>
      <c r="AP381" s="18"/>
      <c r="AQ381" s="18"/>
    </row>
    <row r="382" spans="1:43" s="656" customFormat="1" ht="27.75" customHeight="1" x14ac:dyDescent="0.2">
      <c r="A382" s="666"/>
      <c r="D382" s="726"/>
      <c r="E382" s="726"/>
      <c r="F382" s="726"/>
      <c r="G382" s="726"/>
      <c r="H382" s="726"/>
      <c r="I382" s="726"/>
      <c r="J382" s="726"/>
      <c r="K382" s="726"/>
      <c r="L382" s="726"/>
      <c r="M382" s="905"/>
      <c r="N382" s="905"/>
      <c r="O382" s="905"/>
      <c r="P382" s="905"/>
      <c r="Q382" s="905"/>
      <c r="R382" s="905"/>
      <c r="S382" s="905"/>
      <c r="T382" s="905"/>
      <c r="U382" s="905"/>
      <c r="V382" s="905"/>
      <c r="W382" s="905"/>
      <c r="X382" s="905"/>
      <c r="Y382" s="905"/>
      <c r="Z382" s="905"/>
      <c r="AA382" s="905"/>
      <c r="AB382" s="905"/>
      <c r="AC382" s="905"/>
      <c r="AD382" s="905"/>
      <c r="AE382" s="905"/>
      <c r="AF382" s="905"/>
      <c r="AG382" s="905"/>
      <c r="AI382" s="18"/>
      <c r="AJ382" s="18"/>
      <c r="AK382" s="723"/>
      <c r="AL382" s="723"/>
      <c r="AM382" s="723"/>
      <c r="AN382" s="18"/>
      <c r="AO382" s="723"/>
      <c r="AP382" s="18"/>
      <c r="AQ382" s="18"/>
    </row>
    <row r="383" spans="1:43" s="656" customFormat="1" ht="27.75" customHeight="1" x14ac:dyDescent="0.2">
      <c r="A383" s="666"/>
      <c r="D383" s="726"/>
      <c r="E383" s="726"/>
      <c r="F383" s="726"/>
      <c r="G383" s="726"/>
      <c r="H383" s="726"/>
      <c r="I383" s="726"/>
      <c r="J383" s="726"/>
      <c r="K383" s="726"/>
      <c r="L383" s="726"/>
      <c r="M383" s="905"/>
      <c r="N383" s="905"/>
      <c r="O383" s="905"/>
      <c r="P383" s="905"/>
      <c r="Q383" s="905"/>
      <c r="R383" s="905"/>
      <c r="S383" s="905"/>
      <c r="T383" s="905"/>
      <c r="U383" s="905"/>
      <c r="V383" s="905"/>
      <c r="W383" s="905"/>
      <c r="X383" s="905"/>
      <c r="Y383" s="905"/>
      <c r="Z383" s="905"/>
      <c r="AA383" s="905"/>
      <c r="AB383" s="905"/>
      <c r="AC383" s="905"/>
      <c r="AD383" s="905"/>
      <c r="AE383" s="905"/>
      <c r="AF383" s="905"/>
      <c r="AG383" s="905"/>
      <c r="AI383" s="18"/>
      <c r="AJ383" s="18"/>
      <c r="AK383" s="723"/>
      <c r="AL383" s="723"/>
      <c r="AM383" s="723"/>
      <c r="AN383" s="18"/>
      <c r="AO383" s="723"/>
      <c r="AP383" s="18"/>
      <c r="AQ383" s="18"/>
    </row>
    <row r="384" spans="1:43" s="656" customFormat="1" ht="27.75" customHeight="1" x14ac:dyDescent="0.2">
      <c r="A384" s="666"/>
      <c r="D384" s="726"/>
      <c r="E384" s="726"/>
      <c r="F384" s="726"/>
      <c r="G384" s="726"/>
      <c r="H384" s="726"/>
      <c r="I384" s="726"/>
      <c r="J384" s="726"/>
      <c r="K384" s="726"/>
      <c r="L384" s="726"/>
      <c r="M384" s="905"/>
      <c r="N384" s="905"/>
      <c r="O384" s="905"/>
      <c r="P384" s="905"/>
      <c r="Q384" s="905"/>
      <c r="R384" s="905"/>
      <c r="S384" s="905"/>
      <c r="T384" s="905"/>
      <c r="U384" s="905"/>
      <c r="V384" s="905"/>
      <c r="W384" s="905"/>
      <c r="X384" s="905"/>
      <c r="Y384" s="905"/>
      <c r="Z384" s="905"/>
      <c r="AA384" s="905"/>
      <c r="AB384" s="905"/>
      <c r="AC384" s="905"/>
      <c r="AD384" s="905"/>
      <c r="AE384" s="905"/>
      <c r="AF384" s="905"/>
      <c r="AG384" s="905"/>
      <c r="AI384" s="18"/>
      <c r="AJ384" s="18"/>
      <c r="AK384" s="723"/>
      <c r="AL384" s="723"/>
      <c r="AM384" s="723"/>
      <c r="AN384" s="18"/>
      <c r="AO384" s="723"/>
      <c r="AP384" s="18"/>
      <c r="AQ384" s="18"/>
    </row>
    <row r="385" spans="1:43" s="656" customFormat="1" ht="15" thickBot="1" x14ac:dyDescent="0.25">
      <c r="A385" s="666"/>
      <c r="D385" s="96"/>
      <c r="E385" s="96"/>
      <c r="F385" s="96"/>
      <c r="G385" s="96"/>
      <c r="H385" s="96"/>
      <c r="I385" s="96"/>
      <c r="J385" s="96"/>
      <c r="K385" s="96"/>
      <c r="L385" s="96"/>
      <c r="AI385" s="18"/>
      <c r="AJ385" s="18"/>
      <c r="AK385" s="18"/>
      <c r="AL385" s="18"/>
      <c r="AM385" s="18"/>
      <c r="AN385" s="18"/>
      <c r="AO385" s="18"/>
      <c r="AP385" s="18"/>
      <c r="AQ385" s="18"/>
    </row>
    <row r="386" spans="1:43" s="656" customFormat="1" ht="30" customHeight="1" thickTop="1" thickBot="1" x14ac:dyDescent="0.25">
      <c r="A386" s="666" t="s">
        <v>1468</v>
      </c>
      <c r="D386" s="959" t="s">
        <v>460</v>
      </c>
      <c r="E386" s="959"/>
      <c r="F386" s="959"/>
      <c r="G386" s="959"/>
      <c r="H386" s="959"/>
      <c r="I386" s="959"/>
      <c r="J386" s="959"/>
      <c r="K386" s="959"/>
      <c r="L386" s="959"/>
      <c r="M386" s="959"/>
      <c r="N386" s="959"/>
      <c r="O386" s="959"/>
      <c r="P386" s="959" t="s">
        <v>2</v>
      </c>
      <c r="Q386" s="959"/>
      <c r="R386" s="959"/>
      <c r="S386" s="959"/>
      <c r="T386" s="959"/>
      <c r="U386" s="959"/>
      <c r="V386" s="959"/>
      <c r="W386" s="959"/>
      <c r="X386" s="959"/>
      <c r="Y386" s="959" t="s">
        <v>3</v>
      </c>
      <c r="Z386" s="959"/>
      <c r="AA386" s="959"/>
      <c r="AB386" s="959"/>
      <c r="AC386" s="959"/>
      <c r="AD386" s="959"/>
      <c r="AE386" s="959"/>
      <c r="AF386" s="959"/>
      <c r="AG386" s="959"/>
      <c r="AI386" s="18"/>
      <c r="AJ386" s="18"/>
      <c r="AK386" s="18"/>
      <c r="AL386" s="690" t="s">
        <v>2</v>
      </c>
      <c r="AM386" s="690" t="s">
        <v>3</v>
      </c>
      <c r="AN386" s="18"/>
      <c r="AO386" s="690" t="s">
        <v>2</v>
      </c>
      <c r="AP386" s="690" t="s">
        <v>3</v>
      </c>
      <c r="AQ386" s="18"/>
    </row>
    <row r="387" spans="1:43" s="656" customFormat="1" ht="30" customHeight="1" x14ac:dyDescent="0.2">
      <c r="A387" s="666"/>
      <c r="D387" s="1101" t="s">
        <v>143</v>
      </c>
      <c r="E387" s="1101"/>
      <c r="F387" s="1101"/>
      <c r="G387" s="1101"/>
      <c r="H387" s="1101"/>
      <c r="I387" s="1101"/>
      <c r="J387" s="1101"/>
      <c r="K387" s="1101"/>
      <c r="L387" s="1101"/>
      <c r="M387" s="1101"/>
      <c r="N387" s="1101"/>
      <c r="O387" s="1101"/>
      <c r="P387" s="963">
        <v>776055</v>
      </c>
      <c r="Q387" s="963"/>
      <c r="R387" s="963"/>
      <c r="S387" s="963"/>
      <c r="T387" s="963"/>
      <c r="U387" s="963"/>
      <c r="V387" s="963"/>
      <c r="W387" s="963"/>
      <c r="X387" s="1107"/>
      <c r="Y387" s="1108">
        <v>1159081</v>
      </c>
      <c r="Z387" s="963"/>
      <c r="AA387" s="963"/>
      <c r="AB387" s="963"/>
      <c r="AC387" s="963"/>
      <c r="AD387" s="963"/>
      <c r="AE387" s="963"/>
      <c r="AF387" s="963"/>
      <c r="AG387" s="963"/>
      <c r="AI387" s="18"/>
      <c r="AJ387" s="18"/>
      <c r="AK387" s="18"/>
      <c r="AL387" s="682"/>
      <c r="AM387" s="687"/>
      <c r="AN387" s="18"/>
      <c r="AO387" s="682"/>
      <c r="AP387" s="687"/>
      <c r="AQ387" s="18"/>
    </row>
    <row r="388" spans="1:43" s="656" customFormat="1" ht="30" customHeight="1" x14ac:dyDescent="0.2">
      <c r="A388" s="666"/>
      <c r="D388" s="1002" t="s">
        <v>461</v>
      </c>
      <c r="E388" s="1002"/>
      <c r="F388" s="1002"/>
      <c r="G388" s="1002"/>
      <c r="H388" s="1002"/>
      <c r="I388" s="1002"/>
      <c r="J388" s="1002"/>
      <c r="K388" s="1002"/>
      <c r="L388" s="1002"/>
      <c r="M388" s="1002"/>
      <c r="N388" s="1002"/>
      <c r="O388" s="1002"/>
      <c r="P388" s="932">
        <v>1608547</v>
      </c>
      <c r="Q388" s="932"/>
      <c r="R388" s="932"/>
      <c r="S388" s="932"/>
      <c r="T388" s="932"/>
      <c r="U388" s="932"/>
      <c r="V388" s="932"/>
      <c r="W388" s="932"/>
      <c r="X388" s="935"/>
      <c r="Y388" s="1109">
        <v>1683314</v>
      </c>
      <c r="Z388" s="932"/>
      <c r="AA388" s="932"/>
      <c r="AB388" s="932"/>
      <c r="AC388" s="932"/>
      <c r="AD388" s="932"/>
      <c r="AE388" s="932"/>
      <c r="AF388" s="932"/>
      <c r="AG388" s="932"/>
      <c r="AI388" s="18"/>
      <c r="AJ388" s="18"/>
      <c r="AK388" s="18"/>
      <c r="AL388" s="676"/>
      <c r="AM388" s="688"/>
      <c r="AN388" s="18"/>
      <c r="AO388" s="676"/>
      <c r="AP388" s="688"/>
      <c r="AQ388" s="18"/>
    </row>
    <row r="389" spans="1:43" s="656" customFormat="1" ht="30" customHeight="1" thickBot="1" x14ac:dyDescent="0.25">
      <c r="A389" s="666"/>
      <c r="D389" s="1105" t="s">
        <v>142</v>
      </c>
      <c r="E389" s="1105"/>
      <c r="F389" s="1105"/>
      <c r="G389" s="1105"/>
      <c r="H389" s="1105"/>
      <c r="I389" s="1105"/>
      <c r="J389" s="1105"/>
      <c r="K389" s="1105"/>
      <c r="L389" s="1105"/>
      <c r="M389" s="1105"/>
      <c r="N389" s="1105"/>
      <c r="O389" s="1105"/>
      <c r="P389" s="1106">
        <f>SUM(P387:X388)</f>
        <v>2384602</v>
      </c>
      <c r="Q389" s="1106"/>
      <c r="R389" s="1106"/>
      <c r="S389" s="1106"/>
      <c r="T389" s="1106"/>
      <c r="U389" s="1106"/>
      <c r="V389" s="1106"/>
      <c r="W389" s="1106"/>
      <c r="X389" s="1008"/>
      <c r="Y389" s="1110">
        <f>SUM(Y387:AG388)</f>
        <v>2842395</v>
      </c>
      <c r="Z389" s="1106"/>
      <c r="AA389" s="1106"/>
      <c r="AB389" s="1106"/>
      <c r="AC389" s="1106"/>
      <c r="AD389" s="1106"/>
      <c r="AE389" s="1106"/>
      <c r="AF389" s="1106"/>
      <c r="AG389" s="1106"/>
      <c r="AI389" s="18"/>
      <c r="AJ389" s="18"/>
      <c r="AK389" s="18"/>
      <c r="AL389" s="691">
        <f>SUM(AI387:AI388)-AI389</f>
        <v>0</v>
      </c>
      <c r="AM389" s="678">
        <f>SUM(AJ387:AJ388)-AJ389</f>
        <v>0</v>
      </c>
      <c r="AN389" s="18"/>
      <c r="AO389" s="691">
        <f>P389-BS!$D$55</f>
        <v>2384602</v>
      </c>
      <c r="AP389" s="678">
        <f>Y389-BS!$G$55</f>
        <v>2842395</v>
      </c>
      <c r="AQ389" s="18"/>
    </row>
    <row r="390" spans="1:43" s="656" customFormat="1" x14ac:dyDescent="0.2">
      <c r="A390" s="666"/>
      <c r="AI390" s="18"/>
      <c r="AJ390" s="18"/>
      <c r="AK390" s="18"/>
      <c r="AL390" s="18"/>
      <c r="AM390" s="18"/>
      <c r="AN390" s="18"/>
      <c r="AO390" s="18"/>
      <c r="AP390" s="18"/>
      <c r="AQ390" s="18"/>
    </row>
    <row r="391" spans="1:43" s="656" customFormat="1" x14ac:dyDescent="0.2">
      <c r="A391" s="666"/>
      <c r="AI391" s="18"/>
      <c r="AJ391" s="18"/>
      <c r="AK391" s="18"/>
      <c r="AL391" s="18"/>
      <c r="AM391" s="18"/>
      <c r="AN391" s="18"/>
      <c r="AO391" s="18"/>
      <c r="AP391" s="18"/>
      <c r="AQ391" s="18"/>
    </row>
    <row r="392" spans="1:43" s="656" customFormat="1" x14ac:dyDescent="0.2">
      <c r="A392" s="666"/>
      <c r="D392" s="655" t="s">
        <v>1610</v>
      </c>
      <c r="AI392" s="18"/>
      <c r="AJ392" s="18"/>
      <c r="AK392" s="18"/>
      <c r="AL392" s="18"/>
      <c r="AM392" s="18"/>
      <c r="AN392" s="18"/>
      <c r="AO392" s="18"/>
      <c r="AP392" s="18"/>
      <c r="AQ392" s="18"/>
    </row>
    <row r="393" spans="1:43" s="656" customFormat="1" x14ac:dyDescent="0.2">
      <c r="A393" s="666"/>
      <c r="AI393" s="18"/>
      <c r="AJ393" s="18"/>
      <c r="AK393" s="18"/>
      <c r="AL393" s="18"/>
      <c r="AM393" s="18"/>
      <c r="AN393" s="18"/>
      <c r="AO393" s="18"/>
      <c r="AP393" s="18"/>
      <c r="AQ393" s="18"/>
    </row>
    <row r="394" spans="1:43" s="656" customFormat="1" x14ac:dyDescent="0.2">
      <c r="A394" s="18"/>
      <c r="D394" s="1111" t="s">
        <v>1469</v>
      </c>
      <c r="E394" s="1111"/>
      <c r="F394" s="1111"/>
      <c r="G394" s="1111"/>
      <c r="H394" s="1111"/>
      <c r="I394" s="1111"/>
      <c r="J394" s="1111"/>
      <c r="K394" s="1111"/>
      <c r="L394" s="1111"/>
      <c r="M394" s="1111"/>
      <c r="N394" s="1111"/>
      <c r="O394" s="1111"/>
      <c r="P394" s="1111"/>
      <c r="Q394" s="1111"/>
      <c r="R394" s="1111"/>
      <c r="S394" s="1111"/>
      <c r="T394" s="1111"/>
      <c r="U394" s="1111"/>
      <c r="V394" s="1111"/>
      <c r="W394" s="1111"/>
      <c r="X394" s="1111"/>
      <c r="Y394" s="1111"/>
      <c r="Z394" s="1111"/>
      <c r="AA394" s="1111"/>
      <c r="AB394" s="1111"/>
      <c r="AC394" s="1111"/>
      <c r="AD394" s="1111"/>
      <c r="AE394" s="1111"/>
      <c r="AF394" s="1111"/>
      <c r="AG394" s="1111"/>
      <c r="AI394" s="18"/>
      <c r="AJ394" s="18"/>
      <c r="AK394" s="18"/>
      <c r="AL394" s="18"/>
      <c r="AM394" s="18"/>
      <c r="AN394" s="18"/>
      <c r="AO394" s="18"/>
      <c r="AP394" s="18"/>
      <c r="AQ394" s="18"/>
    </row>
    <row r="395" spans="1:43" s="656" customFormat="1" ht="15" thickBot="1" x14ac:dyDescent="0.25">
      <c r="A395" s="666"/>
      <c r="AI395" s="18"/>
      <c r="AJ395" s="18"/>
      <c r="AK395" s="18"/>
      <c r="AL395" s="18"/>
      <c r="AM395" s="18"/>
      <c r="AN395" s="18"/>
      <c r="AO395" s="18"/>
      <c r="AP395" s="18"/>
      <c r="AQ395" s="18"/>
    </row>
    <row r="396" spans="1:43" s="656" customFormat="1" ht="31.5" customHeight="1" thickTop="1" thickBot="1" x14ac:dyDescent="0.25">
      <c r="A396" s="666">
        <v>18</v>
      </c>
      <c r="D396" s="1112" t="s">
        <v>131</v>
      </c>
      <c r="E396" s="1113"/>
      <c r="F396" s="1113"/>
      <c r="G396" s="1113"/>
      <c r="H396" s="1113"/>
      <c r="I396" s="1113"/>
      <c r="J396" s="1113"/>
      <c r="K396" s="1113"/>
      <c r="L396" s="1113"/>
      <c r="M396" s="1114"/>
      <c r="N396" s="1112" t="s">
        <v>2</v>
      </c>
      <c r="O396" s="1113"/>
      <c r="P396" s="1113"/>
      <c r="Q396" s="1113"/>
      <c r="R396" s="1113"/>
      <c r="S396" s="1113"/>
      <c r="T396" s="1113"/>
      <c r="U396" s="1113"/>
      <c r="V396" s="1113"/>
      <c r="W396" s="1114"/>
      <c r="X396" s="1112" t="s">
        <v>3</v>
      </c>
      <c r="Y396" s="1113"/>
      <c r="Z396" s="1113"/>
      <c r="AA396" s="1113"/>
      <c r="AB396" s="1113"/>
      <c r="AC396" s="1113"/>
      <c r="AD396" s="1113"/>
      <c r="AE396" s="1113"/>
      <c r="AF396" s="1113"/>
      <c r="AG396" s="1114"/>
      <c r="AI396" s="18"/>
      <c r="AJ396" s="18"/>
      <c r="AK396" s="18"/>
      <c r="AL396" s="661" t="s">
        <v>2</v>
      </c>
      <c r="AM396" s="661" t="s">
        <v>3</v>
      </c>
      <c r="AN396" s="18"/>
      <c r="AO396" s="661" t="s">
        <v>2</v>
      </c>
      <c r="AP396" s="661" t="s">
        <v>3</v>
      </c>
      <c r="AQ396" s="18"/>
    </row>
    <row r="397" spans="1:43" s="656" customFormat="1" ht="23.25" customHeight="1" x14ac:dyDescent="0.2">
      <c r="A397" s="666"/>
      <c r="D397" s="1116" t="s">
        <v>155</v>
      </c>
      <c r="E397" s="1117"/>
      <c r="F397" s="1117"/>
      <c r="G397" s="1117"/>
      <c r="H397" s="1117"/>
      <c r="I397" s="1117"/>
      <c r="J397" s="1117"/>
      <c r="K397" s="1117"/>
      <c r="L397" s="1117"/>
      <c r="M397" s="1118"/>
      <c r="N397" s="1119">
        <v>668</v>
      </c>
      <c r="O397" s="1120"/>
      <c r="P397" s="1120"/>
      <c r="Q397" s="1120"/>
      <c r="R397" s="1120"/>
      <c r="S397" s="1120"/>
      <c r="T397" s="1120"/>
      <c r="U397" s="1120"/>
      <c r="V397" s="1120"/>
      <c r="W397" s="1120"/>
      <c r="X397" s="1120">
        <v>974</v>
      </c>
      <c r="Y397" s="1120"/>
      <c r="Z397" s="1120"/>
      <c r="AA397" s="1120"/>
      <c r="AB397" s="1120"/>
      <c r="AC397" s="1120"/>
      <c r="AD397" s="1120"/>
      <c r="AE397" s="1120"/>
      <c r="AF397" s="1120"/>
      <c r="AG397" s="1120"/>
      <c r="AI397" s="18"/>
      <c r="AJ397" s="18"/>
      <c r="AK397" s="18"/>
      <c r="AL397" s="682"/>
      <c r="AM397" s="687"/>
      <c r="AN397" s="18"/>
      <c r="AO397" s="699" t="e">
        <f>N397+#REF!-BS!$D$65</f>
        <v>#REF!</v>
      </c>
      <c r="AP397" s="684" t="e">
        <f>X397+#REF!-BS!$G$65</f>
        <v>#REF!</v>
      </c>
      <c r="AQ397" s="18"/>
    </row>
    <row r="398" spans="1:43" s="656" customFormat="1" ht="23.25" customHeight="1" x14ac:dyDescent="0.2">
      <c r="A398" s="666"/>
      <c r="D398" s="918" t="s">
        <v>156</v>
      </c>
      <c r="E398" s="919"/>
      <c r="F398" s="919"/>
      <c r="G398" s="919"/>
      <c r="H398" s="919"/>
      <c r="I398" s="919"/>
      <c r="J398" s="919"/>
      <c r="K398" s="919"/>
      <c r="L398" s="919"/>
      <c r="M398" s="920"/>
      <c r="N398" s="1109">
        <v>11480</v>
      </c>
      <c r="O398" s="932"/>
      <c r="P398" s="932"/>
      <c r="Q398" s="932"/>
      <c r="R398" s="932"/>
      <c r="S398" s="932"/>
      <c r="T398" s="932"/>
      <c r="U398" s="932"/>
      <c r="V398" s="932"/>
      <c r="W398" s="932"/>
      <c r="X398" s="932">
        <v>11530</v>
      </c>
      <c r="Y398" s="932"/>
      <c r="Z398" s="932"/>
      <c r="AA398" s="932"/>
      <c r="AB398" s="932"/>
      <c r="AC398" s="932"/>
      <c r="AD398" s="932"/>
      <c r="AE398" s="932"/>
      <c r="AF398" s="932"/>
      <c r="AG398" s="932"/>
      <c r="AI398" s="18"/>
      <c r="AJ398" s="18"/>
      <c r="AK398" s="18"/>
      <c r="AL398" s="676"/>
      <c r="AM398" s="688"/>
      <c r="AN398" s="18"/>
      <c r="AO398" s="691">
        <f>N398-BS!$D$66</f>
        <v>11480</v>
      </c>
      <c r="AP398" s="678">
        <f>X398-BS!$G$66</f>
        <v>11530</v>
      </c>
      <c r="AQ398" s="18"/>
    </row>
    <row r="399" spans="1:43" s="656" customFormat="1" ht="23.25" customHeight="1" thickBot="1" x14ac:dyDescent="0.25">
      <c r="A399" s="666"/>
      <c r="D399" s="1058" t="s">
        <v>14</v>
      </c>
      <c r="E399" s="1059"/>
      <c r="F399" s="1059"/>
      <c r="G399" s="1059"/>
      <c r="H399" s="1059"/>
      <c r="I399" s="1059"/>
      <c r="J399" s="1059"/>
      <c r="K399" s="1059"/>
      <c r="L399" s="1059"/>
      <c r="M399" s="1060"/>
      <c r="N399" s="1115">
        <f>SUM(N397:W398)</f>
        <v>12148</v>
      </c>
      <c r="O399" s="1104"/>
      <c r="P399" s="1104"/>
      <c r="Q399" s="1104"/>
      <c r="R399" s="1104"/>
      <c r="S399" s="1104"/>
      <c r="T399" s="1104"/>
      <c r="U399" s="1104"/>
      <c r="V399" s="1104"/>
      <c r="W399" s="1104"/>
      <c r="X399" s="1115">
        <f>SUM(X397:AG398)</f>
        <v>12504</v>
      </c>
      <c r="Y399" s="1104"/>
      <c r="Z399" s="1104"/>
      <c r="AA399" s="1104"/>
      <c r="AB399" s="1104"/>
      <c r="AC399" s="1104"/>
      <c r="AD399" s="1104"/>
      <c r="AE399" s="1104"/>
      <c r="AF399" s="1104"/>
      <c r="AG399" s="1104"/>
      <c r="AI399" s="18"/>
      <c r="AJ399" s="18"/>
      <c r="AK399" s="18"/>
      <c r="AL399" s="679">
        <f>SUM(N397:W398)-N399</f>
        <v>0</v>
      </c>
      <c r="AM399" s="681">
        <f>SUM(X397:AG398)-X399</f>
        <v>0</v>
      </c>
      <c r="AN399" s="18"/>
      <c r="AO399" s="679">
        <f>N399-SUM(BS!$D$65:$D$67)</f>
        <v>12148</v>
      </c>
      <c r="AP399" s="681">
        <f>X399-SUM(BS!$G$65:$G$67)</f>
        <v>12504</v>
      </c>
      <c r="AQ399" s="18"/>
    </row>
    <row r="400" spans="1:43" s="656" customFormat="1" x14ac:dyDescent="0.2">
      <c r="A400" s="666"/>
      <c r="AI400" s="18"/>
      <c r="AJ400" s="18"/>
      <c r="AK400" s="18"/>
      <c r="AL400" s="18"/>
      <c r="AM400" s="18"/>
      <c r="AN400" s="18"/>
      <c r="AO400" s="18"/>
      <c r="AP400" s="18"/>
      <c r="AQ400" s="18"/>
    </row>
    <row r="401" spans="1:43" s="656" customFormat="1" x14ac:dyDescent="0.2">
      <c r="A401" s="666"/>
      <c r="AI401" s="18"/>
      <c r="AJ401" s="18"/>
      <c r="AK401" s="18"/>
      <c r="AL401" s="18"/>
      <c r="AM401" s="18"/>
      <c r="AN401" s="18"/>
      <c r="AO401" s="18"/>
      <c r="AP401" s="18"/>
      <c r="AQ401" s="18"/>
    </row>
    <row r="402" spans="1:43" ht="14.25" customHeight="1" x14ac:dyDescent="0.2">
      <c r="D402" s="655" t="s">
        <v>1611</v>
      </c>
    </row>
    <row r="404" spans="1:43" ht="14.25" customHeight="1" x14ac:dyDescent="0.2">
      <c r="D404" s="1111" t="s">
        <v>1470</v>
      </c>
      <c r="E404" s="1111"/>
      <c r="F404" s="1111"/>
      <c r="G404" s="1111"/>
      <c r="H404" s="1111"/>
      <c r="I404" s="1111"/>
      <c r="J404" s="1111"/>
      <c r="K404" s="1111"/>
      <c r="L404" s="1111"/>
      <c r="M404" s="1111"/>
      <c r="N404" s="1111"/>
      <c r="O404" s="1111"/>
      <c r="P404" s="1111"/>
      <c r="Q404" s="1111"/>
      <c r="R404" s="1111"/>
      <c r="S404" s="1111"/>
      <c r="T404" s="1111"/>
      <c r="U404" s="1111"/>
      <c r="V404" s="1111"/>
      <c r="W404" s="1111"/>
      <c r="X404" s="1111"/>
      <c r="Y404" s="1111"/>
      <c r="Z404" s="1111"/>
      <c r="AA404" s="1111"/>
      <c r="AB404" s="1111"/>
      <c r="AC404" s="1111"/>
      <c r="AD404" s="1111"/>
      <c r="AE404" s="1111"/>
      <c r="AF404" s="1111"/>
      <c r="AG404" s="1111"/>
    </row>
    <row r="405" spans="1:43" ht="14.25" customHeight="1" thickBot="1" x14ac:dyDescent="0.25"/>
    <row r="406" spans="1:43" ht="28.5" customHeight="1" thickTop="1" thickBot="1" x14ac:dyDescent="0.25">
      <c r="A406" s="666">
        <v>22</v>
      </c>
      <c r="D406" s="1129" t="s">
        <v>178</v>
      </c>
      <c r="E406" s="1129"/>
      <c r="F406" s="1129"/>
      <c r="G406" s="1129"/>
      <c r="H406" s="1129"/>
      <c r="I406" s="1129"/>
      <c r="J406" s="1129"/>
      <c r="K406" s="1129"/>
      <c r="L406" s="1129"/>
      <c r="M406" s="1129"/>
      <c r="N406" s="1129"/>
      <c r="O406" s="1129"/>
      <c r="P406" s="1129" t="s">
        <v>2</v>
      </c>
      <c r="Q406" s="1129"/>
      <c r="R406" s="1129"/>
      <c r="S406" s="1129"/>
      <c r="T406" s="1129"/>
      <c r="U406" s="1129"/>
      <c r="V406" s="1129"/>
      <c r="W406" s="1129"/>
      <c r="X406" s="1129"/>
      <c r="Y406" s="1129" t="s">
        <v>3</v>
      </c>
      <c r="Z406" s="1129"/>
      <c r="AA406" s="1129"/>
      <c r="AB406" s="1129"/>
      <c r="AC406" s="1129"/>
      <c r="AD406" s="1129"/>
      <c r="AE406" s="1129"/>
      <c r="AF406" s="1129"/>
      <c r="AG406" s="1129"/>
      <c r="AL406" s="661" t="s">
        <v>2</v>
      </c>
      <c r="AM406" s="661" t="s">
        <v>3</v>
      </c>
      <c r="AO406" s="661" t="s">
        <v>2</v>
      </c>
      <c r="AP406" s="661" t="s">
        <v>3</v>
      </c>
    </row>
    <row r="407" spans="1:43" ht="16.5" customHeight="1" thickBot="1" x14ac:dyDescent="0.25">
      <c r="D407" s="1006" t="s">
        <v>1530</v>
      </c>
      <c r="E407" s="1006"/>
      <c r="F407" s="1006"/>
      <c r="G407" s="1006"/>
      <c r="H407" s="1006"/>
      <c r="I407" s="1006"/>
      <c r="J407" s="1006"/>
      <c r="K407" s="1006"/>
      <c r="L407" s="1006"/>
      <c r="M407" s="1006"/>
      <c r="N407" s="1006"/>
      <c r="O407" s="1006"/>
      <c r="P407" s="1121">
        <v>17175</v>
      </c>
      <c r="Q407" s="1121"/>
      <c r="R407" s="1121"/>
      <c r="S407" s="1121"/>
      <c r="T407" s="1121"/>
      <c r="U407" s="1121"/>
      <c r="V407" s="1121"/>
      <c r="W407" s="1121"/>
      <c r="X407" s="1121"/>
      <c r="Y407" s="1122">
        <v>24961</v>
      </c>
      <c r="Z407" s="1123"/>
      <c r="AA407" s="1123"/>
      <c r="AB407" s="1123"/>
      <c r="AC407" s="1123"/>
      <c r="AD407" s="1123"/>
      <c r="AE407" s="1123"/>
      <c r="AF407" s="1123"/>
      <c r="AG407" s="1124"/>
      <c r="AL407" s="699">
        <f>SUM(P408:X410)-P407</f>
        <v>0</v>
      </c>
      <c r="AM407" s="684">
        <f>SUM(Y408:AG410)-Y407</f>
        <v>0</v>
      </c>
      <c r="AO407" s="699">
        <f>P407-BS!$D$71</f>
        <v>17175</v>
      </c>
      <c r="AP407" s="684">
        <f>Y407-BS!$G$71</f>
        <v>24961</v>
      </c>
    </row>
    <row r="408" spans="1:43" ht="16.5" customHeight="1" x14ac:dyDescent="0.2">
      <c r="D408" s="1125" t="s">
        <v>1527</v>
      </c>
      <c r="E408" s="1101"/>
      <c r="F408" s="1101"/>
      <c r="G408" s="1101"/>
      <c r="H408" s="1101"/>
      <c r="I408" s="1101"/>
      <c r="J408" s="1101"/>
      <c r="K408" s="1101"/>
      <c r="L408" s="1101"/>
      <c r="M408" s="1101"/>
      <c r="N408" s="1101"/>
      <c r="O408" s="1101"/>
      <c r="P408" s="1126">
        <v>8148</v>
      </c>
      <c r="Q408" s="1126"/>
      <c r="R408" s="1126"/>
      <c r="S408" s="1126"/>
      <c r="T408" s="1126"/>
      <c r="U408" s="1126"/>
      <c r="V408" s="1126"/>
      <c r="W408" s="1126"/>
      <c r="X408" s="1126"/>
      <c r="Y408" s="1127">
        <v>12222</v>
      </c>
      <c r="Z408" s="1127"/>
      <c r="AA408" s="1127"/>
      <c r="AB408" s="1127"/>
      <c r="AC408" s="1127"/>
      <c r="AD408" s="1127"/>
      <c r="AE408" s="1127"/>
      <c r="AF408" s="1127"/>
      <c r="AG408" s="1127"/>
      <c r="AL408" s="676"/>
      <c r="AM408" s="688"/>
      <c r="AO408" s="676"/>
      <c r="AP408" s="688"/>
    </row>
    <row r="409" spans="1:43" ht="16.5" customHeight="1" x14ac:dyDescent="0.25">
      <c r="D409" s="1130" t="s">
        <v>1528</v>
      </c>
      <c r="E409" s="1131"/>
      <c r="F409" s="1131"/>
      <c r="G409" s="1131"/>
      <c r="H409" s="1131"/>
      <c r="I409" s="1131"/>
      <c r="J409" s="1131"/>
      <c r="K409" s="1131"/>
      <c r="L409" s="1131"/>
      <c r="M409" s="1131"/>
      <c r="N409" s="1131"/>
      <c r="O409" s="1132"/>
      <c r="P409" s="1126">
        <v>8049</v>
      </c>
      <c r="Q409" s="1126"/>
      <c r="R409" s="1126"/>
      <c r="S409" s="1126"/>
      <c r="T409" s="1126"/>
      <c r="U409" s="1126"/>
      <c r="V409" s="1126"/>
      <c r="W409" s="1126"/>
      <c r="X409" s="1126"/>
      <c r="Y409" s="1133">
        <v>11604</v>
      </c>
      <c r="Z409" s="1134"/>
      <c r="AA409" s="1134"/>
      <c r="AB409" s="1134"/>
      <c r="AC409" s="1134"/>
      <c r="AD409" s="1134"/>
      <c r="AE409" s="1134"/>
      <c r="AF409" s="1134"/>
      <c r="AG409" s="1135"/>
      <c r="AL409" s="676"/>
      <c r="AM409" s="688"/>
      <c r="AO409" s="676"/>
      <c r="AP409" s="688"/>
    </row>
    <row r="410" spans="1:43" ht="16.5" customHeight="1" thickBot="1" x14ac:dyDescent="0.25">
      <c r="D410" s="1128" t="s">
        <v>1529</v>
      </c>
      <c r="E410" s="1099"/>
      <c r="F410" s="1099"/>
      <c r="G410" s="1099"/>
      <c r="H410" s="1099"/>
      <c r="I410" s="1099"/>
      <c r="J410" s="1099"/>
      <c r="K410" s="1099"/>
      <c r="L410" s="1099"/>
      <c r="M410" s="1099"/>
      <c r="N410" s="1099"/>
      <c r="O410" s="1099"/>
      <c r="P410" s="1126">
        <v>978</v>
      </c>
      <c r="Q410" s="1126"/>
      <c r="R410" s="1126"/>
      <c r="S410" s="1126"/>
      <c r="T410" s="1126"/>
      <c r="U410" s="1126"/>
      <c r="V410" s="1126"/>
      <c r="W410" s="1126"/>
      <c r="X410" s="1126"/>
      <c r="Y410" s="1127">
        <v>1135</v>
      </c>
      <c r="Z410" s="1127"/>
      <c r="AA410" s="1127"/>
      <c r="AB410" s="1127"/>
      <c r="AC410" s="1127"/>
      <c r="AD410" s="1127"/>
      <c r="AE410" s="1127"/>
      <c r="AF410" s="1127"/>
      <c r="AG410" s="1127"/>
      <c r="AL410" s="676"/>
      <c r="AM410" s="688"/>
      <c r="AO410" s="676"/>
      <c r="AP410" s="688"/>
    </row>
    <row r="411" spans="1:43" ht="16.5" customHeight="1" thickBot="1" x14ac:dyDescent="0.25">
      <c r="D411" s="1006" t="s">
        <v>182</v>
      </c>
      <c r="E411" s="1006"/>
      <c r="F411" s="1006"/>
      <c r="G411" s="1006"/>
      <c r="H411" s="1006"/>
      <c r="I411" s="1006"/>
      <c r="J411" s="1006"/>
      <c r="K411" s="1006"/>
      <c r="L411" s="1006"/>
      <c r="M411" s="1006"/>
      <c r="N411" s="1006"/>
      <c r="O411" s="1006"/>
      <c r="P411" s="1121" t="s">
        <v>1436</v>
      </c>
      <c r="Q411" s="1121"/>
      <c r="R411" s="1121"/>
      <c r="S411" s="1121"/>
      <c r="T411" s="1121"/>
      <c r="U411" s="1121"/>
      <c r="V411" s="1121"/>
      <c r="W411" s="1121"/>
      <c r="X411" s="1121"/>
      <c r="Y411" s="1122">
        <v>972</v>
      </c>
      <c r="Z411" s="1123"/>
      <c r="AA411" s="1123"/>
      <c r="AB411" s="1123"/>
      <c r="AC411" s="1123"/>
      <c r="AD411" s="1123"/>
      <c r="AE411" s="1123"/>
      <c r="AF411" s="1123"/>
      <c r="AG411" s="1124"/>
      <c r="AL411" s="691" t="e">
        <f>SUM(P412:X412)-P411</f>
        <v>#VALUE!</v>
      </c>
      <c r="AM411" s="678">
        <f>SUM(Y412:AG412)-Y411</f>
        <v>0</v>
      </c>
      <c r="AO411" s="691" t="e">
        <f>P411-BS!$D$74</f>
        <v>#VALUE!</v>
      </c>
      <c r="AP411" s="678">
        <f>Y411-BS!$G$74</f>
        <v>972</v>
      </c>
    </row>
    <row r="412" spans="1:43" ht="16.5" customHeight="1" thickBot="1" x14ac:dyDescent="0.25">
      <c r="D412" s="1128" t="s">
        <v>1531</v>
      </c>
      <c r="E412" s="1099"/>
      <c r="F412" s="1099"/>
      <c r="G412" s="1099"/>
      <c r="H412" s="1099"/>
      <c r="I412" s="1099"/>
      <c r="J412" s="1099"/>
      <c r="K412" s="1099"/>
      <c r="L412" s="1099"/>
      <c r="M412" s="1099"/>
      <c r="N412" s="1099"/>
      <c r="O412" s="1099"/>
      <c r="P412" s="1136" t="s">
        <v>1436</v>
      </c>
      <c r="Q412" s="1136"/>
      <c r="R412" s="1136"/>
      <c r="S412" s="1136"/>
      <c r="T412" s="1136"/>
      <c r="U412" s="1136"/>
      <c r="V412" s="1136"/>
      <c r="W412" s="1136"/>
      <c r="X412" s="1136"/>
      <c r="Y412" s="1136">
        <v>972</v>
      </c>
      <c r="Z412" s="1136"/>
      <c r="AA412" s="1136"/>
      <c r="AB412" s="1136"/>
      <c r="AC412" s="1136"/>
      <c r="AD412" s="1136"/>
      <c r="AE412" s="1136"/>
      <c r="AF412" s="1136"/>
      <c r="AG412" s="1136"/>
      <c r="AL412" s="676"/>
      <c r="AM412" s="688"/>
      <c r="AO412" s="676"/>
      <c r="AP412" s="688"/>
    </row>
    <row r="415" spans="1:43" ht="14.25" customHeight="1" x14ac:dyDescent="0.2">
      <c r="D415" s="655" t="s">
        <v>1612</v>
      </c>
    </row>
    <row r="417" spans="1:39" ht="14.25" customHeight="1" x14ac:dyDescent="0.2">
      <c r="D417" s="1004" t="s">
        <v>1592</v>
      </c>
      <c r="E417" s="1028"/>
      <c r="F417" s="1028"/>
      <c r="G417" s="1028"/>
      <c r="H417" s="1028"/>
      <c r="I417" s="1028"/>
      <c r="J417" s="1028"/>
      <c r="K417" s="1028"/>
      <c r="L417" s="1028"/>
      <c r="M417" s="1028"/>
      <c r="N417" s="1028"/>
      <c r="O417" s="1028"/>
      <c r="P417" s="1028"/>
      <c r="Q417" s="1028"/>
      <c r="R417" s="1028"/>
      <c r="S417" s="1028"/>
      <c r="T417" s="1028"/>
      <c r="U417" s="1028"/>
      <c r="V417" s="1028"/>
      <c r="W417" s="1028"/>
      <c r="X417" s="1028"/>
      <c r="Y417" s="1028"/>
      <c r="Z417" s="1028"/>
      <c r="AA417" s="1028"/>
      <c r="AB417" s="1028"/>
      <c r="AC417" s="1028"/>
      <c r="AD417" s="1028"/>
      <c r="AE417" s="1028"/>
      <c r="AF417" s="1028"/>
      <c r="AG417" s="1028"/>
    </row>
    <row r="418" spans="1:39" ht="14.25" customHeight="1" x14ac:dyDescent="0.2">
      <c r="D418" s="1028"/>
      <c r="E418" s="1028"/>
      <c r="F418" s="1028"/>
      <c r="G418" s="1028"/>
      <c r="H418" s="1028"/>
      <c r="I418" s="1028"/>
      <c r="J418" s="1028"/>
      <c r="K418" s="1028"/>
      <c r="L418" s="1028"/>
      <c r="M418" s="1028"/>
      <c r="N418" s="1028"/>
      <c r="O418" s="1028"/>
      <c r="P418" s="1028"/>
      <c r="Q418" s="1028"/>
      <c r="R418" s="1028"/>
      <c r="S418" s="1028"/>
      <c r="T418" s="1028"/>
      <c r="U418" s="1028"/>
      <c r="V418" s="1028"/>
      <c r="W418" s="1028"/>
      <c r="X418" s="1028"/>
      <c r="Y418" s="1028"/>
      <c r="Z418" s="1028"/>
      <c r="AA418" s="1028"/>
      <c r="AB418" s="1028"/>
      <c r="AC418" s="1028"/>
      <c r="AD418" s="1028"/>
      <c r="AE418" s="1028"/>
      <c r="AF418" s="1028"/>
      <c r="AG418" s="1028"/>
    </row>
    <row r="419" spans="1:39" ht="14.25" customHeight="1" x14ac:dyDescent="0.2">
      <c r="D419" s="1029" t="s">
        <v>1471</v>
      </c>
      <c r="E419" s="1029"/>
      <c r="F419" s="1029"/>
      <c r="G419" s="1029"/>
      <c r="H419" s="1029"/>
      <c r="I419" s="1029"/>
      <c r="J419" s="1029"/>
      <c r="K419" s="1029"/>
      <c r="L419" s="1029"/>
      <c r="M419" s="1029"/>
      <c r="N419" s="1029"/>
      <c r="O419" s="1029"/>
      <c r="P419" s="1029"/>
      <c r="Q419" s="1029"/>
      <c r="R419" s="1029"/>
      <c r="S419" s="1029"/>
      <c r="T419" s="1029"/>
      <c r="U419" s="1029"/>
      <c r="V419" s="1029"/>
      <c r="W419" s="1029"/>
      <c r="X419" s="1029"/>
      <c r="Y419" s="1029"/>
      <c r="Z419" s="1029"/>
      <c r="AA419" s="1029"/>
      <c r="AB419" s="1029"/>
      <c r="AC419" s="1029"/>
      <c r="AD419" s="1029"/>
      <c r="AE419" s="1029"/>
      <c r="AF419" s="1029"/>
      <c r="AG419" s="1029"/>
    </row>
    <row r="421" spans="1:39" ht="14.25" customHeight="1" thickBot="1" x14ac:dyDescent="0.25">
      <c r="AM421" s="702"/>
    </row>
    <row r="422" spans="1:39" ht="15.75" customHeight="1" thickBot="1" x14ac:dyDescent="0.25">
      <c r="A422" s="666" t="s">
        <v>1472</v>
      </c>
      <c r="D422" s="1146" t="s">
        <v>131</v>
      </c>
      <c r="E422" s="1147"/>
      <c r="F422" s="1147"/>
      <c r="G422" s="1147"/>
      <c r="H422" s="1147"/>
      <c r="I422" s="1147"/>
      <c r="J422" s="1147"/>
      <c r="K422" s="1147"/>
      <c r="L422" s="1147"/>
      <c r="M422" s="1147"/>
      <c r="N422" s="1147"/>
      <c r="O422" s="1147"/>
      <c r="P422" s="1147"/>
      <c r="Q422" s="1148"/>
      <c r="R422" s="960" t="s">
        <v>3</v>
      </c>
      <c r="S422" s="960"/>
      <c r="T422" s="960"/>
      <c r="U422" s="960"/>
      <c r="V422" s="960"/>
      <c r="W422" s="960"/>
      <c r="X422" s="960"/>
      <c r="Y422" s="960"/>
      <c r="Z422" s="960"/>
      <c r="AA422" s="960"/>
      <c r="AB422" s="960"/>
      <c r="AC422" s="960"/>
      <c r="AD422" s="960"/>
      <c r="AE422" s="960"/>
      <c r="AF422" s="960"/>
      <c r="AG422" s="960"/>
      <c r="AM422" s="702"/>
    </row>
    <row r="423" spans="1:39" ht="15.75" customHeight="1" thickBot="1" x14ac:dyDescent="0.25">
      <c r="D423" s="1143" t="s">
        <v>201</v>
      </c>
      <c r="E423" s="1144"/>
      <c r="F423" s="1144"/>
      <c r="G423" s="1144"/>
      <c r="H423" s="1144"/>
      <c r="I423" s="1144"/>
      <c r="J423" s="1144"/>
      <c r="K423" s="1144"/>
      <c r="L423" s="1144"/>
      <c r="M423" s="1144"/>
      <c r="N423" s="1144"/>
      <c r="O423" s="1144"/>
      <c r="P423" s="1144"/>
      <c r="Q423" s="1145"/>
      <c r="R423" s="1152">
        <v>-821752</v>
      </c>
      <c r="S423" s="1152"/>
      <c r="T423" s="1152"/>
      <c r="U423" s="1152"/>
      <c r="V423" s="1152"/>
      <c r="W423" s="1152"/>
      <c r="X423" s="1152"/>
      <c r="Y423" s="1152"/>
      <c r="Z423" s="1152"/>
      <c r="AA423" s="1152"/>
      <c r="AB423" s="1152"/>
      <c r="AC423" s="1152"/>
      <c r="AD423" s="1152"/>
      <c r="AE423" s="1152"/>
      <c r="AF423" s="1152"/>
      <c r="AG423" s="1152"/>
      <c r="AM423" s="702"/>
    </row>
    <row r="424" spans="1:39" ht="15.75" customHeight="1" thickBot="1" x14ac:dyDescent="0.25">
      <c r="D424" s="1143" t="s">
        <v>202</v>
      </c>
      <c r="E424" s="1144"/>
      <c r="F424" s="1144"/>
      <c r="G424" s="1144"/>
      <c r="H424" s="1144"/>
      <c r="I424" s="1144"/>
      <c r="J424" s="1144"/>
      <c r="K424" s="1144"/>
      <c r="L424" s="1144"/>
      <c r="M424" s="1144"/>
      <c r="N424" s="1144"/>
      <c r="O424" s="1144"/>
      <c r="P424" s="1144"/>
      <c r="Q424" s="1145"/>
      <c r="R424" s="960" t="s">
        <v>2</v>
      </c>
      <c r="S424" s="960"/>
      <c r="T424" s="960"/>
      <c r="U424" s="960"/>
      <c r="V424" s="960"/>
      <c r="W424" s="960"/>
      <c r="X424" s="960"/>
      <c r="Y424" s="960"/>
      <c r="Z424" s="960"/>
      <c r="AA424" s="960"/>
      <c r="AB424" s="960"/>
      <c r="AC424" s="960"/>
      <c r="AD424" s="960"/>
      <c r="AE424" s="960"/>
      <c r="AF424" s="960"/>
      <c r="AG424" s="960"/>
      <c r="AM424" s="702"/>
    </row>
    <row r="425" spans="1:39" ht="15.75" customHeight="1" x14ac:dyDescent="0.2">
      <c r="D425" s="1140" t="s">
        <v>207</v>
      </c>
      <c r="E425" s="1141"/>
      <c r="F425" s="1141"/>
      <c r="G425" s="1141"/>
      <c r="H425" s="1141"/>
      <c r="I425" s="1141"/>
      <c r="J425" s="1141"/>
      <c r="K425" s="1141"/>
      <c r="L425" s="1141"/>
      <c r="M425" s="1141"/>
      <c r="N425" s="1141"/>
      <c r="O425" s="1141"/>
      <c r="P425" s="1141"/>
      <c r="Q425" s="1142"/>
      <c r="R425" s="932">
        <v>821752</v>
      </c>
      <c r="S425" s="932"/>
      <c r="T425" s="932"/>
      <c r="U425" s="932"/>
      <c r="V425" s="932"/>
      <c r="W425" s="932"/>
      <c r="X425" s="932"/>
      <c r="Y425" s="932"/>
      <c r="Z425" s="932"/>
      <c r="AA425" s="932"/>
      <c r="AB425" s="932"/>
      <c r="AC425" s="932"/>
      <c r="AD425" s="932"/>
      <c r="AE425" s="932"/>
      <c r="AF425" s="932"/>
      <c r="AG425" s="932"/>
      <c r="AM425" s="702"/>
    </row>
    <row r="426" spans="1:39" ht="15.75" customHeight="1" thickBot="1" x14ac:dyDescent="0.25">
      <c r="D426" s="1137" t="s">
        <v>208</v>
      </c>
      <c r="E426" s="1138"/>
      <c r="F426" s="1138"/>
      <c r="G426" s="1138"/>
      <c r="H426" s="1138"/>
      <c r="I426" s="1138"/>
      <c r="J426" s="1138"/>
      <c r="K426" s="1138"/>
      <c r="L426" s="1138"/>
      <c r="M426" s="1138"/>
      <c r="N426" s="1138"/>
      <c r="O426" s="1138"/>
      <c r="P426" s="1138"/>
      <c r="Q426" s="1139"/>
      <c r="R426" s="1149" t="s">
        <v>1436</v>
      </c>
      <c r="S426" s="1150"/>
      <c r="T426" s="1150"/>
      <c r="U426" s="1150"/>
      <c r="V426" s="1150"/>
      <c r="W426" s="1150"/>
      <c r="X426" s="1150"/>
      <c r="Y426" s="1150"/>
      <c r="Z426" s="1150"/>
      <c r="AA426" s="1150"/>
      <c r="AB426" s="1150"/>
      <c r="AC426" s="1150"/>
      <c r="AD426" s="1150"/>
      <c r="AE426" s="1150"/>
      <c r="AF426" s="1150"/>
      <c r="AG426" s="1151"/>
      <c r="AM426" s="686" t="e">
        <f>SUM(R425:AG425)-R426</f>
        <v>#VALUE!</v>
      </c>
    </row>
    <row r="427" spans="1:39" ht="15.75" customHeight="1" x14ac:dyDescent="0.2">
      <c r="D427" s="906"/>
      <c r="E427" s="906"/>
      <c r="F427" s="906"/>
      <c r="G427" s="906"/>
      <c r="H427" s="906"/>
      <c r="I427" s="906"/>
      <c r="J427" s="906"/>
      <c r="K427" s="906"/>
      <c r="L427" s="906"/>
      <c r="M427" s="906"/>
      <c r="N427" s="906"/>
      <c r="O427" s="906"/>
      <c r="P427" s="906"/>
      <c r="Q427" s="906"/>
      <c r="R427" s="907"/>
      <c r="S427" s="900"/>
      <c r="T427" s="900"/>
      <c r="U427" s="900"/>
      <c r="V427" s="900"/>
      <c r="W427" s="900"/>
      <c r="X427" s="900"/>
      <c r="Y427" s="900"/>
      <c r="Z427" s="900"/>
      <c r="AA427" s="900"/>
      <c r="AB427" s="900"/>
      <c r="AC427" s="900"/>
      <c r="AD427" s="900"/>
      <c r="AE427" s="900"/>
      <c r="AF427" s="900"/>
      <c r="AG427" s="900"/>
      <c r="AM427" s="723"/>
    </row>
    <row r="428" spans="1:39" ht="15.75" customHeight="1" x14ac:dyDescent="0.2">
      <c r="D428" s="906"/>
      <c r="E428" s="906"/>
      <c r="F428" s="906"/>
      <c r="G428" s="906"/>
      <c r="H428" s="906"/>
      <c r="I428" s="906"/>
      <c r="J428" s="906"/>
      <c r="K428" s="906"/>
      <c r="L428" s="906"/>
      <c r="M428" s="906"/>
      <c r="N428" s="906"/>
      <c r="O428" s="906"/>
      <c r="P428" s="906"/>
      <c r="Q428" s="906"/>
      <c r="R428" s="907"/>
      <c r="S428" s="900"/>
      <c r="T428" s="900"/>
      <c r="U428" s="900"/>
      <c r="V428" s="900"/>
      <c r="W428" s="900"/>
      <c r="X428" s="900"/>
      <c r="Y428" s="900"/>
      <c r="Z428" s="900"/>
      <c r="AA428" s="900"/>
      <c r="AB428" s="900"/>
      <c r="AC428" s="900"/>
      <c r="AD428" s="900"/>
      <c r="AE428" s="900"/>
      <c r="AF428" s="900"/>
      <c r="AG428" s="900"/>
      <c r="AM428" s="723"/>
    </row>
    <row r="429" spans="1:39" ht="15.75" customHeight="1" x14ac:dyDescent="0.2">
      <c r="D429" s="906"/>
      <c r="E429" s="906"/>
      <c r="F429" s="906"/>
      <c r="G429" s="906"/>
      <c r="H429" s="906"/>
      <c r="I429" s="906"/>
      <c r="J429" s="906"/>
      <c r="K429" s="906"/>
      <c r="L429" s="906"/>
      <c r="M429" s="906"/>
      <c r="N429" s="906"/>
      <c r="O429" s="906"/>
      <c r="P429" s="906"/>
      <c r="Q429" s="906"/>
      <c r="R429" s="907"/>
      <c r="S429" s="900"/>
      <c r="T429" s="900"/>
      <c r="U429" s="900"/>
      <c r="V429" s="900"/>
      <c r="W429" s="900"/>
      <c r="X429" s="900"/>
      <c r="Y429" s="900"/>
      <c r="Z429" s="900"/>
      <c r="AA429" s="900"/>
      <c r="AB429" s="900"/>
      <c r="AC429" s="900"/>
      <c r="AD429" s="900"/>
      <c r="AE429" s="900"/>
      <c r="AF429" s="900"/>
      <c r="AG429" s="900"/>
      <c r="AM429" s="723"/>
    </row>
    <row r="430" spans="1:39" ht="15.75" customHeight="1" x14ac:dyDescent="0.2">
      <c r="D430" s="906"/>
      <c r="E430" s="906"/>
      <c r="F430" s="906"/>
      <c r="G430" s="906"/>
      <c r="H430" s="906"/>
      <c r="I430" s="906"/>
      <c r="J430" s="906"/>
      <c r="K430" s="906"/>
      <c r="L430" s="906"/>
      <c r="M430" s="906"/>
      <c r="N430" s="906"/>
      <c r="O430" s="906"/>
      <c r="P430" s="906"/>
      <c r="Q430" s="906"/>
      <c r="R430" s="907"/>
      <c r="S430" s="900"/>
      <c r="T430" s="900"/>
      <c r="U430" s="900"/>
      <c r="V430" s="900"/>
      <c r="W430" s="900"/>
      <c r="X430" s="900"/>
      <c r="Y430" s="900"/>
      <c r="Z430" s="900"/>
      <c r="AA430" s="900"/>
      <c r="AB430" s="900"/>
      <c r="AC430" s="900"/>
      <c r="AD430" s="900"/>
      <c r="AE430" s="900"/>
      <c r="AF430" s="900"/>
      <c r="AG430" s="900"/>
      <c r="AM430" s="723"/>
    </row>
    <row r="431" spans="1:39" ht="15.75" customHeight="1" x14ac:dyDescent="0.2">
      <c r="D431" s="906"/>
      <c r="E431" s="906"/>
      <c r="F431" s="906"/>
      <c r="G431" s="906"/>
      <c r="H431" s="906"/>
      <c r="I431" s="906"/>
      <c r="J431" s="906"/>
      <c r="K431" s="906"/>
      <c r="L431" s="906"/>
      <c r="M431" s="906"/>
      <c r="N431" s="906"/>
      <c r="O431" s="906"/>
      <c r="P431" s="906"/>
      <c r="Q431" s="906"/>
      <c r="R431" s="907"/>
      <c r="S431" s="900"/>
      <c r="T431" s="900"/>
      <c r="U431" s="900"/>
      <c r="V431" s="900"/>
      <c r="W431" s="900"/>
      <c r="X431" s="900"/>
      <c r="Y431" s="900"/>
      <c r="Z431" s="900"/>
      <c r="AA431" s="900"/>
      <c r="AB431" s="900"/>
      <c r="AC431" s="900"/>
      <c r="AD431" s="900"/>
      <c r="AE431" s="900"/>
      <c r="AF431" s="900"/>
      <c r="AG431" s="900"/>
      <c r="AM431" s="723"/>
    </row>
    <row r="432" spans="1:39" ht="15.75" customHeight="1" x14ac:dyDescent="0.2">
      <c r="D432" s="906"/>
      <c r="E432" s="906"/>
      <c r="F432" s="906"/>
      <c r="G432" s="906"/>
      <c r="H432" s="906"/>
      <c r="I432" s="906"/>
      <c r="J432" s="906"/>
      <c r="K432" s="906"/>
      <c r="L432" s="906"/>
      <c r="M432" s="906"/>
      <c r="N432" s="906"/>
      <c r="O432" s="906"/>
      <c r="P432" s="906"/>
      <c r="Q432" s="906"/>
      <c r="R432" s="907"/>
      <c r="S432" s="900"/>
      <c r="T432" s="900"/>
      <c r="U432" s="900"/>
      <c r="V432" s="900"/>
      <c r="W432" s="900"/>
      <c r="X432" s="900"/>
      <c r="Y432" s="900"/>
      <c r="Z432" s="900"/>
      <c r="AA432" s="900"/>
      <c r="AB432" s="900"/>
      <c r="AC432" s="900"/>
      <c r="AD432" s="900"/>
      <c r="AE432" s="900"/>
      <c r="AF432" s="900"/>
      <c r="AG432" s="900"/>
      <c r="AM432" s="723"/>
    </row>
    <row r="433" spans="1:41" ht="15.75" customHeight="1" x14ac:dyDescent="0.2">
      <c r="D433" s="906"/>
      <c r="E433" s="906"/>
      <c r="F433" s="906"/>
      <c r="G433" s="906"/>
      <c r="H433" s="906"/>
      <c r="I433" s="906"/>
      <c r="J433" s="906"/>
      <c r="K433" s="906"/>
      <c r="L433" s="906"/>
      <c r="M433" s="906"/>
      <c r="N433" s="906"/>
      <c r="O433" s="906"/>
      <c r="P433" s="906"/>
      <c r="Q433" s="906"/>
      <c r="R433" s="907"/>
      <c r="S433" s="900"/>
      <c r="T433" s="900"/>
      <c r="U433" s="900"/>
      <c r="V433" s="900"/>
      <c r="W433" s="900"/>
      <c r="X433" s="900"/>
      <c r="Y433" s="900"/>
      <c r="Z433" s="900"/>
      <c r="AA433" s="900"/>
      <c r="AB433" s="900"/>
      <c r="AC433" s="900"/>
      <c r="AD433" s="900"/>
      <c r="AE433" s="900"/>
      <c r="AF433" s="900"/>
      <c r="AG433" s="900"/>
      <c r="AM433" s="723"/>
    </row>
    <row r="434" spans="1:41" ht="15.75" customHeight="1" x14ac:dyDescent="0.2">
      <c r="D434" s="906"/>
      <c r="E434" s="906"/>
      <c r="F434" s="906"/>
      <c r="G434" s="906"/>
      <c r="H434" s="906"/>
      <c r="I434" s="906"/>
      <c r="J434" s="906"/>
      <c r="K434" s="906"/>
      <c r="L434" s="906"/>
      <c r="M434" s="906"/>
      <c r="N434" s="906"/>
      <c r="O434" s="906"/>
      <c r="P434" s="906"/>
      <c r="Q434" s="906"/>
      <c r="R434" s="907"/>
      <c r="S434" s="900"/>
      <c r="T434" s="900"/>
      <c r="U434" s="900"/>
      <c r="V434" s="900"/>
      <c r="W434" s="900"/>
      <c r="X434" s="900"/>
      <c r="Y434" s="900"/>
      <c r="Z434" s="900"/>
      <c r="AA434" s="900"/>
      <c r="AB434" s="900"/>
      <c r="AC434" s="900"/>
      <c r="AD434" s="900"/>
      <c r="AE434" s="900"/>
      <c r="AF434" s="900"/>
      <c r="AG434" s="900"/>
      <c r="AM434" s="723"/>
    </row>
    <row r="435" spans="1:41" ht="15.75" customHeight="1" x14ac:dyDescent="0.2">
      <c r="D435" s="906"/>
      <c r="E435" s="906"/>
      <c r="F435" s="906"/>
      <c r="G435" s="906"/>
      <c r="H435" s="906"/>
      <c r="I435" s="906"/>
      <c r="J435" s="906"/>
      <c r="K435" s="906"/>
      <c r="L435" s="906"/>
      <c r="M435" s="906"/>
      <c r="N435" s="906"/>
      <c r="O435" s="906"/>
      <c r="P435" s="906"/>
      <c r="Q435" s="906"/>
      <c r="R435" s="907"/>
      <c r="S435" s="900"/>
      <c r="T435" s="900"/>
      <c r="U435" s="900"/>
      <c r="V435" s="900"/>
      <c r="W435" s="900"/>
      <c r="X435" s="900"/>
      <c r="Y435" s="900"/>
      <c r="Z435" s="900"/>
      <c r="AA435" s="900"/>
      <c r="AB435" s="900"/>
      <c r="AC435" s="900"/>
      <c r="AD435" s="900"/>
      <c r="AE435" s="900"/>
      <c r="AF435" s="900"/>
      <c r="AG435" s="900"/>
      <c r="AM435" s="723"/>
    </row>
    <row r="439" spans="1:41" ht="14.25" customHeight="1" x14ac:dyDescent="0.2">
      <c r="D439" s="1111" t="s">
        <v>1473</v>
      </c>
      <c r="E439" s="1111"/>
      <c r="F439" s="1111"/>
      <c r="G439" s="1111"/>
      <c r="H439" s="1111"/>
      <c r="I439" s="1111"/>
      <c r="J439" s="1111"/>
      <c r="K439" s="1111"/>
      <c r="L439" s="1111"/>
      <c r="M439" s="1111"/>
      <c r="N439" s="1111"/>
      <c r="O439" s="1111"/>
      <c r="P439" s="1111"/>
      <c r="Q439" s="1111"/>
      <c r="R439" s="1111"/>
      <c r="S439" s="1111"/>
      <c r="T439" s="1111"/>
      <c r="U439" s="1111"/>
      <c r="V439" s="1111"/>
      <c r="W439" s="1111"/>
      <c r="X439" s="1111"/>
      <c r="Y439" s="1111"/>
      <c r="Z439" s="1111"/>
      <c r="AA439" s="1111"/>
      <c r="AB439" s="1111"/>
      <c r="AC439" s="1111"/>
      <c r="AD439" s="1111"/>
      <c r="AE439" s="1111"/>
      <c r="AF439" s="1111"/>
      <c r="AG439" s="1111"/>
    </row>
    <row r="440" spans="1:41" ht="14.25" customHeight="1" thickBot="1" x14ac:dyDescent="0.25"/>
    <row r="441" spans="1:41" ht="14.25" customHeight="1" thickBot="1" x14ac:dyDescent="0.25">
      <c r="A441" s="666" t="s">
        <v>1474</v>
      </c>
      <c r="D441" s="960" t="s">
        <v>465</v>
      </c>
      <c r="E441" s="960"/>
      <c r="F441" s="960"/>
      <c r="G441" s="960"/>
      <c r="H441" s="960"/>
      <c r="I441" s="960"/>
      <c r="J441" s="960"/>
      <c r="K441" s="960"/>
      <c r="L441" s="960"/>
      <c r="M441" s="960"/>
      <c r="N441" s="960" t="s">
        <v>2</v>
      </c>
      <c r="O441" s="960"/>
      <c r="P441" s="960"/>
      <c r="Q441" s="960"/>
      <c r="R441" s="960"/>
      <c r="S441" s="960"/>
      <c r="T441" s="960"/>
      <c r="U441" s="960"/>
      <c r="V441" s="960"/>
      <c r="W441" s="960"/>
      <c r="X441" s="960"/>
      <c r="Y441" s="960"/>
      <c r="Z441" s="960"/>
      <c r="AA441" s="960"/>
      <c r="AB441" s="960"/>
      <c r="AC441" s="960"/>
      <c r="AD441" s="960"/>
      <c r="AE441" s="960"/>
      <c r="AF441" s="960"/>
      <c r="AG441" s="960"/>
    </row>
    <row r="442" spans="1:41" ht="49.5" customHeight="1" thickTop="1" thickBot="1" x14ac:dyDescent="0.25">
      <c r="D442" s="960"/>
      <c r="E442" s="960"/>
      <c r="F442" s="960"/>
      <c r="G442" s="960"/>
      <c r="H442" s="960"/>
      <c r="I442" s="960"/>
      <c r="J442" s="960"/>
      <c r="K442" s="960"/>
      <c r="L442" s="960"/>
      <c r="M442" s="960"/>
      <c r="N442" s="959" t="s">
        <v>472</v>
      </c>
      <c r="O442" s="959"/>
      <c r="P442" s="959"/>
      <c r="Q442" s="959"/>
      <c r="R442" s="959" t="s">
        <v>27</v>
      </c>
      <c r="S442" s="959"/>
      <c r="T442" s="959"/>
      <c r="U442" s="959"/>
      <c r="V442" s="959" t="s">
        <v>28</v>
      </c>
      <c r="W442" s="959"/>
      <c r="X442" s="959"/>
      <c r="Y442" s="959"/>
      <c r="Z442" s="959" t="s">
        <v>29</v>
      </c>
      <c r="AA442" s="959"/>
      <c r="AB442" s="959"/>
      <c r="AC442" s="959"/>
      <c r="AD442" s="959" t="s">
        <v>392</v>
      </c>
      <c r="AE442" s="959"/>
      <c r="AF442" s="959"/>
      <c r="AG442" s="959"/>
      <c r="AL442" s="661" t="s">
        <v>472</v>
      </c>
      <c r="AM442" s="661" t="s">
        <v>392</v>
      </c>
      <c r="AO442" s="661" t="s">
        <v>392</v>
      </c>
    </row>
    <row r="443" spans="1:41" ht="27" customHeight="1" x14ac:dyDescent="0.2">
      <c r="D443" s="1153" t="s">
        <v>393</v>
      </c>
      <c r="E443" s="1153"/>
      <c r="F443" s="1153"/>
      <c r="G443" s="1153"/>
      <c r="H443" s="1153"/>
      <c r="I443" s="1153"/>
      <c r="J443" s="1153"/>
      <c r="K443" s="1153"/>
      <c r="L443" s="1153"/>
      <c r="M443" s="1153"/>
      <c r="N443" s="1154">
        <v>17928036</v>
      </c>
      <c r="O443" s="1154"/>
      <c r="P443" s="1154"/>
      <c r="Q443" s="1154"/>
      <c r="R443" s="1103" t="s">
        <v>1436</v>
      </c>
      <c r="S443" s="932"/>
      <c r="T443" s="932"/>
      <c r="U443" s="932"/>
      <c r="V443" s="1103" t="s">
        <v>1436</v>
      </c>
      <c r="W443" s="932"/>
      <c r="X443" s="932"/>
      <c r="Y443" s="932"/>
      <c r="Z443" s="1103" t="s">
        <v>1436</v>
      </c>
      <c r="AA443" s="932"/>
      <c r="AB443" s="932"/>
      <c r="AC443" s="932"/>
      <c r="AD443" s="1155">
        <f>N443</f>
        <v>17928036</v>
      </c>
      <c r="AE443" s="1155"/>
      <c r="AF443" s="1155"/>
      <c r="AG443" s="1155"/>
      <c r="AL443" s="703">
        <f>N443-AD452</f>
        <v>0</v>
      </c>
      <c r="AM443" s="706">
        <f>SUM(N443:AC443)-AD443</f>
        <v>0</v>
      </c>
      <c r="AO443" s="705">
        <f>AD443-BS!$D$84</f>
        <v>17928036</v>
      </c>
    </row>
    <row r="444" spans="1:41" ht="27" customHeight="1" x14ac:dyDescent="0.2">
      <c r="D444" s="1002" t="s">
        <v>399</v>
      </c>
      <c r="E444" s="1002"/>
      <c r="F444" s="1002"/>
      <c r="G444" s="1002"/>
      <c r="H444" s="1002"/>
      <c r="I444" s="1002"/>
      <c r="J444" s="1002"/>
      <c r="K444" s="1002"/>
      <c r="L444" s="1002"/>
      <c r="M444" s="1002"/>
      <c r="N444" s="932">
        <v>9065</v>
      </c>
      <c r="O444" s="932"/>
      <c r="P444" s="932"/>
      <c r="Q444" s="932"/>
      <c r="R444" s="1103" t="s">
        <v>1436</v>
      </c>
      <c r="S444" s="932"/>
      <c r="T444" s="932"/>
      <c r="U444" s="932"/>
      <c r="V444" s="1103" t="s">
        <v>1436</v>
      </c>
      <c r="W444" s="932"/>
      <c r="X444" s="932"/>
      <c r="Y444" s="932"/>
      <c r="Z444" s="1103" t="s">
        <v>1436</v>
      </c>
      <c r="AA444" s="932"/>
      <c r="AB444" s="932"/>
      <c r="AC444" s="932"/>
      <c r="AD444" s="1033">
        <f>N444</f>
        <v>9065</v>
      </c>
      <c r="AE444" s="1033"/>
      <c r="AF444" s="1033"/>
      <c r="AG444" s="1033"/>
      <c r="AL444" s="430">
        <f>N444-AD453</f>
        <v>0</v>
      </c>
      <c r="AM444" s="428">
        <f t="shared" ref="AM444:AM447" si="10">SUM(N444:AC444)-AD444</f>
        <v>0</v>
      </c>
      <c r="AO444" s="431">
        <f>AD444-BS!$D$96</f>
        <v>9065</v>
      </c>
    </row>
    <row r="445" spans="1:41" ht="27" customHeight="1" x14ac:dyDescent="0.2">
      <c r="D445" s="1002" t="s">
        <v>402</v>
      </c>
      <c r="E445" s="1002"/>
      <c r="F445" s="1002"/>
      <c r="G445" s="1002"/>
      <c r="H445" s="1002"/>
      <c r="I445" s="1002"/>
      <c r="J445" s="1002"/>
      <c r="K445" s="1002"/>
      <c r="L445" s="1002"/>
      <c r="M445" s="1002"/>
      <c r="N445" s="932">
        <v>260429</v>
      </c>
      <c r="O445" s="932"/>
      <c r="P445" s="932"/>
      <c r="Q445" s="932"/>
      <c r="R445" s="1103" t="s">
        <v>1436</v>
      </c>
      <c r="S445" s="932"/>
      <c r="T445" s="932"/>
      <c r="U445" s="932"/>
      <c r="V445" s="1103" t="s">
        <v>1436</v>
      </c>
      <c r="W445" s="932"/>
      <c r="X445" s="932"/>
      <c r="Y445" s="932"/>
      <c r="Z445" s="1103" t="s">
        <v>1436</v>
      </c>
      <c r="AA445" s="932"/>
      <c r="AB445" s="932"/>
      <c r="AC445" s="932"/>
      <c r="AD445" s="1033">
        <f>N445</f>
        <v>260429</v>
      </c>
      <c r="AE445" s="1033"/>
      <c r="AF445" s="1033"/>
      <c r="AG445" s="1033"/>
      <c r="AL445" s="430">
        <f>N445-AD454</f>
        <v>0</v>
      </c>
      <c r="AM445" s="428">
        <f t="shared" si="10"/>
        <v>0</v>
      </c>
      <c r="AO445" s="431">
        <f>AD445-BS!$D$100</f>
        <v>260429</v>
      </c>
    </row>
    <row r="446" spans="1:41" ht="27" customHeight="1" x14ac:dyDescent="0.2">
      <c r="D446" s="1002" t="s">
        <v>469</v>
      </c>
      <c r="E446" s="1002"/>
      <c r="F446" s="1002"/>
      <c r="G446" s="1002"/>
      <c r="H446" s="1002"/>
      <c r="I446" s="1002"/>
      <c r="J446" s="1002"/>
      <c r="K446" s="1002"/>
      <c r="L446" s="1002"/>
      <c r="M446" s="1002"/>
      <c r="N446" s="932">
        <v>-16126672</v>
      </c>
      <c r="O446" s="932"/>
      <c r="P446" s="932"/>
      <c r="Q446" s="932"/>
      <c r="R446" s="1103" t="s">
        <v>1436</v>
      </c>
      <c r="S446" s="932"/>
      <c r="T446" s="932"/>
      <c r="U446" s="932"/>
      <c r="V446" s="1103" t="s">
        <v>1436</v>
      </c>
      <c r="W446" s="932"/>
      <c r="X446" s="932"/>
      <c r="Y446" s="932"/>
      <c r="Z446" s="932">
        <v>-821752</v>
      </c>
      <c r="AA446" s="932"/>
      <c r="AB446" s="932"/>
      <c r="AC446" s="932"/>
      <c r="AD446" s="1033">
        <f>N446+Z446</f>
        <v>-16948424</v>
      </c>
      <c r="AE446" s="1033"/>
      <c r="AF446" s="1033"/>
      <c r="AG446" s="1033"/>
      <c r="AL446" s="430">
        <f>N446-AD455</f>
        <v>0</v>
      </c>
      <c r="AM446" s="428">
        <f t="shared" si="10"/>
        <v>0</v>
      </c>
      <c r="AO446" s="431">
        <f>AD446-BS!$D$101</f>
        <v>-16948424</v>
      </c>
    </row>
    <row r="447" spans="1:41" ht="27" customHeight="1" x14ac:dyDescent="0.2">
      <c r="D447" s="1002" t="s">
        <v>470</v>
      </c>
      <c r="E447" s="1002"/>
      <c r="F447" s="1002"/>
      <c r="G447" s="1002"/>
      <c r="H447" s="1002"/>
      <c r="I447" s="1002"/>
      <c r="J447" s="1002"/>
      <c r="K447" s="1002"/>
      <c r="L447" s="1002"/>
      <c r="M447" s="1002"/>
      <c r="N447" s="994">
        <v>-821752</v>
      </c>
      <c r="O447" s="994"/>
      <c r="P447" s="994"/>
      <c r="Q447" s="994"/>
      <c r="R447" s="994">
        <v>-615541</v>
      </c>
      <c r="S447" s="994"/>
      <c r="T447" s="994"/>
      <c r="U447" s="994"/>
      <c r="V447" s="1156" t="s">
        <v>1436</v>
      </c>
      <c r="W447" s="994"/>
      <c r="X447" s="994"/>
      <c r="Y447" s="994"/>
      <c r="Z447" s="994">
        <v>821752</v>
      </c>
      <c r="AA447" s="994"/>
      <c r="AB447" s="994"/>
      <c r="AC447" s="994"/>
      <c r="AD447" s="1033">
        <f>SUM(N447,R447,Z447)</f>
        <v>-615541</v>
      </c>
      <c r="AE447" s="1033"/>
      <c r="AF447" s="1033"/>
      <c r="AG447" s="1033"/>
      <c r="AL447" s="430">
        <f>N447-AD456</f>
        <v>0</v>
      </c>
      <c r="AM447" s="428">
        <f t="shared" si="10"/>
        <v>0</v>
      </c>
      <c r="AO447" s="431">
        <f>AD447-BS!$D$102</f>
        <v>-615541</v>
      </c>
    </row>
    <row r="449" spans="1:41" ht="14.25" customHeight="1" thickBot="1" x14ac:dyDescent="0.25"/>
    <row r="450" spans="1:41" ht="14.25" customHeight="1" thickBot="1" x14ac:dyDescent="0.25">
      <c r="A450" s="666" t="s">
        <v>1475</v>
      </c>
      <c r="D450" s="960" t="s">
        <v>465</v>
      </c>
      <c r="E450" s="960"/>
      <c r="F450" s="960"/>
      <c r="G450" s="960"/>
      <c r="H450" s="960"/>
      <c r="I450" s="960"/>
      <c r="J450" s="960"/>
      <c r="K450" s="960"/>
      <c r="L450" s="960"/>
      <c r="M450" s="960"/>
      <c r="N450" s="960" t="s">
        <v>3</v>
      </c>
      <c r="O450" s="960"/>
      <c r="P450" s="960"/>
      <c r="Q450" s="960"/>
      <c r="R450" s="960"/>
      <c r="S450" s="960"/>
      <c r="T450" s="960"/>
      <c r="U450" s="960"/>
      <c r="V450" s="960"/>
      <c r="W450" s="960"/>
      <c r="X450" s="960"/>
      <c r="Y450" s="960"/>
      <c r="Z450" s="960"/>
      <c r="AA450" s="960"/>
      <c r="AB450" s="960"/>
      <c r="AC450" s="960"/>
      <c r="AD450" s="960"/>
      <c r="AE450" s="960"/>
      <c r="AF450" s="960"/>
      <c r="AG450" s="960"/>
    </row>
    <row r="451" spans="1:41" ht="49.5" customHeight="1" thickTop="1" thickBot="1" x14ac:dyDescent="0.25">
      <c r="D451" s="960"/>
      <c r="E451" s="960"/>
      <c r="F451" s="960"/>
      <c r="G451" s="960"/>
      <c r="H451" s="960"/>
      <c r="I451" s="960"/>
      <c r="J451" s="960"/>
      <c r="K451" s="960"/>
      <c r="L451" s="960"/>
      <c r="M451" s="960"/>
      <c r="N451" s="959" t="s">
        <v>472</v>
      </c>
      <c r="O451" s="959"/>
      <c r="P451" s="959"/>
      <c r="Q451" s="959"/>
      <c r="R451" s="959" t="s">
        <v>27</v>
      </c>
      <c r="S451" s="959"/>
      <c r="T451" s="959"/>
      <c r="U451" s="959"/>
      <c r="V451" s="959" t="s">
        <v>28</v>
      </c>
      <c r="W451" s="959"/>
      <c r="X451" s="959"/>
      <c r="Y451" s="959"/>
      <c r="Z451" s="959" t="s">
        <v>29</v>
      </c>
      <c r="AA451" s="959"/>
      <c r="AB451" s="959"/>
      <c r="AC451" s="959"/>
      <c r="AD451" s="959" t="s">
        <v>392</v>
      </c>
      <c r="AE451" s="959"/>
      <c r="AF451" s="959"/>
      <c r="AG451" s="959"/>
      <c r="AM451" s="661" t="s">
        <v>392</v>
      </c>
      <c r="AO451" s="661" t="s">
        <v>392</v>
      </c>
    </row>
    <row r="452" spans="1:41" ht="27" customHeight="1" thickBot="1" x14ac:dyDescent="0.25">
      <c r="D452" s="1007" t="s">
        <v>393</v>
      </c>
      <c r="E452" s="1007"/>
      <c r="F452" s="1007"/>
      <c r="G452" s="1007"/>
      <c r="H452" s="1007"/>
      <c r="I452" s="1007"/>
      <c r="J452" s="1007"/>
      <c r="K452" s="1007"/>
      <c r="L452" s="1007"/>
      <c r="M452" s="1007"/>
      <c r="N452" s="1152">
        <v>17928036</v>
      </c>
      <c r="O452" s="1152"/>
      <c r="P452" s="1152"/>
      <c r="Q452" s="1152"/>
      <c r="R452" s="1157" t="s">
        <v>1436</v>
      </c>
      <c r="S452" s="1152"/>
      <c r="T452" s="1152"/>
      <c r="U452" s="1152"/>
      <c r="V452" s="1157" t="s">
        <v>1436</v>
      </c>
      <c r="W452" s="1152"/>
      <c r="X452" s="1152"/>
      <c r="Y452" s="1152"/>
      <c r="Z452" s="1157" t="s">
        <v>1436</v>
      </c>
      <c r="AA452" s="1152"/>
      <c r="AB452" s="1152"/>
      <c r="AC452" s="1152"/>
      <c r="AD452" s="1158">
        <f>N452</f>
        <v>17928036</v>
      </c>
      <c r="AE452" s="1158"/>
      <c r="AF452" s="1158"/>
      <c r="AG452" s="1158"/>
      <c r="AM452" s="703">
        <f>SUM(N452:AC452)-AD452</f>
        <v>0</v>
      </c>
      <c r="AO452" s="705">
        <f>AD452-BS!$E$84</f>
        <v>17928036</v>
      </c>
    </row>
    <row r="453" spans="1:41" ht="27" customHeight="1" thickBot="1" x14ac:dyDescent="0.25">
      <c r="D453" s="1007" t="s">
        <v>399</v>
      </c>
      <c r="E453" s="1007"/>
      <c r="F453" s="1007"/>
      <c r="G453" s="1007"/>
      <c r="H453" s="1007"/>
      <c r="I453" s="1007"/>
      <c r="J453" s="1007"/>
      <c r="K453" s="1007"/>
      <c r="L453" s="1007"/>
      <c r="M453" s="1007"/>
      <c r="N453" s="1152">
        <v>9065</v>
      </c>
      <c r="O453" s="1152"/>
      <c r="P453" s="1152"/>
      <c r="Q453" s="1152"/>
      <c r="R453" s="1157" t="s">
        <v>1436</v>
      </c>
      <c r="S453" s="1152"/>
      <c r="T453" s="1152"/>
      <c r="U453" s="1152"/>
      <c r="V453" s="1157" t="s">
        <v>1436</v>
      </c>
      <c r="W453" s="1152"/>
      <c r="X453" s="1152"/>
      <c r="Y453" s="1152"/>
      <c r="Z453" s="1157" t="s">
        <v>1436</v>
      </c>
      <c r="AA453" s="1152"/>
      <c r="AB453" s="1152"/>
      <c r="AC453" s="1152"/>
      <c r="AD453" s="1158">
        <f>N453</f>
        <v>9065</v>
      </c>
      <c r="AE453" s="1158"/>
      <c r="AF453" s="1158"/>
      <c r="AG453" s="1158"/>
      <c r="AM453" s="430">
        <f t="shared" ref="AM453:AM456" si="11">SUM(N453:AC453)-AD453</f>
        <v>0</v>
      </c>
      <c r="AO453" s="431">
        <f>AD453-BS!$E$96</f>
        <v>9065</v>
      </c>
    </row>
    <row r="454" spans="1:41" ht="27" customHeight="1" thickBot="1" x14ac:dyDescent="0.25">
      <c r="D454" s="1007" t="s">
        <v>402</v>
      </c>
      <c r="E454" s="1007"/>
      <c r="F454" s="1007"/>
      <c r="G454" s="1007"/>
      <c r="H454" s="1007"/>
      <c r="I454" s="1007"/>
      <c r="J454" s="1007"/>
      <c r="K454" s="1007"/>
      <c r="L454" s="1007"/>
      <c r="M454" s="1007"/>
      <c r="N454" s="1152">
        <v>260429</v>
      </c>
      <c r="O454" s="1152"/>
      <c r="P454" s="1152"/>
      <c r="Q454" s="1152"/>
      <c r="R454" s="1157" t="s">
        <v>1436</v>
      </c>
      <c r="S454" s="1152"/>
      <c r="T454" s="1152"/>
      <c r="U454" s="1152"/>
      <c r="V454" s="1157" t="s">
        <v>1436</v>
      </c>
      <c r="W454" s="1152"/>
      <c r="X454" s="1152"/>
      <c r="Y454" s="1152"/>
      <c r="Z454" s="1157" t="s">
        <v>1436</v>
      </c>
      <c r="AA454" s="1152"/>
      <c r="AB454" s="1152"/>
      <c r="AC454" s="1152"/>
      <c r="AD454" s="1158">
        <f>N454</f>
        <v>260429</v>
      </c>
      <c r="AE454" s="1158"/>
      <c r="AF454" s="1158"/>
      <c r="AG454" s="1158"/>
      <c r="AM454" s="430">
        <f t="shared" si="11"/>
        <v>0</v>
      </c>
      <c r="AO454" s="431">
        <f>AD454-BS!$E$100</f>
        <v>260429</v>
      </c>
    </row>
    <row r="455" spans="1:41" ht="27" customHeight="1" thickBot="1" x14ac:dyDescent="0.25">
      <c r="D455" s="1007" t="s">
        <v>469</v>
      </c>
      <c r="E455" s="1007"/>
      <c r="F455" s="1007"/>
      <c r="G455" s="1007"/>
      <c r="H455" s="1007"/>
      <c r="I455" s="1007"/>
      <c r="J455" s="1007"/>
      <c r="K455" s="1007"/>
      <c r="L455" s="1007"/>
      <c r="M455" s="1007"/>
      <c r="N455" s="1152">
        <v>-15662188</v>
      </c>
      <c r="O455" s="1152"/>
      <c r="P455" s="1152"/>
      <c r="Q455" s="1152"/>
      <c r="R455" s="1157" t="s">
        <v>1436</v>
      </c>
      <c r="S455" s="1152"/>
      <c r="T455" s="1152"/>
      <c r="U455" s="1152"/>
      <c r="V455" s="1157" t="s">
        <v>1436</v>
      </c>
      <c r="W455" s="1152"/>
      <c r="X455" s="1152"/>
      <c r="Y455" s="1152"/>
      <c r="Z455" s="1152">
        <v>-464484</v>
      </c>
      <c r="AA455" s="1152"/>
      <c r="AB455" s="1152"/>
      <c r="AC455" s="1152"/>
      <c r="AD455" s="1158">
        <f>SUM(N455,Z455)</f>
        <v>-16126672</v>
      </c>
      <c r="AE455" s="1158"/>
      <c r="AF455" s="1158"/>
      <c r="AG455" s="1158"/>
      <c r="AM455" s="430">
        <f t="shared" si="11"/>
        <v>0</v>
      </c>
      <c r="AO455" s="431">
        <f>AD455-BS!$E$101</f>
        <v>-16126672</v>
      </c>
    </row>
    <row r="456" spans="1:41" ht="27" customHeight="1" thickBot="1" x14ac:dyDescent="0.25">
      <c r="D456" s="1007" t="s">
        <v>470</v>
      </c>
      <c r="E456" s="1007"/>
      <c r="F456" s="1007"/>
      <c r="G456" s="1007"/>
      <c r="H456" s="1007"/>
      <c r="I456" s="1007"/>
      <c r="J456" s="1007"/>
      <c r="K456" s="1007"/>
      <c r="L456" s="1007"/>
      <c r="M456" s="1007"/>
      <c r="N456" s="1159">
        <v>-464484</v>
      </c>
      <c r="O456" s="1159"/>
      <c r="P456" s="1159"/>
      <c r="Q456" s="1159"/>
      <c r="R456" s="1159">
        <v>-821752</v>
      </c>
      <c r="S456" s="1159"/>
      <c r="T456" s="1159"/>
      <c r="U456" s="1159"/>
      <c r="V456" s="1157" t="s">
        <v>1436</v>
      </c>
      <c r="W456" s="1152"/>
      <c r="X456" s="1152"/>
      <c r="Y456" s="1152"/>
      <c r="Z456" s="1152">
        <v>464484</v>
      </c>
      <c r="AA456" s="1152"/>
      <c r="AB456" s="1152"/>
      <c r="AC456" s="1152"/>
      <c r="AD456" s="1158">
        <f>N456+R456+Z456</f>
        <v>-821752</v>
      </c>
      <c r="AE456" s="1158"/>
      <c r="AF456" s="1158"/>
      <c r="AG456" s="1158"/>
      <c r="AM456" s="430">
        <f t="shared" si="11"/>
        <v>0</v>
      </c>
      <c r="AO456" s="431">
        <f>AD456-BS!$E$102</f>
        <v>-821752</v>
      </c>
    </row>
    <row r="459" spans="1:41" ht="14.25" customHeight="1" x14ac:dyDescent="0.2">
      <c r="D459" s="1047" t="s">
        <v>1675</v>
      </c>
      <c r="E459" s="1098"/>
      <c r="F459" s="1098"/>
      <c r="G459" s="1098"/>
      <c r="H459" s="1098"/>
      <c r="I459" s="1098"/>
      <c r="J459" s="1098"/>
      <c r="K459" s="1098"/>
      <c r="L459" s="1098"/>
      <c r="M459" s="1098"/>
      <c r="N459" s="1098"/>
      <c r="O459" s="1098"/>
      <c r="P459" s="1098"/>
      <c r="Q459" s="1098"/>
      <c r="R459" s="1098"/>
      <c r="S459" s="1098"/>
      <c r="T459" s="1098"/>
      <c r="U459" s="1098"/>
      <c r="V459" s="1098"/>
      <c r="W459" s="1098"/>
      <c r="X459" s="1098"/>
      <c r="Y459" s="1098"/>
      <c r="Z459" s="1098"/>
      <c r="AA459" s="1098"/>
      <c r="AB459" s="1098"/>
      <c r="AC459" s="1098"/>
      <c r="AD459" s="1098"/>
      <c r="AE459" s="1098"/>
      <c r="AF459" s="1098"/>
      <c r="AG459" s="1098"/>
    </row>
    <row r="460" spans="1:41" ht="14.25" customHeight="1" x14ac:dyDescent="0.2">
      <c r="D460" s="1098"/>
      <c r="E460" s="1098"/>
      <c r="F460" s="1098"/>
      <c r="G460" s="1098"/>
      <c r="H460" s="1098"/>
      <c r="I460" s="1098"/>
      <c r="J460" s="1098"/>
      <c r="K460" s="1098"/>
      <c r="L460" s="1098"/>
      <c r="M460" s="1098"/>
      <c r="N460" s="1098"/>
      <c r="O460" s="1098"/>
      <c r="P460" s="1098"/>
      <c r="Q460" s="1098"/>
      <c r="R460" s="1098"/>
      <c r="S460" s="1098"/>
      <c r="T460" s="1098"/>
      <c r="U460" s="1098"/>
      <c r="V460" s="1098"/>
      <c r="W460" s="1098"/>
      <c r="X460" s="1098"/>
      <c r="Y460" s="1098"/>
      <c r="Z460" s="1098"/>
      <c r="AA460" s="1098"/>
      <c r="AB460" s="1098"/>
      <c r="AC460" s="1098"/>
      <c r="AD460" s="1098"/>
      <c r="AE460" s="1098"/>
      <c r="AF460" s="1098"/>
      <c r="AG460" s="1098"/>
    </row>
    <row r="461" spans="1:41" ht="14.25" customHeight="1" x14ac:dyDescent="0.2">
      <c r="D461" s="1098"/>
      <c r="E461" s="1098"/>
      <c r="F461" s="1098"/>
      <c r="G461" s="1098"/>
      <c r="H461" s="1098"/>
      <c r="I461" s="1098"/>
      <c r="J461" s="1098"/>
      <c r="K461" s="1098"/>
      <c r="L461" s="1098"/>
      <c r="M461" s="1098"/>
      <c r="N461" s="1098"/>
      <c r="O461" s="1098"/>
      <c r="P461" s="1098"/>
      <c r="Q461" s="1098"/>
      <c r="R461" s="1098"/>
      <c r="S461" s="1098"/>
      <c r="T461" s="1098"/>
      <c r="U461" s="1098"/>
      <c r="V461" s="1098"/>
      <c r="W461" s="1098"/>
      <c r="X461" s="1098"/>
      <c r="Y461" s="1098"/>
      <c r="Z461" s="1098"/>
      <c r="AA461" s="1098"/>
      <c r="AB461" s="1098"/>
      <c r="AC461" s="1098"/>
      <c r="AD461" s="1098"/>
      <c r="AE461" s="1098"/>
      <c r="AF461" s="1098"/>
      <c r="AG461" s="1098"/>
    </row>
    <row r="462" spans="1:41" ht="14.25" customHeight="1" x14ac:dyDescent="0.2">
      <c r="D462" s="1097" t="s">
        <v>1637</v>
      </c>
      <c r="E462" s="1029"/>
      <c r="F462" s="1029"/>
      <c r="G462" s="1029"/>
      <c r="H462" s="1029"/>
      <c r="I462" s="1029"/>
      <c r="J462" s="1029"/>
      <c r="K462" s="1029"/>
      <c r="L462" s="1029"/>
      <c r="M462" s="1029"/>
      <c r="N462" s="1029"/>
      <c r="O462" s="1029"/>
      <c r="P462" s="1029"/>
      <c r="Q462" s="1029"/>
      <c r="R462" s="1029"/>
      <c r="S462" s="1029"/>
      <c r="T462" s="1029"/>
      <c r="U462" s="1029"/>
      <c r="V462" s="1029"/>
      <c r="W462" s="1029"/>
      <c r="X462" s="1029"/>
      <c r="Y462" s="1029"/>
      <c r="Z462" s="1029"/>
      <c r="AA462" s="1029"/>
      <c r="AB462" s="1029"/>
      <c r="AC462" s="1029"/>
      <c r="AD462" s="1029"/>
      <c r="AE462" s="1029"/>
      <c r="AF462" s="1029"/>
      <c r="AG462" s="1029"/>
    </row>
    <row r="464" spans="1:41" ht="14.25" customHeight="1" x14ac:dyDescent="0.2">
      <c r="D464" s="655" t="s">
        <v>1613</v>
      </c>
    </row>
    <row r="466" spans="1:41" ht="14.25" customHeight="1" x14ac:dyDescent="0.2">
      <c r="D466" s="1111" t="s">
        <v>1476</v>
      </c>
      <c r="E466" s="1111"/>
      <c r="F466" s="1111"/>
      <c r="G466" s="1111"/>
      <c r="H466" s="1111"/>
      <c r="I466" s="1111"/>
      <c r="J466" s="1111"/>
      <c r="K466" s="1111"/>
      <c r="L466" s="1111"/>
      <c r="M466" s="1111"/>
      <c r="N466" s="1111"/>
      <c r="O466" s="1111"/>
      <c r="P466" s="1111"/>
      <c r="Q466" s="1111"/>
      <c r="R466" s="1111"/>
      <c r="S466" s="1111"/>
      <c r="T466" s="1111"/>
      <c r="U466" s="1111"/>
      <c r="V466" s="1111"/>
      <c r="W466" s="1111"/>
      <c r="X466" s="1111"/>
      <c r="Y466" s="1111"/>
      <c r="Z466" s="1111"/>
      <c r="AA466" s="1111"/>
      <c r="AB466" s="1111"/>
      <c r="AC466" s="1111"/>
      <c r="AD466" s="1111"/>
      <c r="AE466" s="1111"/>
      <c r="AF466" s="1111"/>
      <c r="AG466" s="1111"/>
    </row>
    <row r="467" spans="1:41" ht="14.25" customHeight="1" thickBot="1" x14ac:dyDescent="0.25"/>
    <row r="468" spans="1:41" ht="14.25" customHeight="1" thickBot="1" x14ac:dyDescent="0.25">
      <c r="A468" s="666" t="s">
        <v>1477</v>
      </c>
      <c r="D468" s="960" t="s">
        <v>1</v>
      </c>
      <c r="E468" s="960"/>
      <c r="F468" s="960"/>
      <c r="G468" s="960"/>
      <c r="H468" s="960"/>
      <c r="I468" s="960" t="s">
        <v>2</v>
      </c>
      <c r="J468" s="960"/>
      <c r="K468" s="960"/>
      <c r="L468" s="960"/>
      <c r="M468" s="960"/>
      <c r="N468" s="960"/>
      <c r="O468" s="960"/>
      <c r="P468" s="960"/>
      <c r="Q468" s="960"/>
      <c r="R468" s="960"/>
      <c r="S468" s="960"/>
      <c r="T468" s="960"/>
      <c r="U468" s="960"/>
      <c r="V468" s="960"/>
      <c r="W468" s="960"/>
      <c r="X468" s="960"/>
      <c r="Y468" s="960"/>
      <c r="Z468" s="960"/>
      <c r="AA468" s="960"/>
      <c r="AB468" s="960"/>
      <c r="AC468" s="960"/>
      <c r="AD468" s="960"/>
      <c r="AE468" s="960"/>
      <c r="AF468" s="960"/>
      <c r="AG468" s="960"/>
    </row>
    <row r="469" spans="1:41" ht="30.75" customHeight="1" thickTop="1" thickBot="1" x14ac:dyDescent="0.25">
      <c r="D469" s="960"/>
      <c r="E469" s="960"/>
      <c r="F469" s="960"/>
      <c r="G469" s="960"/>
      <c r="H469" s="960"/>
      <c r="I469" s="959" t="s">
        <v>32</v>
      </c>
      <c r="J469" s="959"/>
      <c r="K469" s="959"/>
      <c r="L469" s="959"/>
      <c r="M469" s="959"/>
      <c r="N469" s="959" t="s">
        <v>124</v>
      </c>
      <c r="O469" s="959"/>
      <c r="P469" s="959"/>
      <c r="Q469" s="959"/>
      <c r="R469" s="959"/>
      <c r="S469" s="959" t="s">
        <v>210</v>
      </c>
      <c r="T469" s="959"/>
      <c r="U469" s="959"/>
      <c r="V469" s="959"/>
      <c r="W469" s="959"/>
      <c r="X469" s="1112" t="s">
        <v>211</v>
      </c>
      <c r="Y469" s="1113"/>
      <c r="Z469" s="1113"/>
      <c r="AA469" s="1113"/>
      <c r="AB469" s="1114"/>
      <c r="AC469" s="959" t="s">
        <v>30</v>
      </c>
      <c r="AD469" s="959"/>
      <c r="AE469" s="959"/>
      <c r="AF469" s="959"/>
      <c r="AG469" s="959"/>
      <c r="AL469" s="661" t="s">
        <v>472</v>
      </c>
      <c r="AM469" s="661" t="s">
        <v>30</v>
      </c>
      <c r="AO469" s="661" t="s">
        <v>30</v>
      </c>
    </row>
    <row r="470" spans="1:41" ht="28.5" customHeight="1" thickBot="1" x14ac:dyDescent="0.25">
      <c r="D470" s="1163" t="s">
        <v>213</v>
      </c>
      <c r="E470" s="1164"/>
      <c r="F470" s="1164"/>
      <c r="G470" s="1164"/>
      <c r="H470" s="1165"/>
      <c r="I470" s="1166">
        <v>372734</v>
      </c>
      <c r="J470" s="1167"/>
      <c r="K470" s="1167"/>
      <c r="L470" s="1167"/>
      <c r="M470" s="1167"/>
      <c r="N470" s="1167">
        <v>392695</v>
      </c>
      <c r="O470" s="1167"/>
      <c r="P470" s="1167"/>
      <c r="Q470" s="1167"/>
      <c r="R470" s="1167"/>
      <c r="S470" s="1167">
        <v>-372734</v>
      </c>
      <c r="T470" s="1167"/>
      <c r="U470" s="1167"/>
      <c r="V470" s="1167"/>
      <c r="W470" s="1167"/>
      <c r="X470" s="1168" t="s">
        <v>1436</v>
      </c>
      <c r="Y470" s="1169"/>
      <c r="Z470" s="1169"/>
      <c r="AA470" s="1169"/>
      <c r="AB470" s="1170"/>
      <c r="AC470" s="1171">
        <f t="shared" ref="AC470:AC476" si="12">SUM(I470:AB470)</f>
        <v>392695</v>
      </c>
      <c r="AD470" s="1171"/>
      <c r="AE470" s="1171"/>
      <c r="AF470" s="1171"/>
      <c r="AG470" s="1172"/>
      <c r="AL470" s="429">
        <f>I470-AC483</f>
        <v>0</v>
      </c>
      <c r="AM470" s="430">
        <f>SUM(I470:AB470)-AC470</f>
        <v>0</v>
      </c>
      <c r="AO470" s="431">
        <f>AC470-BS!$D$106-BS!$D$108</f>
        <v>392695</v>
      </c>
    </row>
    <row r="471" spans="1:41" ht="21.75" customHeight="1" x14ac:dyDescent="0.2">
      <c r="D471" s="1173" t="s">
        <v>1532</v>
      </c>
      <c r="E471" s="976"/>
      <c r="F471" s="976"/>
      <c r="G471" s="976"/>
      <c r="H471" s="977"/>
      <c r="I471" s="1013">
        <v>29230</v>
      </c>
      <c r="J471" s="1014"/>
      <c r="K471" s="1014"/>
      <c r="L471" s="1014"/>
      <c r="M471" s="1014"/>
      <c r="N471" s="1014">
        <v>32962</v>
      </c>
      <c r="O471" s="1014"/>
      <c r="P471" s="1014"/>
      <c r="Q471" s="1014"/>
      <c r="R471" s="1014"/>
      <c r="S471" s="1014">
        <v>-29230</v>
      </c>
      <c r="T471" s="1014"/>
      <c r="U471" s="1014"/>
      <c r="V471" s="1014"/>
      <c r="W471" s="1014"/>
      <c r="X471" s="1160" t="s">
        <v>1436</v>
      </c>
      <c r="Y471" s="1161"/>
      <c r="Z471" s="1161"/>
      <c r="AA471" s="1161"/>
      <c r="AB471" s="1162"/>
      <c r="AC471" s="1095">
        <f t="shared" si="12"/>
        <v>32962</v>
      </c>
      <c r="AD471" s="1095"/>
      <c r="AE471" s="1095"/>
      <c r="AF471" s="1095"/>
      <c r="AG471" s="1096"/>
      <c r="AL471" s="429">
        <f>I471-AC484</f>
        <v>0</v>
      </c>
      <c r="AM471" s="430">
        <f>SUM(I471:AB471)-AC471</f>
        <v>0</v>
      </c>
      <c r="AO471" s="430"/>
    </row>
    <row r="472" spans="1:41" ht="21.75" customHeight="1" x14ac:dyDescent="0.2">
      <c r="D472" s="1176" t="s">
        <v>1534</v>
      </c>
      <c r="E472" s="919"/>
      <c r="F472" s="919"/>
      <c r="G472" s="919"/>
      <c r="H472" s="920"/>
      <c r="I472" s="935">
        <v>600</v>
      </c>
      <c r="J472" s="1005"/>
      <c r="K472" s="1005"/>
      <c r="L472" s="1005"/>
      <c r="M472" s="1005"/>
      <c r="N472" s="1005">
        <v>650</v>
      </c>
      <c r="O472" s="1005"/>
      <c r="P472" s="1005"/>
      <c r="Q472" s="1005"/>
      <c r="R472" s="1005"/>
      <c r="S472" s="1005">
        <v>-600</v>
      </c>
      <c r="T472" s="1005"/>
      <c r="U472" s="1005"/>
      <c r="V472" s="1005"/>
      <c r="W472" s="1005"/>
      <c r="X472" s="913" t="s">
        <v>1436</v>
      </c>
      <c r="Y472" s="914"/>
      <c r="Z472" s="914"/>
      <c r="AA472" s="914"/>
      <c r="AB472" s="915"/>
      <c r="AC472" s="1030">
        <f t="shared" si="12"/>
        <v>650</v>
      </c>
      <c r="AD472" s="1030"/>
      <c r="AE472" s="1030"/>
      <c r="AF472" s="1030"/>
      <c r="AG472" s="1031"/>
      <c r="AL472" s="429">
        <f>I472-AC486</f>
        <v>0</v>
      </c>
      <c r="AM472" s="430">
        <f>SUM(I472:AB472)-AC472</f>
        <v>0</v>
      </c>
      <c r="AO472" s="702"/>
    </row>
    <row r="473" spans="1:41" ht="21.75" customHeight="1" x14ac:dyDescent="0.2">
      <c r="D473" s="1190" t="s">
        <v>1533</v>
      </c>
      <c r="E473" s="1191"/>
      <c r="F473" s="1191"/>
      <c r="G473" s="1191"/>
      <c r="H473" s="1192"/>
      <c r="I473" s="1193">
        <v>57151</v>
      </c>
      <c r="J473" s="1194"/>
      <c r="K473" s="1194"/>
      <c r="L473" s="1194"/>
      <c r="M473" s="1194"/>
      <c r="N473" s="1194">
        <v>44947</v>
      </c>
      <c r="O473" s="1194"/>
      <c r="P473" s="1194"/>
      <c r="Q473" s="1194"/>
      <c r="R473" s="1194"/>
      <c r="S473" s="1194">
        <v>-57151</v>
      </c>
      <c r="T473" s="1194"/>
      <c r="U473" s="1194"/>
      <c r="V473" s="1194"/>
      <c r="W473" s="1194"/>
      <c r="X473" s="913" t="s">
        <v>1436</v>
      </c>
      <c r="Y473" s="914"/>
      <c r="Z473" s="914"/>
      <c r="AA473" s="914"/>
      <c r="AB473" s="915"/>
      <c r="AC473" s="916">
        <f t="shared" si="12"/>
        <v>44947</v>
      </c>
      <c r="AD473" s="916"/>
      <c r="AE473" s="916"/>
      <c r="AF473" s="916"/>
      <c r="AG473" s="917"/>
      <c r="AL473" s="429" t="e">
        <f>I473-#REF!</f>
        <v>#REF!</v>
      </c>
      <c r="AM473" s="430">
        <f>SUM(I473:AB473)-AC473</f>
        <v>0</v>
      </c>
      <c r="AO473" s="702"/>
    </row>
    <row r="474" spans="1:41" ht="21.75" customHeight="1" x14ac:dyDescent="0.2">
      <c r="D474" s="1294" t="s">
        <v>1535</v>
      </c>
      <c r="E474" s="1295"/>
      <c r="F474" s="1295"/>
      <c r="G474" s="1295"/>
      <c r="H474" s="1296"/>
      <c r="I474" s="935">
        <v>1171</v>
      </c>
      <c r="J474" s="1285"/>
      <c r="K474" s="1285"/>
      <c r="L474" s="1285"/>
      <c r="M474" s="1285"/>
      <c r="N474" s="913">
        <v>48701</v>
      </c>
      <c r="O474" s="914"/>
      <c r="P474" s="914"/>
      <c r="Q474" s="914"/>
      <c r="R474" s="915"/>
      <c r="S474" s="913">
        <v>-1171</v>
      </c>
      <c r="T474" s="914"/>
      <c r="U474" s="914"/>
      <c r="V474" s="914"/>
      <c r="W474" s="915"/>
      <c r="X474" s="913" t="s">
        <v>1436</v>
      </c>
      <c r="Y474" s="914"/>
      <c r="Z474" s="914"/>
      <c r="AA474" s="914"/>
      <c r="AB474" s="915"/>
      <c r="AC474" s="916">
        <f t="shared" si="12"/>
        <v>48701</v>
      </c>
      <c r="AD474" s="916"/>
      <c r="AE474" s="916"/>
      <c r="AF474" s="916"/>
      <c r="AG474" s="917"/>
      <c r="AL474" s="429"/>
      <c r="AM474" s="430"/>
      <c r="AO474" s="702"/>
    </row>
    <row r="475" spans="1:41" ht="21.75" customHeight="1" x14ac:dyDescent="0.2">
      <c r="D475" s="1177" t="s">
        <v>1536</v>
      </c>
      <c r="E475" s="1117"/>
      <c r="F475" s="1117"/>
      <c r="G475" s="1117"/>
      <c r="H475" s="1118"/>
      <c r="I475" s="1178">
        <v>187496</v>
      </c>
      <c r="J475" s="1179"/>
      <c r="K475" s="1179"/>
      <c r="L475" s="1179"/>
      <c r="M475" s="1179"/>
      <c r="N475" s="1179">
        <v>216442</v>
      </c>
      <c r="O475" s="1179"/>
      <c r="P475" s="1179"/>
      <c r="Q475" s="1179"/>
      <c r="R475" s="1179"/>
      <c r="S475" s="1179">
        <v>-187496</v>
      </c>
      <c r="T475" s="1179"/>
      <c r="U475" s="1179"/>
      <c r="V475" s="1179"/>
      <c r="W475" s="1179"/>
      <c r="X475" s="1180" t="s">
        <v>1436</v>
      </c>
      <c r="Y475" s="1181"/>
      <c r="Z475" s="1181"/>
      <c r="AA475" s="1181"/>
      <c r="AB475" s="1182"/>
      <c r="AC475" s="1030">
        <f t="shared" si="12"/>
        <v>216442</v>
      </c>
      <c r="AD475" s="1030"/>
      <c r="AE475" s="1030"/>
      <c r="AF475" s="1030"/>
      <c r="AG475" s="1031"/>
      <c r="AL475" s="429">
        <f>I475-AC487</f>
        <v>130345</v>
      </c>
      <c r="AM475" s="430">
        <f>SUM(I475:AB475)-AC475</f>
        <v>0</v>
      </c>
      <c r="AO475" s="702"/>
    </row>
    <row r="476" spans="1:41" ht="21.75" customHeight="1" thickBot="1" x14ac:dyDescent="0.25">
      <c r="D476" s="1128" t="s">
        <v>1537</v>
      </c>
      <c r="E476" s="1128"/>
      <c r="F476" s="1128"/>
      <c r="G476" s="1128"/>
      <c r="H476" s="1128"/>
      <c r="I476" s="1183">
        <v>97086</v>
      </c>
      <c r="J476" s="1184"/>
      <c r="K476" s="1184"/>
      <c r="L476" s="1184"/>
      <c r="M476" s="1184"/>
      <c r="N476" s="1185">
        <v>48993</v>
      </c>
      <c r="O476" s="1185"/>
      <c r="P476" s="1185"/>
      <c r="Q476" s="1185"/>
      <c r="R476" s="1185"/>
      <c r="S476" s="1185">
        <v>-97086</v>
      </c>
      <c r="T476" s="1185"/>
      <c r="U476" s="1185"/>
      <c r="V476" s="1185"/>
      <c r="W476" s="1185"/>
      <c r="X476" s="1186" t="s">
        <v>1436</v>
      </c>
      <c r="Y476" s="1187"/>
      <c r="Z476" s="1187"/>
      <c r="AA476" s="1187"/>
      <c r="AB476" s="1188"/>
      <c r="AC476" s="1189">
        <f t="shared" si="12"/>
        <v>48993</v>
      </c>
      <c r="AD476" s="1189"/>
      <c r="AE476" s="1189"/>
      <c r="AF476" s="1189"/>
      <c r="AG476" s="946"/>
      <c r="AL476" s="708">
        <f>I476-AC490</f>
        <v>0</v>
      </c>
      <c r="AM476" s="704">
        <f>SUM(I476:AB476)-AC476</f>
        <v>0</v>
      </c>
      <c r="AO476" s="709"/>
    </row>
    <row r="477" spans="1:41" ht="14.25" customHeight="1" x14ac:dyDescent="0.25">
      <c r="AL477" s="675"/>
      <c r="AM477" s="409"/>
    </row>
    <row r="478" spans="1:41" ht="14.25" customHeight="1" x14ac:dyDescent="0.25">
      <c r="AL478" s="675"/>
      <c r="AM478" s="409"/>
    </row>
    <row r="479" spans="1:41" ht="14.25" customHeight="1" x14ac:dyDescent="0.2">
      <c r="AL479" s="675"/>
    </row>
    <row r="480" spans="1:41" ht="14.25" customHeight="1" thickBot="1" x14ac:dyDescent="0.25">
      <c r="AL480" s="675"/>
    </row>
    <row r="481" spans="1:41" ht="14.25" customHeight="1" thickBot="1" x14ac:dyDescent="0.25">
      <c r="A481" s="666" t="s">
        <v>1478</v>
      </c>
      <c r="D481" s="960" t="s">
        <v>1</v>
      </c>
      <c r="E481" s="960"/>
      <c r="F481" s="960"/>
      <c r="G481" s="960"/>
      <c r="H481" s="960"/>
      <c r="I481" s="960" t="s">
        <v>3</v>
      </c>
      <c r="J481" s="960"/>
      <c r="K481" s="960"/>
      <c r="L481" s="960"/>
      <c r="M481" s="960"/>
      <c r="N481" s="960"/>
      <c r="O481" s="960"/>
      <c r="P481" s="960"/>
      <c r="Q481" s="960"/>
      <c r="R481" s="960"/>
      <c r="S481" s="960"/>
      <c r="T481" s="960"/>
      <c r="U481" s="960"/>
      <c r="V481" s="960"/>
      <c r="W481" s="960"/>
      <c r="X481" s="960"/>
      <c r="Y481" s="960"/>
      <c r="Z481" s="960"/>
      <c r="AA481" s="960"/>
      <c r="AB481" s="960"/>
      <c r="AC481" s="960"/>
      <c r="AD481" s="960"/>
      <c r="AE481" s="960"/>
      <c r="AF481" s="960"/>
      <c r="AG481" s="960"/>
      <c r="AL481" s="675"/>
    </row>
    <row r="482" spans="1:41" ht="30.75" customHeight="1" thickTop="1" thickBot="1" x14ac:dyDescent="0.25">
      <c r="D482" s="960"/>
      <c r="E482" s="960"/>
      <c r="F482" s="960"/>
      <c r="G482" s="960"/>
      <c r="H482" s="960"/>
      <c r="I482" s="1174" t="s">
        <v>32</v>
      </c>
      <c r="J482" s="1175"/>
      <c r="K482" s="1175"/>
      <c r="L482" s="1175"/>
      <c r="M482" s="1175"/>
      <c r="N482" s="1175" t="s">
        <v>124</v>
      </c>
      <c r="O482" s="1175"/>
      <c r="P482" s="1175"/>
      <c r="Q482" s="1175"/>
      <c r="R482" s="1175"/>
      <c r="S482" s="1175" t="s">
        <v>210</v>
      </c>
      <c r="T482" s="1175"/>
      <c r="U482" s="1175"/>
      <c r="V482" s="1175"/>
      <c r="W482" s="1175"/>
      <c r="X482" s="1175" t="s">
        <v>211</v>
      </c>
      <c r="Y482" s="1175"/>
      <c r="Z482" s="1175"/>
      <c r="AA482" s="1175"/>
      <c r="AB482" s="1175"/>
      <c r="AC482" s="1114" t="s">
        <v>30</v>
      </c>
      <c r="AD482" s="959"/>
      <c r="AE482" s="959"/>
      <c r="AF482" s="959"/>
      <c r="AG482" s="959"/>
      <c r="AL482" s="675"/>
      <c r="AM482" s="661" t="s">
        <v>30</v>
      </c>
      <c r="AO482" s="661" t="s">
        <v>30</v>
      </c>
    </row>
    <row r="483" spans="1:41" ht="28.5" customHeight="1" thickBot="1" x14ac:dyDescent="0.25">
      <c r="D483" s="1163" t="s">
        <v>213</v>
      </c>
      <c r="E483" s="1164"/>
      <c r="F483" s="1164"/>
      <c r="G483" s="1164"/>
      <c r="H483" s="1165"/>
      <c r="I483" s="1166">
        <v>230704</v>
      </c>
      <c r="J483" s="1167"/>
      <c r="K483" s="1167"/>
      <c r="L483" s="1167"/>
      <c r="M483" s="1167"/>
      <c r="N483" s="1167">
        <v>372734</v>
      </c>
      <c r="O483" s="1167"/>
      <c r="P483" s="1167"/>
      <c r="Q483" s="1167"/>
      <c r="R483" s="1167"/>
      <c r="S483" s="1167">
        <v>-217371</v>
      </c>
      <c r="T483" s="1167"/>
      <c r="U483" s="1167"/>
      <c r="V483" s="1167"/>
      <c r="W483" s="1167"/>
      <c r="X483" s="1167">
        <v>-13333</v>
      </c>
      <c r="Y483" s="1167"/>
      <c r="Z483" s="1167"/>
      <c r="AA483" s="1167"/>
      <c r="AB483" s="1167"/>
      <c r="AC483" s="1198">
        <f t="shared" ref="AC483:AC487" si="13">SUM(I483:AB483)</f>
        <v>372734</v>
      </c>
      <c r="AD483" s="1171"/>
      <c r="AE483" s="1171"/>
      <c r="AF483" s="1171"/>
      <c r="AG483" s="1172"/>
      <c r="AM483" s="430">
        <f t="shared" ref="AM483" si="14">SUM(I483:AB483)-AC483</f>
        <v>0</v>
      </c>
      <c r="AO483" s="431">
        <f>AC483-BS!$E$106-BS!$E$108</f>
        <v>372734</v>
      </c>
    </row>
    <row r="484" spans="1:41" ht="21.75" customHeight="1" x14ac:dyDescent="0.2">
      <c r="D484" s="1173" t="s">
        <v>1532</v>
      </c>
      <c r="E484" s="976"/>
      <c r="F484" s="976"/>
      <c r="G484" s="976"/>
      <c r="H484" s="977"/>
      <c r="I484" s="1013">
        <v>32650</v>
      </c>
      <c r="J484" s="1014"/>
      <c r="K484" s="1014"/>
      <c r="L484" s="1014"/>
      <c r="M484" s="1014"/>
      <c r="N484" s="1014">
        <v>29230</v>
      </c>
      <c r="O484" s="1014"/>
      <c r="P484" s="1014"/>
      <c r="Q484" s="1014"/>
      <c r="R484" s="1014"/>
      <c r="S484" s="1014">
        <v>-32650</v>
      </c>
      <c r="T484" s="1014"/>
      <c r="U484" s="1014"/>
      <c r="V484" s="1014"/>
      <c r="W484" s="1014"/>
      <c r="X484" s="1014" t="s">
        <v>1436</v>
      </c>
      <c r="Y484" s="1014"/>
      <c r="Z484" s="1014"/>
      <c r="AA484" s="1014"/>
      <c r="AB484" s="1014"/>
      <c r="AC484" s="1199">
        <f t="shared" si="13"/>
        <v>29230</v>
      </c>
      <c r="AD484" s="1095"/>
      <c r="AE484" s="1095"/>
      <c r="AF484" s="1095"/>
      <c r="AG484" s="1096"/>
      <c r="AM484" s="430">
        <f>SUM(I484:AB484)-AC484</f>
        <v>0</v>
      </c>
      <c r="AO484" s="430"/>
    </row>
    <row r="485" spans="1:41" ht="21.75" customHeight="1" x14ac:dyDescent="0.2">
      <c r="D485" s="1176" t="s">
        <v>1538</v>
      </c>
      <c r="E485" s="919"/>
      <c r="F485" s="919"/>
      <c r="G485" s="919"/>
      <c r="H485" s="920"/>
      <c r="I485" s="935">
        <v>27211</v>
      </c>
      <c r="J485" s="1005"/>
      <c r="K485" s="1005"/>
      <c r="L485" s="1005"/>
      <c r="M485" s="1005"/>
      <c r="N485" s="1005" t="s">
        <v>1436</v>
      </c>
      <c r="O485" s="1005"/>
      <c r="P485" s="1005"/>
      <c r="Q485" s="1005"/>
      <c r="R485" s="1005"/>
      <c r="S485" s="1005">
        <v>-27211</v>
      </c>
      <c r="T485" s="1005"/>
      <c r="U485" s="1005"/>
      <c r="V485" s="1005"/>
      <c r="W485" s="1005"/>
      <c r="X485" s="1005" t="s">
        <v>1436</v>
      </c>
      <c r="Y485" s="1005"/>
      <c r="Z485" s="1005"/>
      <c r="AA485" s="1005"/>
      <c r="AB485" s="1005"/>
      <c r="AC485" s="1195" t="s">
        <v>1436</v>
      </c>
      <c r="AD485" s="1030"/>
      <c r="AE485" s="1030"/>
      <c r="AF485" s="1030"/>
      <c r="AG485" s="1031"/>
      <c r="AM485" s="430" t="e">
        <f t="shared" ref="AM485:AM486" si="15">SUM(I485:AB485)-AC485</f>
        <v>#VALUE!</v>
      </c>
      <c r="AO485" s="702"/>
    </row>
    <row r="486" spans="1:41" ht="21.75" customHeight="1" x14ac:dyDescent="0.2">
      <c r="D486" s="1176" t="s">
        <v>1534</v>
      </c>
      <c r="E486" s="919"/>
      <c r="F486" s="919"/>
      <c r="G486" s="919"/>
      <c r="H486" s="920"/>
      <c r="I486" s="935">
        <v>14210</v>
      </c>
      <c r="J486" s="1005"/>
      <c r="K486" s="1005"/>
      <c r="L486" s="1005"/>
      <c r="M486" s="1005"/>
      <c r="N486" s="1005">
        <v>600</v>
      </c>
      <c r="O486" s="1005"/>
      <c r="P486" s="1005"/>
      <c r="Q486" s="1005"/>
      <c r="R486" s="1005"/>
      <c r="S486" s="1005">
        <v>-6760</v>
      </c>
      <c r="T486" s="1005"/>
      <c r="U486" s="1005"/>
      <c r="V486" s="1005"/>
      <c r="W486" s="1005"/>
      <c r="X486" s="1005">
        <v>-7450</v>
      </c>
      <c r="Y486" s="1005"/>
      <c r="Z486" s="1005"/>
      <c r="AA486" s="1005"/>
      <c r="AB486" s="1005"/>
      <c r="AC486" s="1195">
        <f>SUM(I486:AB486)</f>
        <v>600</v>
      </c>
      <c r="AD486" s="1030"/>
      <c r="AE486" s="1030"/>
      <c r="AF486" s="1030"/>
      <c r="AG486" s="1031"/>
      <c r="AM486" s="430">
        <f t="shared" si="15"/>
        <v>0</v>
      </c>
      <c r="AO486" s="702"/>
    </row>
    <row r="487" spans="1:41" ht="21.75" customHeight="1" x14ac:dyDescent="0.2">
      <c r="D487" s="1176" t="s">
        <v>1533</v>
      </c>
      <c r="E487" s="919"/>
      <c r="F487" s="919"/>
      <c r="G487" s="919"/>
      <c r="H487" s="920"/>
      <c r="I487" s="935">
        <v>46391</v>
      </c>
      <c r="J487" s="1005"/>
      <c r="K487" s="1005"/>
      <c r="L487" s="1005"/>
      <c r="M487" s="1005"/>
      <c r="N487" s="1005">
        <v>57151</v>
      </c>
      <c r="O487" s="1005"/>
      <c r="P487" s="1005"/>
      <c r="Q487" s="1005"/>
      <c r="R487" s="1005"/>
      <c r="S487" s="1005">
        <v>-40508</v>
      </c>
      <c r="T487" s="1005"/>
      <c r="U487" s="1005"/>
      <c r="V487" s="1005"/>
      <c r="W487" s="1005"/>
      <c r="X487" s="1005">
        <v>-5883</v>
      </c>
      <c r="Y487" s="1005"/>
      <c r="Z487" s="1005"/>
      <c r="AA487" s="1005"/>
      <c r="AB487" s="1005"/>
      <c r="AC487" s="1195">
        <f t="shared" si="13"/>
        <v>57151</v>
      </c>
      <c r="AD487" s="1030"/>
      <c r="AE487" s="1030"/>
      <c r="AF487" s="1030"/>
      <c r="AG487" s="1031"/>
      <c r="AM487" s="430" t="e">
        <f>SUM(#REF!)-#REF!</f>
        <v>#REF!</v>
      </c>
      <c r="AO487" s="702"/>
    </row>
    <row r="488" spans="1:41" ht="21.75" customHeight="1" x14ac:dyDescent="0.2">
      <c r="D488" s="1286" t="s">
        <v>1539</v>
      </c>
      <c r="E488" s="1287"/>
      <c r="F488" s="1287"/>
      <c r="G488" s="1287"/>
      <c r="H488" s="1288"/>
      <c r="I488" s="935">
        <v>37091</v>
      </c>
      <c r="J488" s="1285"/>
      <c r="K488" s="1285"/>
      <c r="L488" s="1285"/>
      <c r="M488" s="1285"/>
      <c r="N488" s="1005">
        <v>1171</v>
      </c>
      <c r="O488" s="1005"/>
      <c r="P488" s="1005"/>
      <c r="Q488" s="1005"/>
      <c r="R488" s="1005"/>
      <c r="S488" s="1005">
        <v>-37091</v>
      </c>
      <c r="T488" s="1005"/>
      <c r="U488" s="1005"/>
      <c r="V488" s="1005"/>
      <c r="W488" s="1005"/>
      <c r="X488" s="1005" t="s">
        <v>1436</v>
      </c>
      <c r="Y488" s="1005"/>
      <c r="Z488" s="1005"/>
      <c r="AA488" s="1005"/>
      <c r="AB488" s="1005"/>
      <c r="AC488" s="1196">
        <f t="shared" ref="AC488" si="16">SUM(I488:AB488)</f>
        <v>1171</v>
      </c>
      <c r="AD488" s="1196"/>
      <c r="AE488" s="1196"/>
      <c r="AF488" s="1196"/>
      <c r="AG488" s="1197"/>
      <c r="AM488" s="430">
        <f>SUM(I487:AB487)-AC487</f>
        <v>0</v>
      </c>
      <c r="AO488" s="702"/>
    </row>
    <row r="489" spans="1:41" ht="21.75" customHeight="1" x14ac:dyDescent="0.2">
      <c r="D489" s="1203" t="s">
        <v>1536</v>
      </c>
      <c r="E489" s="1204"/>
      <c r="F489" s="1204"/>
      <c r="G489" s="1204"/>
      <c r="H489" s="1205"/>
      <c r="I489" s="935" t="s">
        <v>1436</v>
      </c>
      <c r="J489" s="1005"/>
      <c r="K489" s="1005"/>
      <c r="L489" s="1005"/>
      <c r="M489" s="1005"/>
      <c r="N489" s="1005">
        <v>187496</v>
      </c>
      <c r="O489" s="1005"/>
      <c r="P489" s="1005"/>
      <c r="Q489" s="1005"/>
      <c r="R489" s="1005"/>
      <c r="S489" s="1005" t="s">
        <v>1436</v>
      </c>
      <c r="T489" s="1005"/>
      <c r="U489" s="1005"/>
      <c r="V489" s="1005"/>
      <c r="W489" s="1005"/>
      <c r="X489" s="1005" t="s">
        <v>1436</v>
      </c>
      <c r="Y489" s="1005"/>
      <c r="Z489" s="1005"/>
      <c r="AA489" s="1005"/>
      <c r="AB489" s="1005"/>
      <c r="AC489" s="1196">
        <f t="shared" ref="AC489" si="17">SUM(I489:AB489)</f>
        <v>187496</v>
      </c>
      <c r="AD489" s="1196"/>
      <c r="AE489" s="1196"/>
      <c r="AF489" s="1196"/>
      <c r="AG489" s="1197"/>
      <c r="AM489" s="430">
        <f>SUM(I488:AB488)-AC488</f>
        <v>0</v>
      </c>
      <c r="AO489" s="702"/>
    </row>
    <row r="490" spans="1:41" ht="21.75" customHeight="1" thickBot="1" x14ac:dyDescent="0.25">
      <c r="D490" s="1200" t="s">
        <v>1537</v>
      </c>
      <c r="E490" s="1200"/>
      <c r="F490" s="1200"/>
      <c r="G490" s="1200"/>
      <c r="H490" s="1200"/>
      <c r="I490" s="1183">
        <v>73151</v>
      </c>
      <c r="J490" s="1184"/>
      <c r="K490" s="1184"/>
      <c r="L490" s="1184"/>
      <c r="M490" s="1184"/>
      <c r="N490" s="1201">
        <v>97086</v>
      </c>
      <c r="O490" s="1201"/>
      <c r="P490" s="1201"/>
      <c r="Q490" s="1201"/>
      <c r="R490" s="1201"/>
      <c r="S490" s="1201">
        <v>-73151</v>
      </c>
      <c r="T490" s="1201"/>
      <c r="U490" s="1201"/>
      <c r="V490" s="1201"/>
      <c r="W490" s="1201"/>
      <c r="X490" s="1185" t="s">
        <v>1436</v>
      </c>
      <c r="Y490" s="1185"/>
      <c r="Z490" s="1185"/>
      <c r="AA490" s="1185"/>
      <c r="AB490" s="1185"/>
      <c r="AC490" s="1202">
        <f>SUM(I490:AB490)</f>
        <v>97086</v>
      </c>
      <c r="AD490" s="1189"/>
      <c r="AE490" s="1189"/>
      <c r="AF490" s="1189"/>
      <c r="AG490" s="946"/>
      <c r="AM490" s="430"/>
      <c r="AO490" s="702"/>
    </row>
    <row r="491" spans="1:41" ht="21.75" customHeight="1" x14ac:dyDescent="0.2">
      <c r="AM491" s="704">
        <f>SUM(I490:AB490)-AC490</f>
        <v>0</v>
      </c>
      <c r="AO491" s="709"/>
    </row>
    <row r="493" spans="1:41" ht="14.25" customHeight="1" x14ac:dyDescent="0.2">
      <c r="D493" s="655" t="s">
        <v>1614</v>
      </c>
    </row>
    <row r="495" spans="1:41" ht="14.25" customHeight="1" x14ac:dyDescent="0.2">
      <c r="D495" s="1111" t="s">
        <v>1479</v>
      </c>
      <c r="E495" s="1111"/>
      <c r="F495" s="1111"/>
      <c r="G495" s="1111"/>
      <c r="H495" s="1111"/>
      <c r="I495" s="1111"/>
      <c r="J495" s="1111"/>
      <c r="K495" s="1111"/>
      <c r="L495" s="1111"/>
      <c r="M495" s="1111"/>
      <c r="N495" s="1111"/>
      <c r="O495" s="1111"/>
      <c r="P495" s="1111"/>
      <c r="Q495" s="1111"/>
      <c r="R495" s="1111"/>
      <c r="S495" s="1111"/>
      <c r="T495" s="1111"/>
      <c r="U495" s="1111"/>
      <c r="V495" s="1111"/>
      <c r="W495" s="1111"/>
      <c r="X495" s="1111"/>
      <c r="Y495" s="1111"/>
      <c r="Z495" s="1111"/>
      <c r="AA495" s="1111"/>
      <c r="AB495" s="1111"/>
      <c r="AC495" s="1111"/>
      <c r="AD495" s="1111"/>
      <c r="AE495" s="1111"/>
      <c r="AF495" s="1111"/>
      <c r="AG495" s="1111"/>
    </row>
    <row r="496" spans="1:41" ht="14.25" customHeight="1" thickBot="1" x14ac:dyDescent="0.25"/>
    <row r="497" spans="1:42" ht="14.25" customHeight="1" thickBot="1" x14ac:dyDescent="0.25">
      <c r="D497" s="1112" t="s">
        <v>131</v>
      </c>
      <c r="E497" s="1113"/>
      <c r="F497" s="1113"/>
      <c r="G497" s="1113"/>
      <c r="H497" s="1113"/>
      <c r="I497" s="1113"/>
      <c r="J497" s="1113"/>
      <c r="K497" s="1113"/>
      <c r="L497" s="1113"/>
      <c r="M497" s="1114"/>
      <c r="N497" s="1112" t="s">
        <v>2</v>
      </c>
      <c r="O497" s="1113"/>
      <c r="P497" s="1113"/>
      <c r="Q497" s="1113"/>
      <c r="R497" s="1113"/>
      <c r="S497" s="1113"/>
      <c r="T497" s="1113"/>
      <c r="U497" s="1113"/>
      <c r="V497" s="1113"/>
      <c r="W497" s="1114"/>
      <c r="X497" s="1112" t="s">
        <v>3</v>
      </c>
      <c r="Y497" s="1113"/>
      <c r="Z497" s="1113"/>
      <c r="AA497" s="1113"/>
      <c r="AB497" s="1113"/>
      <c r="AC497" s="1113"/>
      <c r="AD497" s="1113"/>
      <c r="AE497" s="1113"/>
      <c r="AF497" s="1113"/>
      <c r="AG497" s="1114"/>
    </row>
    <row r="498" spans="1:42" ht="28.5" customHeight="1" thickTop="1" x14ac:dyDescent="0.2">
      <c r="A498" s="666">
        <v>26</v>
      </c>
      <c r="D498" s="1116" t="s">
        <v>215</v>
      </c>
      <c r="E498" s="1117"/>
      <c r="F498" s="1117"/>
      <c r="G498" s="1117"/>
      <c r="H498" s="1117"/>
      <c r="I498" s="1117"/>
      <c r="J498" s="1117"/>
      <c r="K498" s="1117"/>
      <c r="L498" s="1117"/>
      <c r="M498" s="1118"/>
      <c r="N498" s="1119">
        <v>71002</v>
      </c>
      <c r="O498" s="1120"/>
      <c r="P498" s="1120"/>
      <c r="Q498" s="1120"/>
      <c r="R498" s="1120"/>
      <c r="S498" s="1120"/>
      <c r="T498" s="1120"/>
      <c r="U498" s="1120"/>
      <c r="V498" s="1120"/>
      <c r="W498" s="1120"/>
      <c r="X498" s="1212">
        <v>58990</v>
      </c>
      <c r="Y498" s="1213"/>
      <c r="Z498" s="1213"/>
      <c r="AA498" s="1213"/>
      <c r="AB498" s="1213"/>
      <c r="AC498" s="1213"/>
      <c r="AD498" s="1213"/>
      <c r="AE498" s="1213"/>
      <c r="AF498" s="1213"/>
      <c r="AG498" s="1214"/>
      <c r="AL498" s="661" t="s">
        <v>2</v>
      </c>
      <c r="AM498" s="664" t="s">
        <v>3</v>
      </c>
      <c r="AO498" s="661" t="s">
        <v>2</v>
      </c>
      <c r="AP498" s="664" t="s">
        <v>3</v>
      </c>
    </row>
    <row r="499" spans="1:42" ht="28.5" customHeight="1" x14ac:dyDescent="0.2">
      <c r="D499" s="918" t="s">
        <v>473</v>
      </c>
      <c r="E499" s="919"/>
      <c r="F499" s="919"/>
      <c r="G499" s="919"/>
      <c r="H499" s="919"/>
      <c r="I499" s="919"/>
      <c r="J499" s="919"/>
      <c r="K499" s="919"/>
      <c r="L499" s="919"/>
      <c r="M499" s="920"/>
      <c r="N499" s="1109">
        <v>1524791</v>
      </c>
      <c r="O499" s="932"/>
      <c r="P499" s="932"/>
      <c r="Q499" s="932"/>
      <c r="R499" s="932"/>
      <c r="S499" s="932"/>
      <c r="T499" s="932"/>
      <c r="U499" s="932"/>
      <c r="V499" s="932"/>
      <c r="W499" s="932"/>
      <c r="X499" s="1215">
        <v>1410708</v>
      </c>
      <c r="Y499" s="1216"/>
      <c r="Z499" s="1216"/>
      <c r="AA499" s="1216"/>
      <c r="AB499" s="1216"/>
      <c r="AC499" s="1216"/>
      <c r="AD499" s="1216"/>
      <c r="AE499" s="1216"/>
      <c r="AF499" s="1216"/>
      <c r="AG499" s="1217"/>
      <c r="AL499" s="682"/>
      <c r="AM499" s="687"/>
      <c r="AO499" s="710"/>
      <c r="AP499" s="711"/>
    </row>
    <row r="500" spans="1:42" ht="28.5" customHeight="1" thickBot="1" x14ac:dyDescent="0.25">
      <c r="D500" s="1058" t="s">
        <v>216</v>
      </c>
      <c r="E500" s="1059"/>
      <c r="F500" s="1059"/>
      <c r="G500" s="1059"/>
      <c r="H500" s="1059"/>
      <c r="I500" s="1059"/>
      <c r="J500" s="1059"/>
      <c r="K500" s="1059"/>
      <c r="L500" s="1059"/>
      <c r="M500" s="1060"/>
      <c r="N500" s="1115">
        <f>SUM(N498:W499)</f>
        <v>1595793</v>
      </c>
      <c r="O500" s="1104"/>
      <c r="P500" s="1104"/>
      <c r="Q500" s="1104"/>
      <c r="R500" s="1104"/>
      <c r="S500" s="1104"/>
      <c r="T500" s="1104"/>
      <c r="U500" s="1104"/>
      <c r="V500" s="1104"/>
      <c r="W500" s="1104"/>
      <c r="X500" s="1115">
        <f>SUM(X498:AG499)</f>
        <v>1469698</v>
      </c>
      <c r="Y500" s="1104"/>
      <c r="Z500" s="1104"/>
      <c r="AA500" s="1104"/>
      <c r="AB500" s="1104"/>
      <c r="AC500" s="1104"/>
      <c r="AD500" s="1104"/>
      <c r="AE500" s="1104"/>
      <c r="AF500" s="1104"/>
      <c r="AG500" s="1104"/>
      <c r="AL500" s="676"/>
      <c r="AM500" s="688"/>
      <c r="AO500" s="694"/>
      <c r="AP500" s="695"/>
    </row>
    <row r="501" spans="1:42" ht="28.5" customHeight="1" x14ac:dyDescent="0.2">
      <c r="D501" s="1116" t="s">
        <v>217</v>
      </c>
      <c r="E501" s="1117"/>
      <c r="F501" s="1117"/>
      <c r="G501" s="1117"/>
      <c r="H501" s="1117"/>
      <c r="I501" s="1117"/>
      <c r="J501" s="1117"/>
      <c r="K501" s="1117"/>
      <c r="L501" s="1117"/>
      <c r="M501" s="1118"/>
      <c r="N501" s="1109">
        <v>17464</v>
      </c>
      <c r="O501" s="932"/>
      <c r="P501" s="932"/>
      <c r="Q501" s="932"/>
      <c r="R501" s="932"/>
      <c r="S501" s="932"/>
      <c r="T501" s="932"/>
      <c r="U501" s="932"/>
      <c r="V501" s="932"/>
      <c r="W501" s="932"/>
      <c r="X501" s="938">
        <v>16225</v>
      </c>
      <c r="Y501" s="938"/>
      <c r="Z501" s="938"/>
      <c r="AA501" s="938"/>
      <c r="AB501" s="938"/>
      <c r="AC501" s="938"/>
      <c r="AD501" s="938"/>
      <c r="AE501" s="938"/>
      <c r="AF501" s="938"/>
      <c r="AG501" s="938"/>
      <c r="AL501" s="691">
        <f>SUM(N498:W499)-N500</f>
        <v>0</v>
      </c>
      <c r="AM501" s="678">
        <f>SUM(X498:AG499)-X500</f>
        <v>0</v>
      </c>
      <c r="AO501" s="692">
        <f>N500-BS!$D$121</f>
        <v>1595793</v>
      </c>
      <c r="AP501" s="693">
        <f>X500-BS!$E$121</f>
        <v>1469698</v>
      </c>
    </row>
    <row r="502" spans="1:42" ht="28.5" customHeight="1" thickBot="1" x14ac:dyDescent="0.25">
      <c r="D502" s="1058" t="s">
        <v>219</v>
      </c>
      <c r="E502" s="1059"/>
      <c r="F502" s="1059"/>
      <c r="G502" s="1059"/>
      <c r="H502" s="1059"/>
      <c r="I502" s="1059"/>
      <c r="J502" s="1059"/>
      <c r="K502" s="1059"/>
      <c r="L502" s="1059"/>
      <c r="M502" s="1060"/>
      <c r="N502" s="1115">
        <f>SUM(N501:W501)</f>
        <v>17464</v>
      </c>
      <c r="O502" s="1104"/>
      <c r="P502" s="1104"/>
      <c r="Q502" s="1104"/>
      <c r="R502" s="1104"/>
      <c r="S502" s="1104"/>
      <c r="T502" s="1104"/>
      <c r="U502" s="1104"/>
      <c r="V502" s="1104"/>
      <c r="W502" s="1104"/>
      <c r="X502" s="1115">
        <f>SUM(X501:AG501)</f>
        <v>16225</v>
      </c>
      <c r="Y502" s="1104"/>
      <c r="Z502" s="1104"/>
      <c r="AA502" s="1104"/>
      <c r="AB502" s="1104"/>
      <c r="AC502" s="1104"/>
      <c r="AD502" s="1104"/>
      <c r="AE502" s="1104"/>
      <c r="AF502" s="1104"/>
      <c r="AG502" s="1104"/>
      <c r="AL502" s="676"/>
      <c r="AM502" s="688"/>
      <c r="AO502" s="694"/>
      <c r="AP502" s="695"/>
    </row>
    <row r="503" spans="1:42" ht="28.5" customHeight="1" x14ac:dyDescent="0.2">
      <c r="AL503" s="679">
        <f>SUM(N501:W501)-N502</f>
        <v>0</v>
      </c>
      <c r="AM503" s="681">
        <f>SUM(X501:AG501)-X502</f>
        <v>0</v>
      </c>
      <c r="AO503" s="696">
        <f>N502-BS!$D$109</f>
        <v>17464</v>
      </c>
      <c r="AP503" s="697">
        <f>X502-BS!$E$109</f>
        <v>16225</v>
      </c>
    </row>
    <row r="505" spans="1:42" ht="14.25" customHeight="1" x14ac:dyDescent="0.2">
      <c r="D505" s="971" t="s">
        <v>1665</v>
      </c>
      <c r="E505" s="1111"/>
      <c r="F505" s="1111"/>
      <c r="G505" s="1111"/>
      <c r="H505" s="1111"/>
      <c r="I505" s="1111"/>
      <c r="J505" s="1111"/>
      <c r="K505" s="1111"/>
      <c r="L505" s="1111"/>
      <c r="M505" s="1111"/>
      <c r="N505" s="1111"/>
      <c r="O505" s="1111"/>
      <c r="P505" s="1111"/>
      <c r="Q505" s="1111"/>
      <c r="R505" s="1111"/>
      <c r="S505" s="1111"/>
      <c r="T505" s="1111"/>
      <c r="U505" s="1111"/>
      <c r="V505" s="1111"/>
      <c r="W505" s="1111"/>
      <c r="X505" s="1111"/>
      <c r="Y505" s="1111"/>
      <c r="Z505" s="1111"/>
      <c r="AA505" s="1111"/>
      <c r="AB505" s="1111"/>
      <c r="AC505" s="1111"/>
      <c r="AD505" s="1111"/>
      <c r="AE505" s="1111"/>
      <c r="AF505" s="1111"/>
      <c r="AG505" s="1111"/>
    </row>
    <row r="506" spans="1:42" ht="14.25" customHeight="1" x14ac:dyDescent="0.2">
      <c r="D506" s="897"/>
      <c r="E506" s="899"/>
      <c r="F506" s="899"/>
      <c r="G506" s="899"/>
      <c r="H506" s="899"/>
      <c r="I506" s="899"/>
      <c r="J506" s="899"/>
      <c r="K506" s="899"/>
      <c r="L506" s="899"/>
      <c r="M506" s="899"/>
      <c r="N506" s="899"/>
      <c r="O506" s="899"/>
      <c r="P506" s="899"/>
      <c r="Q506" s="899"/>
      <c r="R506" s="899"/>
      <c r="S506" s="899"/>
      <c r="T506" s="899"/>
      <c r="U506" s="899"/>
      <c r="V506" s="899"/>
      <c r="W506" s="899"/>
      <c r="X506" s="899"/>
      <c r="Y506" s="899"/>
      <c r="Z506" s="899"/>
      <c r="AA506" s="899"/>
      <c r="AB506" s="899"/>
      <c r="AC506" s="899"/>
      <c r="AD506" s="899"/>
      <c r="AE506" s="899"/>
      <c r="AF506" s="899"/>
      <c r="AG506" s="899"/>
    </row>
    <row r="507" spans="1:42" ht="14.25" customHeight="1" x14ac:dyDescent="0.2">
      <c r="D507" s="897"/>
      <c r="E507" s="899"/>
      <c r="F507" s="899"/>
      <c r="G507" s="899"/>
      <c r="H507" s="899"/>
      <c r="I507" s="899"/>
      <c r="J507" s="899"/>
      <c r="K507" s="899"/>
      <c r="L507" s="899"/>
      <c r="M507" s="899"/>
      <c r="N507" s="899"/>
      <c r="O507" s="899"/>
      <c r="P507" s="899"/>
      <c r="Q507" s="899"/>
      <c r="R507" s="899"/>
      <c r="S507" s="899"/>
      <c r="T507" s="899"/>
      <c r="U507" s="899"/>
      <c r="V507" s="899"/>
      <c r="W507" s="899"/>
      <c r="X507" s="899"/>
      <c r="Y507" s="899"/>
      <c r="Z507" s="899"/>
      <c r="AA507" s="899"/>
      <c r="AB507" s="899"/>
      <c r="AC507" s="899"/>
      <c r="AD507" s="899"/>
      <c r="AE507" s="899"/>
      <c r="AF507" s="899"/>
      <c r="AG507" s="899"/>
    </row>
    <row r="508" spans="1:42" ht="14.25" customHeight="1" x14ac:dyDescent="0.2">
      <c r="D508" s="1111" t="s">
        <v>1480</v>
      </c>
      <c r="E508" s="1111"/>
      <c r="F508" s="1111"/>
      <c r="G508" s="1111"/>
      <c r="H508" s="1111"/>
      <c r="I508" s="1111"/>
      <c r="J508" s="1111"/>
      <c r="K508" s="1111"/>
      <c r="L508" s="1111"/>
      <c r="M508" s="1111"/>
      <c r="N508" s="1111"/>
      <c r="O508" s="1111"/>
      <c r="P508" s="1111"/>
      <c r="Q508" s="1111"/>
      <c r="R508" s="1111"/>
      <c r="S508" s="1111"/>
      <c r="T508" s="1111"/>
      <c r="U508" s="1111"/>
      <c r="V508" s="1111"/>
      <c r="W508" s="1111"/>
      <c r="X508" s="1111"/>
      <c r="Y508" s="1111"/>
      <c r="Z508" s="1111"/>
      <c r="AA508" s="1111"/>
      <c r="AB508" s="1111"/>
      <c r="AC508" s="1111"/>
      <c r="AD508" s="1111"/>
      <c r="AE508" s="1111"/>
      <c r="AF508" s="1111"/>
      <c r="AG508" s="1111"/>
    </row>
    <row r="509" spans="1:42" ht="14.25" customHeight="1" thickBot="1" x14ac:dyDescent="0.25"/>
    <row r="510" spans="1:42" ht="14.25" customHeight="1" thickBot="1" x14ac:dyDescent="0.25">
      <c r="D510" s="1112" t="s">
        <v>131</v>
      </c>
      <c r="E510" s="1113"/>
      <c r="F510" s="1113"/>
      <c r="G510" s="1113"/>
      <c r="H510" s="1113"/>
      <c r="I510" s="1113"/>
      <c r="J510" s="1113"/>
      <c r="K510" s="1113"/>
      <c r="L510" s="1113"/>
      <c r="M510" s="1114"/>
      <c r="N510" s="1112" t="s">
        <v>2</v>
      </c>
      <c r="O510" s="1113"/>
      <c r="P510" s="1113"/>
      <c r="Q510" s="1113"/>
      <c r="R510" s="1113"/>
      <c r="S510" s="1113"/>
      <c r="T510" s="1113"/>
      <c r="U510" s="1113"/>
      <c r="V510" s="1113"/>
      <c r="W510" s="1114"/>
      <c r="X510" s="1112" t="s">
        <v>3</v>
      </c>
      <c r="Y510" s="1113"/>
      <c r="Z510" s="1113"/>
      <c r="AA510" s="1113"/>
      <c r="AB510" s="1113"/>
      <c r="AC510" s="1113"/>
      <c r="AD510" s="1113"/>
      <c r="AE510" s="1113"/>
      <c r="AF510" s="1113"/>
      <c r="AG510" s="1114"/>
    </row>
    <row r="511" spans="1:42" ht="28.5" customHeight="1" thickTop="1" x14ac:dyDescent="0.2">
      <c r="A511" s="666">
        <v>27</v>
      </c>
      <c r="D511" s="1261" t="s">
        <v>234</v>
      </c>
      <c r="E511" s="1262"/>
      <c r="F511" s="1262"/>
      <c r="G511" s="1262"/>
      <c r="H511" s="1262"/>
      <c r="I511" s="1262"/>
      <c r="J511" s="1262"/>
      <c r="K511" s="1262"/>
      <c r="L511" s="1262"/>
      <c r="M511" s="1263"/>
      <c r="N511" s="1119">
        <v>16225</v>
      </c>
      <c r="O511" s="1120"/>
      <c r="P511" s="1120"/>
      <c r="Q511" s="1120"/>
      <c r="R511" s="1120"/>
      <c r="S511" s="1120"/>
      <c r="T511" s="1120"/>
      <c r="U511" s="1120"/>
      <c r="V511" s="1120"/>
      <c r="W511" s="1120"/>
      <c r="X511" s="1120">
        <v>14841</v>
      </c>
      <c r="Y511" s="1120"/>
      <c r="Z511" s="1120"/>
      <c r="AA511" s="1120"/>
      <c r="AB511" s="1120"/>
      <c r="AC511" s="1120"/>
      <c r="AD511" s="1120"/>
      <c r="AE511" s="1120"/>
      <c r="AF511" s="1120"/>
      <c r="AG511" s="1120"/>
      <c r="AL511" s="661" t="s">
        <v>2</v>
      </c>
      <c r="AM511" s="664" t="s">
        <v>3</v>
      </c>
      <c r="AO511" s="661" t="s">
        <v>2</v>
      </c>
      <c r="AP511" s="664" t="s">
        <v>3</v>
      </c>
    </row>
    <row r="512" spans="1:42" ht="18.75" customHeight="1" x14ac:dyDescent="0.2">
      <c r="D512" s="1209" t="s">
        <v>235</v>
      </c>
      <c r="E512" s="1210"/>
      <c r="F512" s="1210"/>
      <c r="G512" s="1210"/>
      <c r="H512" s="1210"/>
      <c r="I512" s="1210"/>
      <c r="J512" s="1210"/>
      <c r="K512" s="1210"/>
      <c r="L512" s="1210"/>
      <c r="M512" s="1211"/>
      <c r="N512" s="1109">
        <v>3999</v>
      </c>
      <c r="O512" s="932"/>
      <c r="P512" s="932"/>
      <c r="Q512" s="932"/>
      <c r="R512" s="932"/>
      <c r="S512" s="932"/>
      <c r="T512" s="932"/>
      <c r="U512" s="932"/>
      <c r="V512" s="932"/>
      <c r="W512" s="932"/>
      <c r="X512" s="933">
        <v>3916</v>
      </c>
      <c r="Y512" s="914"/>
      <c r="Z512" s="914"/>
      <c r="AA512" s="914"/>
      <c r="AB512" s="914"/>
      <c r="AC512" s="914"/>
      <c r="AD512" s="914"/>
      <c r="AE512" s="914"/>
      <c r="AF512" s="914"/>
      <c r="AG512" s="1109"/>
      <c r="AL512" s="682"/>
      <c r="AM512" s="687"/>
      <c r="AO512" s="682"/>
      <c r="AP512" s="687"/>
    </row>
    <row r="513" spans="4:42" ht="18.75" customHeight="1" x14ac:dyDescent="0.2">
      <c r="D513" s="1218" t="s">
        <v>238</v>
      </c>
      <c r="E513" s="1219"/>
      <c r="F513" s="1219"/>
      <c r="G513" s="1219"/>
      <c r="H513" s="1219"/>
      <c r="I513" s="1219"/>
      <c r="J513" s="1219"/>
      <c r="K513" s="1219"/>
      <c r="L513" s="1219"/>
      <c r="M513" s="1220"/>
      <c r="N513" s="1197">
        <f>SUM(N512:W512)</f>
        <v>3999</v>
      </c>
      <c r="O513" s="1033"/>
      <c r="P513" s="1033"/>
      <c r="Q513" s="1033"/>
      <c r="R513" s="1033"/>
      <c r="S513" s="1033"/>
      <c r="T513" s="1033"/>
      <c r="U513" s="1033"/>
      <c r="V513" s="1033"/>
      <c r="W513" s="1033"/>
      <c r="X513" s="1197">
        <f>SUM(X512:AG512)</f>
        <v>3916</v>
      </c>
      <c r="Y513" s="1033"/>
      <c r="Z513" s="1033"/>
      <c r="AA513" s="1033"/>
      <c r="AB513" s="1033"/>
      <c r="AC513" s="1033"/>
      <c r="AD513" s="1033"/>
      <c r="AE513" s="1033"/>
      <c r="AF513" s="1033"/>
      <c r="AG513" s="1033"/>
      <c r="AL513" s="676"/>
      <c r="AM513" s="688"/>
      <c r="AO513" s="676"/>
      <c r="AP513" s="688"/>
    </row>
    <row r="514" spans="4:42" ht="18.75" customHeight="1" x14ac:dyDescent="0.2">
      <c r="D514" s="1218" t="s">
        <v>239</v>
      </c>
      <c r="E514" s="1219"/>
      <c r="F514" s="1219"/>
      <c r="G514" s="1219"/>
      <c r="H514" s="1219"/>
      <c r="I514" s="1219"/>
      <c r="J514" s="1219"/>
      <c r="K514" s="1219"/>
      <c r="L514" s="1219"/>
      <c r="M514" s="1220"/>
      <c r="N514" s="1109">
        <v>-2760</v>
      </c>
      <c r="O514" s="932"/>
      <c r="P514" s="932"/>
      <c r="Q514" s="932"/>
      <c r="R514" s="932"/>
      <c r="S514" s="932"/>
      <c r="T514" s="932"/>
      <c r="U514" s="932"/>
      <c r="V514" s="932"/>
      <c r="W514" s="932"/>
      <c r="X514" s="933">
        <v>-2532</v>
      </c>
      <c r="Y514" s="914"/>
      <c r="Z514" s="914"/>
      <c r="AA514" s="914"/>
      <c r="AB514" s="914"/>
      <c r="AC514" s="914"/>
      <c r="AD514" s="914"/>
      <c r="AE514" s="914"/>
      <c r="AF514" s="914"/>
      <c r="AG514" s="1109"/>
      <c r="AL514" s="691">
        <f>SUM(N512:W512)-N513</f>
        <v>0</v>
      </c>
      <c r="AM514" s="678">
        <f>SUM(X512:AG512)-X513</f>
        <v>0</v>
      </c>
      <c r="AO514" s="676"/>
      <c r="AP514" s="688"/>
    </row>
    <row r="515" spans="4:42" ht="18.75" customHeight="1" thickBot="1" x14ac:dyDescent="0.25">
      <c r="D515" s="1221" t="s">
        <v>240</v>
      </c>
      <c r="E515" s="1222"/>
      <c r="F515" s="1222"/>
      <c r="G515" s="1222"/>
      <c r="H515" s="1222"/>
      <c r="I515" s="1222"/>
      <c r="J515" s="1222"/>
      <c r="K515" s="1222"/>
      <c r="L515" s="1222"/>
      <c r="M515" s="1223"/>
      <c r="N515" s="1115">
        <f>N511+N513+N514</f>
        <v>17464</v>
      </c>
      <c r="O515" s="1104"/>
      <c r="P515" s="1104"/>
      <c r="Q515" s="1104"/>
      <c r="R515" s="1104"/>
      <c r="S515" s="1104"/>
      <c r="T515" s="1104"/>
      <c r="U515" s="1104"/>
      <c r="V515" s="1104"/>
      <c r="W515" s="1104"/>
      <c r="X515" s="1115">
        <f>X511+X513+X514</f>
        <v>16225</v>
      </c>
      <c r="Y515" s="1104"/>
      <c r="Z515" s="1104"/>
      <c r="AA515" s="1104"/>
      <c r="AB515" s="1104"/>
      <c r="AC515" s="1104"/>
      <c r="AD515" s="1104"/>
      <c r="AE515" s="1104"/>
      <c r="AF515" s="1104"/>
      <c r="AG515" s="1104"/>
      <c r="AL515" s="676"/>
      <c r="AM515" s="688"/>
      <c r="AO515" s="676"/>
      <c r="AP515" s="688"/>
    </row>
    <row r="516" spans="4:42" ht="18.75" customHeight="1" x14ac:dyDescent="0.2">
      <c r="AL516" s="679">
        <f>N511+N513+N514-N515</f>
        <v>0</v>
      </c>
      <c r="AM516" s="681">
        <f>X511+X513+X514-X515</f>
        <v>0</v>
      </c>
      <c r="AO516" s="679">
        <f>N515-BS!$D$118</f>
        <v>17464</v>
      </c>
      <c r="AP516" s="681">
        <f>X515-BS!$E$118</f>
        <v>16225</v>
      </c>
    </row>
    <row r="526" spans="4:42" ht="16.5" customHeight="1" x14ac:dyDescent="0.25">
      <c r="D526" s="712"/>
      <c r="E526"/>
      <c r="F526"/>
      <c r="G526"/>
    </row>
    <row r="527" spans="4:42" ht="14.25" customHeight="1" x14ac:dyDescent="0.25">
      <c r="D527" s="712"/>
      <c r="E527"/>
      <c r="F527"/>
      <c r="G527"/>
    </row>
    <row r="528" spans="4:42" ht="14.25" customHeight="1" x14ac:dyDescent="0.25">
      <c r="D528" s="712"/>
      <c r="E528"/>
      <c r="F528"/>
      <c r="G528"/>
    </row>
    <row r="529" spans="1:33" ht="14.25" customHeight="1" x14ac:dyDescent="0.2">
      <c r="D529" s="655" t="s">
        <v>1615</v>
      </c>
    </row>
    <row r="531" spans="1:33" ht="14.25" customHeight="1" x14ac:dyDescent="0.2">
      <c r="D531" s="1047" t="s">
        <v>1670</v>
      </c>
      <c r="E531" s="1098"/>
      <c r="F531" s="1098"/>
      <c r="G531" s="1098"/>
      <c r="H531" s="1098"/>
      <c r="I531" s="1098"/>
      <c r="J531" s="1098"/>
      <c r="K531" s="1098"/>
      <c r="L531" s="1098"/>
      <c r="M531" s="1098"/>
      <c r="N531" s="1098"/>
      <c r="O531" s="1098"/>
      <c r="P531" s="1098"/>
      <c r="Q531" s="1098"/>
      <c r="R531" s="1098"/>
      <c r="S531" s="1098"/>
      <c r="T531" s="1098"/>
      <c r="U531" s="1098"/>
      <c r="V531" s="1098"/>
      <c r="W531" s="1098"/>
      <c r="X531" s="1098"/>
      <c r="Y531" s="1098"/>
      <c r="Z531" s="1098"/>
      <c r="AA531" s="1098"/>
      <c r="AB531" s="1098"/>
      <c r="AC531" s="1098"/>
      <c r="AD531" s="1098"/>
      <c r="AE531" s="1098"/>
      <c r="AF531" s="1098"/>
      <c r="AG531" s="1098"/>
    </row>
    <row r="532" spans="1:33" ht="14.25" customHeight="1" x14ac:dyDescent="0.2">
      <c r="D532" s="1098"/>
      <c r="E532" s="1098"/>
      <c r="F532" s="1098"/>
      <c r="G532" s="1098"/>
      <c r="H532" s="1098"/>
      <c r="I532" s="1098"/>
      <c r="J532" s="1098"/>
      <c r="K532" s="1098"/>
      <c r="L532" s="1098"/>
      <c r="M532" s="1098"/>
      <c r="N532" s="1098"/>
      <c r="O532" s="1098"/>
      <c r="P532" s="1098"/>
      <c r="Q532" s="1098"/>
      <c r="R532" s="1098"/>
      <c r="S532" s="1098"/>
      <c r="T532" s="1098"/>
      <c r="U532" s="1098"/>
      <c r="V532" s="1098"/>
      <c r="W532" s="1098"/>
      <c r="X532" s="1098"/>
      <c r="Y532" s="1098"/>
      <c r="Z532" s="1098"/>
      <c r="AA532" s="1098"/>
      <c r="AB532" s="1098"/>
      <c r="AC532" s="1098"/>
      <c r="AD532" s="1098"/>
      <c r="AE532" s="1098"/>
      <c r="AF532" s="1098"/>
      <c r="AG532" s="1098"/>
    </row>
    <row r="534" spans="1:33" ht="14.25" customHeight="1" x14ac:dyDescent="0.2">
      <c r="D534" s="971" t="s">
        <v>1593</v>
      </c>
      <c r="E534" s="1111"/>
      <c r="F534" s="1111"/>
      <c r="G534" s="1111"/>
      <c r="H534" s="1111"/>
      <c r="I534" s="1111"/>
      <c r="J534" s="1111"/>
      <c r="K534" s="1111"/>
      <c r="L534" s="1111"/>
      <c r="M534" s="1111"/>
      <c r="N534" s="1111"/>
      <c r="O534" s="1111"/>
      <c r="P534" s="1111"/>
      <c r="Q534" s="1111"/>
      <c r="R534" s="1111"/>
      <c r="S534" s="1111"/>
      <c r="T534" s="1111"/>
      <c r="U534" s="1111"/>
      <c r="V534" s="1111"/>
      <c r="W534" s="1111"/>
      <c r="X534" s="1111"/>
      <c r="Y534" s="1111"/>
      <c r="Z534" s="1111"/>
      <c r="AA534" s="1111"/>
      <c r="AB534" s="1111"/>
      <c r="AC534" s="1111"/>
      <c r="AD534" s="1111"/>
      <c r="AE534" s="1111"/>
      <c r="AF534" s="1111"/>
      <c r="AG534" s="1111"/>
    </row>
    <row r="535" spans="1:33" ht="14.25" customHeight="1" thickBot="1" x14ac:dyDescent="0.25"/>
    <row r="536" spans="1:33" ht="14.25" customHeight="1" thickBot="1" x14ac:dyDescent="0.25">
      <c r="D536" s="959" t="s">
        <v>131</v>
      </c>
      <c r="E536" s="959"/>
      <c r="F536" s="959"/>
      <c r="G536" s="959"/>
      <c r="H536" s="959"/>
      <c r="I536" s="959"/>
      <c r="J536" s="959"/>
      <c r="K536" s="959"/>
      <c r="L536" s="959"/>
      <c r="M536" s="959"/>
      <c r="N536" s="959" t="s">
        <v>2</v>
      </c>
      <c r="O536" s="959"/>
      <c r="P536" s="959"/>
      <c r="Q536" s="959"/>
      <c r="R536" s="959"/>
      <c r="S536" s="959"/>
      <c r="T536" s="959"/>
      <c r="U536" s="959"/>
      <c r="V536" s="959"/>
      <c r="W536" s="959"/>
      <c r="X536" s="959" t="s">
        <v>3</v>
      </c>
      <c r="Y536" s="959"/>
      <c r="Z536" s="959"/>
      <c r="AA536" s="959"/>
      <c r="AB536" s="959"/>
      <c r="AC536" s="959"/>
      <c r="AD536" s="959"/>
      <c r="AE536" s="959"/>
      <c r="AF536" s="959"/>
      <c r="AG536" s="959"/>
    </row>
    <row r="537" spans="1:33" ht="25.5" customHeight="1" x14ac:dyDescent="0.2">
      <c r="A537" s="666">
        <v>30</v>
      </c>
      <c r="D537" s="1260" t="s">
        <v>220</v>
      </c>
      <c r="E537" s="1260"/>
      <c r="F537" s="1260"/>
      <c r="G537" s="1260"/>
      <c r="H537" s="1260"/>
      <c r="I537" s="1260"/>
      <c r="J537" s="1260"/>
      <c r="K537" s="1260"/>
      <c r="L537" s="1260"/>
      <c r="M537" s="1260"/>
      <c r="N537" s="1206">
        <v>95225</v>
      </c>
      <c r="O537" s="1206"/>
      <c r="P537" s="1206"/>
      <c r="Q537" s="1206"/>
      <c r="R537" s="1206"/>
      <c r="S537" s="1206"/>
      <c r="T537" s="1206"/>
      <c r="U537" s="1206"/>
      <c r="V537" s="1206"/>
      <c r="W537" s="1206"/>
      <c r="X537" s="1206">
        <v>81431</v>
      </c>
      <c r="Y537" s="1206"/>
      <c r="Z537" s="1206"/>
      <c r="AA537" s="1206"/>
      <c r="AB537" s="1206"/>
      <c r="AC537" s="1206"/>
      <c r="AD537" s="1206"/>
      <c r="AE537" s="1206"/>
      <c r="AF537" s="1206"/>
      <c r="AG537" s="1206"/>
    </row>
    <row r="538" spans="1:33" ht="25.5" customHeight="1" x14ac:dyDescent="0.2">
      <c r="D538" s="1002" t="s">
        <v>221</v>
      </c>
      <c r="E538" s="1002"/>
      <c r="F538" s="1002"/>
      <c r="G538" s="1002"/>
      <c r="H538" s="1002"/>
      <c r="I538" s="1002"/>
      <c r="J538" s="1002"/>
      <c r="K538" s="1002"/>
      <c r="L538" s="1002"/>
      <c r="M538" s="1002"/>
      <c r="N538" s="938">
        <v>100792</v>
      </c>
      <c r="O538" s="932"/>
      <c r="P538" s="932"/>
      <c r="Q538" s="932"/>
      <c r="R538" s="932"/>
      <c r="S538" s="932"/>
      <c r="T538" s="932"/>
      <c r="U538" s="932"/>
      <c r="V538" s="932"/>
      <c r="W538" s="932"/>
      <c r="X538" s="932">
        <v>87994</v>
      </c>
      <c r="Y538" s="932"/>
      <c r="Z538" s="932"/>
      <c r="AA538" s="932"/>
      <c r="AB538" s="932"/>
      <c r="AC538" s="932"/>
      <c r="AD538" s="932"/>
      <c r="AE538" s="932"/>
      <c r="AF538" s="932"/>
      <c r="AG538" s="932"/>
    </row>
    <row r="539" spans="1:33" ht="25.5" customHeight="1" x14ac:dyDescent="0.2">
      <c r="D539" s="1002" t="s">
        <v>222</v>
      </c>
      <c r="E539" s="1002"/>
      <c r="F539" s="1002"/>
      <c r="G539" s="1002"/>
      <c r="H539" s="1002"/>
      <c r="I539" s="1002"/>
      <c r="J539" s="1002"/>
      <c r="K539" s="1002"/>
      <c r="L539" s="1002"/>
      <c r="M539" s="1002"/>
      <c r="N539" s="932">
        <v>-5567</v>
      </c>
      <c r="O539" s="932"/>
      <c r="P539" s="932"/>
      <c r="Q539" s="932"/>
      <c r="R539" s="932"/>
      <c r="S539" s="932"/>
      <c r="T539" s="932"/>
      <c r="U539" s="932"/>
      <c r="V539" s="932"/>
      <c r="W539" s="932"/>
      <c r="X539" s="932">
        <v>-6563</v>
      </c>
      <c r="Y539" s="932"/>
      <c r="Z539" s="932"/>
      <c r="AA539" s="932"/>
      <c r="AB539" s="932"/>
      <c r="AC539" s="932"/>
      <c r="AD539" s="932"/>
      <c r="AE539" s="932"/>
      <c r="AF539" s="932"/>
      <c r="AG539" s="932"/>
    </row>
    <row r="540" spans="1:33" ht="25.5" customHeight="1" x14ac:dyDescent="0.2">
      <c r="D540" s="1257" t="s">
        <v>224</v>
      </c>
      <c r="E540" s="1257"/>
      <c r="F540" s="1257"/>
      <c r="G540" s="1257"/>
      <c r="H540" s="1257"/>
      <c r="I540" s="1257"/>
      <c r="J540" s="1257"/>
      <c r="K540" s="1257"/>
      <c r="L540" s="1257"/>
      <c r="M540" s="1257"/>
      <c r="N540" s="1207">
        <v>928604</v>
      </c>
      <c r="O540" s="1207"/>
      <c r="P540" s="1207"/>
      <c r="Q540" s="1207"/>
      <c r="R540" s="1207"/>
      <c r="S540" s="1207"/>
      <c r="T540" s="1207"/>
      <c r="U540" s="1207"/>
      <c r="V540" s="1207"/>
      <c r="W540" s="1207"/>
      <c r="X540" s="1207">
        <v>2715994</v>
      </c>
      <c r="Y540" s="1207"/>
      <c r="Z540" s="1207"/>
      <c r="AA540" s="1207"/>
      <c r="AB540" s="1207"/>
      <c r="AC540" s="1207"/>
      <c r="AD540" s="1207"/>
      <c r="AE540" s="1207"/>
      <c r="AF540" s="1207"/>
      <c r="AG540" s="1207"/>
    </row>
    <row r="541" spans="1:33" ht="25.5" customHeight="1" x14ac:dyDescent="0.2">
      <c r="D541" s="1257" t="s">
        <v>226</v>
      </c>
      <c r="E541" s="1257"/>
      <c r="F541" s="1257"/>
      <c r="G541" s="1257"/>
      <c r="H541" s="1257"/>
      <c r="I541" s="1257"/>
      <c r="J541" s="1257"/>
      <c r="K541" s="1257"/>
      <c r="L541" s="1257"/>
      <c r="M541" s="1257"/>
      <c r="N541" s="1207">
        <v>22</v>
      </c>
      <c r="O541" s="1207"/>
      <c r="P541" s="1207"/>
      <c r="Q541" s="1207"/>
      <c r="R541" s="1207"/>
      <c r="S541" s="1207"/>
      <c r="T541" s="1207"/>
      <c r="U541" s="1207"/>
      <c r="V541" s="1207"/>
      <c r="W541" s="1207"/>
      <c r="X541" s="1207">
        <v>23</v>
      </c>
      <c r="Y541" s="1207"/>
      <c r="Z541" s="1207"/>
      <c r="AA541" s="1207"/>
      <c r="AB541" s="1207"/>
      <c r="AC541" s="1207"/>
      <c r="AD541" s="1207"/>
      <c r="AE541" s="1207"/>
      <c r="AF541" s="1207"/>
      <c r="AG541" s="1207"/>
    </row>
    <row r="542" spans="1:33" ht="25.5" customHeight="1" thickBot="1" x14ac:dyDescent="0.25">
      <c r="D542" s="1105" t="s">
        <v>227</v>
      </c>
      <c r="E542" s="1105"/>
      <c r="F542" s="1105"/>
      <c r="G542" s="1105"/>
      <c r="H542" s="1105"/>
      <c r="I542" s="1105"/>
      <c r="J542" s="1105"/>
      <c r="K542" s="1105"/>
      <c r="L542" s="1105"/>
      <c r="M542" s="1105"/>
      <c r="N542" s="1208">
        <v>225242</v>
      </c>
      <c r="O542" s="1208"/>
      <c r="P542" s="1208"/>
      <c r="Q542" s="1208"/>
      <c r="R542" s="1208"/>
      <c r="S542" s="1208"/>
      <c r="T542" s="1208"/>
      <c r="U542" s="1208"/>
      <c r="V542" s="1208"/>
      <c r="W542" s="1208"/>
      <c r="X542" s="1208">
        <v>643408</v>
      </c>
      <c r="Y542" s="1208"/>
      <c r="Z542" s="1208"/>
      <c r="AA542" s="1208"/>
      <c r="AB542" s="1208"/>
      <c r="AC542" s="1208"/>
      <c r="AD542" s="1208"/>
      <c r="AE542" s="1208"/>
      <c r="AF542" s="1208"/>
      <c r="AG542" s="1208"/>
    </row>
    <row r="543" spans="1:33" ht="25.5" customHeight="1" x14ac:dyDescent="0.2"/>
    <row r="544" spans="1:33" ht="25.5" customHeight="1" x14ac:dyDescent="0.2">
      <c r="D544" s="1004" t="s">
        <v>1671</v>
      </c>
      <c r="E544" s="1028"/>
      <c r="F544" s="1028"/>
      <c r="G544" s="1028"/>
      <c r="H544" s="1028"/>
      <c r="I544" s="1028"/>
      <c r="J544" s="1028"/>
      <c r="K544" s="1028"/>
      <c r="L544" s="1028"/>
      <c r="M544" s="1028"/>
      <c r="N544" s="1028"/>
      <c r="O544" s="1028"/>
      <c r="P544" s="1028"/>
      <c r="Q544" s="1028"/>
      <c r="R544" s="1028"/>
      <c r="S544" s="1028"/>
      <c r="T544" s="1028"/>
      <c r="U544" s="1028"/>
      <c r="V544" s="1028"/>
      <c r="W544" s="1028"/>
      <c r="X544" s="1028"/>
      <c r="Y544" s="1028"/>
      <c r="Z544" s="1028"/>
      <c r="AA544" s="1028"/>
      <c r="AB544" s="1028"/>
      <c r="AC544" s="1028"/>
      <c r="AD544" s="1028"/>
      <c r="AE544" s="1028"/>
      <c r="AF544" s="1028"/>
      <c r="AG544" s="1028"/>
    </row>
    <row r="545" spans="4:33" ht="14.25" customHeight="1" x14ac:dyDescent="0.2">
      <c r="D545" s="1028"/>
      <c r="E545" s="1028"/>
      <c r="F545" s="1028"/>
      <c r="G545" s="1028"/>
      <c r="H545" s="1028"/>
      <c r="I545" s="1028"/>
      <c r="J545" s="1028"/>
      <c r="K545" s="1028"/>
      <c r="L545" s="1028"/>
      <c r="M545" s="1028"/>
      <c r="N545" s="1028"/>
      <c r="O545" s="1028"/>
      <c r="P545" s="1028"/>
      <c r="Q545" s="1028"/>
      <c r="R545" s="1028"/>
      <c r="S545" s="1028"/>
      <c r="T545" s="1028"/>
      <c r="U545" s="1028"/>
      <c r="V545" s="1028"/>
      <c r="W545" s="1028"/>
      <c r="X545" s="1028"/>
      <c r="Y545" s="1028"/>
      <c r="Z545" s="1028"/>
      <c r="AA545" s="1028"/>
      <c r="AB545" s="1028"/>
      <c r="AC545" s="1028"/>
      <c r="AD545" s="1028"/>
      <c r="AE545" s="1028"/>
      <c r="AF545" s="1028"/>
      <c r="AG545" s="1028"/>
    </row>
    <row r="547" spans="4:33" ht="14.25" customHeight="1" x14ac:dyDescent="0.2">
      <c r="D547" s="655" t="s">
        <v>1616</v>
      </c>
    </row>
    <row r="549" spans="4:33" ht="14.25" customHeight="1" x14ac:dyDescent="0.2">
      <c r="D549" s="971" t="s">
        <v>1621</v>
      </c>
      <c r="E549" s="1111"/>
      <c r="F549" s="1111"/>
      <c r="G549" s="1111"/>
      <c r="H549" s="1111"/>
      <c r="I549" s="1111"/>
      <c r="J549" s="1111"/>
      <c r="K549" s="1111"/>
      <c r="L549" s="1111"/>
      <c r="M549" s="1111"/>
      <c r="N549" s="1111"/>
      <c r="O549" s="1111"/>
      <c r="P549" s="1111"/>
      <c r="Q549" s="1111"/>
      <c r="R549" s="1111"/>
      <c r="S549" s="1111"/>
      <c r="T549" s="1111"/>
      <c r="U549" s="1111"/>
      <c r="V549" s="1111"/>
      <c r="W549" s="1111"/>
      <c r="X549" s="1111"/>
      <c r="Y549" s="1111"/>
      <c r="Z549" s="1111"/>
      <c r="AA549" s="1111"/>
      <c r="AB549" s="1111"/>
      <c r="AC549" s="1111"/>
      <c r="AD549" s="1111"/>
      <c r="AE549" s="1111"/>
      <c r="AF549" s="1111"/>
      <c r="AG549" s="1111"/>
    </row>
    <row r="550" spans="4:33" ht="14.25" customHeight="1" x14ac:dyDescent="0.2">
      <c r="D550" s="887"/>
      <c r="E550" s="884"/>
      <c r="F550" s="884"/>
      <c r="G550" s="884"/>
      <c r="H550" s="884"/>
      <c r="I550" s="884"/>
      <c r="J550" s="884"/>
      <c r="K550" s="884"/>
      <c r="L550" s="884"/>
      <c r="M550" s="884"/>
      <c r="N550" s="884"/>
      <c r="O550" s="884"/>
      <c r="P550" s="884"/>
      <c r="Q550" s="884"/>
      <c r="R550" s="884"/>
      <c r="S550" s="884"/>
      <c r="T550" s="884"/>
      <c r="U550" s="884"/>
      <c r="V550" s="884"/>
      <c r="W550" s="884"/>
      <c r="X550" s="884"/>
      <c r="Y550" s="884"/>
      <c r="Z550" s="884"/>
      <c r="AA550" s="884"/>
      <c r="AB550" s="884"/>
      <c r="AC550" s="884"/>
      <c r="AD550" s="884"/>
      <c r="AE550" s="884"/>
      <c r="AF550" s="884"/>
      <c r="AG550" s="884"/>
    </row>
    <row r="551" spans="4:33" ht="14.25" customHeight="1" x14ac:dyDescent="0.2">
      <c r="D551" s="1243" t="s">
        <v>1622</v>
      </c>
      <c r="E551" s="1244"/>
      <c r="F551" s="1244"/>
      <c r="G551" s="1244"/>
      <c r="H551" s="1244"/>
      <c r="I551" s="1243" t="s">
        <v>1624</v>
      </c>
      <c r="J551" s="1244"/>
      <c r="K551" s="1244"/>
      <c r="L551" s="1244"/>
      <c r="M551" s="1244"/>
      <c r="N551" s="1243" t="s">
        <v>1625</v>
      </c>
      <c r="O551" s="1244"/>
      <c r="P551" s="1244"/>
      <c r="Q551" s="1244"/>
      <c r="R551" s="1244"/>
      <c r="S551" s="1244"/>
      <c r="T551" s="1244"/>
      <c r="U551" s="1244"/>
      <c r="V551" s="1243" t="s">
        <v>1626</v>
      </c>
      <c r="W551" s="1244"/>
      <c r="X551" s="1244"/>
      <c r="Y551" s="1244"/>
      <c r="Z551" s="1244"/>
      <c r="AA551" s="1244"/>
      <c r="AB551" s="1297"/>
      <c r="AC551" s="884"/>
      <c r="AD551" s="884"/>
      <c r="AE551" s="884"/>
      <c r="AF551" s="884"/>
      <c r="AG551" s="884"/>
    </row>
    <row r="552" spans="4:33" ht="14.25" customHeight="1" x14ac:dyDescent="0.25">
      <c r="D552" s="1236" t="s">
        <v>1623</v>
      </c>
      <c r="E552" s="1237"/>
      <c r="F552" s="1237"/>
      <c r="G552" s="1237"/>
      <c r="H552" s="1237"/>
      <c r="I552" s="1248" t="s">
        <v>1627</v>
      </c>
      <c r="J552" s="1249"/>
      <c r="K552" s="1249"/>
      <c r="L552" s="1249"/>
      <c r="M552" s="1249"/>
      <c r="N552" s="1298">
        <v>157422</v>
      </c>
      <c r="O552" s="1249"/>
      <c r="P552" s="1249"/>
      <c r="Q552" s="1249"/>
      <c r="R552" s="1249"/>
      <c r="S552" s="1249"/>
      <c r="T552" s="1249"/>
      <c r="U552" s="1249"/>
      <c r="V552" s="1298">
        <v>192721</v>
      </c>
      <c r="W552" s="1249"/>
      <c r="X552" s="1249"/>
      <c r="Y552" s="1249"/>
      <c r="Z552" s="1249"/>
      <c r="AA552" s="1249"/>
      <c r="AB552" s="1250"/>
    </row>
    <row r="554" spans="4:33" ht="14.25" customHeight="1" x14ac:dyDescent="0.2">
      <c r="D554" s="655" t="s">
        <v>1617</v>
      </c>
    </row>
    <row r="556" spans="4:33" ht="14.25" customHeight="1" x14ac:dyDescent="0.2">
      <c r="D556" s="982" t="s">
        <v>1482</v>
      </c>
      <c r="E556" s="982"/>
      <c r="F556" s="982"/>
      <c r="G556" s="982"/>
      <c r="H556" s="982"/>
      <c r="I556" s="982"/>
      <c r="J556" s="982"/>
      <c r="K556" s="982"/>
      <c r="L556" s="982"/>
      <c r="M556" s="982"/>
      <c r="N556" s="982"/>
      <c r="O556" s="982"/>
      <c r="P556" s="982"/>
      <c r="Q556" s="982"/>
      <c r="R556" s="982"/>
      <c r="S556" s="982"/>
      <c r="T556" s="982"/>
      <c r="U556" s="982"/>
      <c r="V556" s="982"/>
      <c r="W556" s="982"/>
      <c r="X556" s="982"/>
      <c r="Y556" s="982"/>
      <c r="Z556" s="982"/>
      <c r="AA556" s="982"/>
      <c r="AB556" s="982"/>
      <c r="AC556" s="982"/>
      <c r="AD556" s="982"/>
      <c r="AE556" s="982"/>
      <c r="AF556" s="982"/>
      <c r="AG556" s="982"/>
    </row>
    <row r="558" spans="4:33" ht="14.25" customHeight="1" x14ac:dyDescent="0.2">
      <c r="D558" s="972" t="s">
        <v>1483</v>
      </c>
      <c r="E558" s="972"/>
      <c r="F558" s="972"/>
      <c r="G558" s="972"/>
      <c r="H558" s="972"/>
      <c r="I558" s="972"/>
      <c r="J558" s="972"/>
      <c r="K558" s="972"/>
      <c r="L558" s="972"/>
      <c r="M558" s="972"/>
      <c r="N558" s="972"/>
      <c r="O558" s="972"/>
      <c r="P558" s="972"/>
      <c r="Q558" s="972"/>
      <c r="R558" s="972"/>
      <c r="S558" s="972"/>
      <c r="T558" s="972"/>
      <c r="U558" s="972"/>
      <c r="V558" s="972"/>
      <c r="W558" s="972"/>
      <c r="X558" s="972"/>
      <c r="Y558" s="972"/>
      <c r="Z558" s="972"/>
      <c r="AA558" s="972"/>
      <c r="AB558" s="972"/>
      <c r="AC558" s="972"/>
      <c r="AD558" s="972"/>
      <c r="AE558" s="972"/>
      <c r="AF558" s="972"/>
      <c r="AG558" s="972"/>
    </row>
    <row r="559" spans="4:33" ht="20.25" customHeight="1" thickBot="1" x14ac:dyDescent="0.25"/>
    <row r="560" spans="4:33" ht="26.25" customHeight="1" thickBot="1" x14ac:dyDescent="0.25">
      <c r="D560" s="960" t="s">
        <v>275</v>
      </c>
      <c r="E560" s="960"/>
      <c r="F560" s="960"/>
      <c r="G560" s="960"/>
      <c r="H560" s="960"/>
      <c r="I560" s="960"/>
      <c r="J560" s="959" t="s">
        <v>276</v>
      </c>
      <c r="K560" s="959"/>
      <c r="L560" s="959"/>
      <c r="M560" s="959"/>
      <c r="N560" s="959"/>
      <c r="O560" s="959"/>
      <c r="P560" s="959"/>
      <c r="Q560" s="959"/>
      <c r="R560" s="1242"/>
      <c r="S560" s="1242"/>
      <c r="T560" s="1242"/>
      <c r="U560" s="1242"/>
      <c r="V560" s="1242"/>
      <c r="W560" s="1242"/>
      <c r="X560" s="1242"/>
      <c r="Y560" s="1242"/>
      <c r="Z560" s="1242"/>
      <c r="AA560" s="1242"/>
      <c r="AB560" s="1242"/>
      <c r="AC560" s="1242"/>
      <c r="AD560" s="1242"/>
      <c r="AE560" s="1242"/>
      <c r="AF560" s="1242"/>
      <c r="AG560" s="1242"/>
    </row>
    <row r="561" spans="1:42" ht="33.75" customHeight="1" thickBot="1" x14ac:dyDescent="0.25">
      <c r="D561" s="960"/>
      <c r="E561" s="960"/>
      <c r="F561" s="960"/>
      <c r="G561" s="960"/>
      <c r="H561" s="960"/>
      <c r="I561" s="960"/>
      <c r="J561" s="959" t="s">
        <v>2</v>
      </c>
      <c r="K561" s="959"/>
      <c r="L561" s="959"/>
      <c r="M561" s="959"/>
      <c r="N561" s="959" t="s">
        <v>484</v>
      </c>
      <c r="O561" s="959"/>
      <c r="P561" s="959"/>
      <c r="Q561" s="959"/>
      <c r="R561" s="1242"/>
      <c r="S561" s="1242"/>
      <c r="T561" s="1242"/>
      <c r="U561" s="1242"/>
      <c r="V561" s="1242"/>
      <c r="W561" s="1242"/>
      <c r="X561" s="1242"/>
      <c r="Y561" s="1242"/>
      <c r="Z561" s="1242"/>
      <c r="AA561" s="1242"/>
      <c r="AB561" s="1242"/>
      <c r="AC561" s="1242"/>
      <c r="AD561" s="1242"/>
      <c r="AE561" s="1242"/>
      <c r="AF561" s="1242"/>
      <c r="AG561" s="1242"/>
    </row>
    <row r="562" spans="1:42" ht="35.25" customHeight="1" thickBot="1" x14ac:dyDescent="0.25">
      <c r="A562" s="666">
        <v>35</v>
      </c>
      <c r="D562" s="1299" t="s">
        <v>1576</v>
      </c>
      <c r="E562" s="1300"/>
      <c r="F562" s="1300"/>
      <c r="G562" s="1300"/>
      <c r="H562" s="1300"/>
      <c r="I562" s="1300"/>
      <c r="J562" s="963">
        <v>12640467</v>
      </c>
      <c r="K562" s="963"/>
      <c r="L562" s="963"/>
      <c r="M562" s="963"/>
      <c r="N562" s="963">
        <v>12982323</v>
      </c>
      <c r="O562" s="963"/>
      <c r="P562" s="963"/>
      <c r="Q562" s="963"/>
      <c r="R562" s="1256"/>
      <c r="S562" s="1256"/>
      <c r="T562" s="1256"/>
      <c r="U562" s="1256"/>
      <c r="V562" s="1256"/>
      <c r="W562" s="1256"/>
      <c r="X562" s="1256"/>
      <c r="Y562" s="1256"/>
      <c r="Z562" s="1256"/>
      <c r="AA562" s="1256"/>
      <c r="AB562" s="1256"/>
      <c r="AC562" s="1256"/>
      <c r="AD562" s="1256"/>
      <c r="AE562" s="1256"/>
      <c r="AF562" s="1256"/>
      <c r="AG562" s="1256"/>
    </row>
    <row r="563" spans="1:42" ht="49.5" customHeight="1" thickBot="1" x14ac:dyDescent="0.25">
      <c r="D563" s="1293" t="s">
        <v>14</v>
      </c>
      <c r="E563" s="1293"/>
      <c r="F563" s="1293"/>
      <c r="G563" s="1293"/>
      <c r="H563" s="1293"/>
      <c r="I563" s="1293"/>
      <c r="J563" s="1255">
        <f>SUM(J562:M562)</f>
        <v>12640467</v>
      </c>
      <c r="K563" s="1255"/>
      <c r="L563" s="1255"/>
      <c r="M563" s="1255"/>
      <c r="N563" s="1255">
        <f>SUM(N562:Q562)</f>
        <v>12982323</v>
      </c>
      <c r="O563" s="1255"/>
      <c r="P563" s="1255"/>
      <c r="Q563" s="1255"/>
      <c r="R563" s="1256"/>
      <c r="S563" s="1256"/>
      <c r="T563" s="1256"/>
      <c r="U563" s="1256"/>
      <c r="V563" s="1256"/>
      <c r="W563" s="1256"/>
      <c r="X563" s="1256"/>
      <c r="Y563" s="1256"/>
      <c r="Z563" s="1256"/>
      <c r="AA563" s="1256"/>
      <c r="AB563" s="1256"/>
      <c r="AC563" s="1256"/>
      <c r="AD563" s="1256"/>
      <c r="AE563" s="1256"/>
      <c r="AF563" s="1256"/>
      <c r="AG563" s="1256"/>
    </row>
    <row r="565" spans="1:42" ht="14.25" customHeight="1" x14ac:dyDescent="0.2">
      <c r="D565" s="972" t="s">
        <v>1484</v>
      </c>
      <c r="E565" s="972"/>
      <c r="F565" s="972"/>
      <c r="G565" s="972"/>
      <c r="H565" s="972"/>
      <c r="I565" s="972"/>
      <c r="J565" s="972"/>
      <c r="K565" s="972"/>
      <c r="L565" s="972"/>
      <c r="M565" s="972"/>
      <c r="N565" s="972"/>
      <c r="O565" s="972"/>
      <c r="P565" s="972"/>
      <c r="Q565" s="972"/>
      <c r="R565" s="972"/>
      <c r="S565" s="972"/>
      <c r="T565" s="972"/>
      <c r="U565" s="972"/>
      <c r="V565" s="972"/>
      <c r="W565" s="972"/>
      <c r="X565" s="972"/>
      <c r="Y565" s="972"/>
      <c r="Z565" s="972"/>
      <c r="AA565" s="972"/>
      <c r="AB565" s="972"/>
      <c r="AC565" s="972"/>
      <c r="AD565" s="972"/>
      <c r="AE565" s="972"/>
      <c r="AF565" s="972"/>
      <c r="AG565" s="972"/>
    </row>
    <row r="566" spans="1:42" ht="14.25" customHeight="1" thickBot="1" x14ac:dyDescent="0.25">
      <c r="D566" s="725"/>
      <c r="E566" s="725"/>
      <c r="F566" s="725"/>
      <c r="G566" s="725"/>
      <c r="H566" s="725"/>
      <c r="I566" s="725"/>
      <c r="J566" s="725"/>
      <c r="K566" s="725"/>
      <c r="L566" s="725"/>
      <c r="M566" s="725"/>
    </row>
    <row r="567" spans="1:42" ht="14.25" customHeight="1" thickBot="1" x14ac:dyDescent="0.25">
      <c r="D567" s="1268" t="s">
        <v>131</v>
      </c>
      <c r="E567" s="1269"/>
      <c r="F567" s="1269"/>
      <c r="G567" s="1269"/>
      <c r="H567" s="1269"/>
      <c r="I567" s="1269"/>
      <c r="J567" s="1269"/>
      <c r="K567" s="1269"/>
      <c r="L567" s="1269"/>
      <c r="M567" s="1270"/>
      <c r="N567" s="983" t="s">
        <v>2</v>
      </c>
      <c r="O567" s="984"/>
      <c r="P567" s="984"/>
      <c r="Q567" s="984"/>
      <c r="R567" s="984"/>
      <c r="S567" s="984"/>
      <c r="T567" s="984"/>
      <c r="U567" s="984"/>
      <c r="V567" s="984"/>
      <c r="W567" s="984"/>
      <c r="X567" s="983" t="s">
        <v>3</v>
      </c>
      <c r="Y567" s="984"/>
      <c r="Z567" s="984"/>
      <c r="AA567" s="984"/>
      <c r="AB567" s="984"/>
      <c r="AC567" s="984"/>
      <c r="AD567" s="984"/>
      <c r="AE567" s="984"/>
      <c r="AF567" s="984"/>
      <c r="AG567" s="985"/>
    </row>
    <row r="568" spans="1:42" ht="14.25" customHeight="1" thickBot="1" x14ac:dyDescent="0.25">
      <c r="D568" s="1268"/>
      <c r="E568" s="1269"/>
      <c r="F568" s="1269"/>
      <c r="G568" s="1269"/>
      <c r="H568" s="1269"/>
      <c r="I568" s="1269"/>
      <c r="J568" s="1269"/>
      <c r="K568" s="1269"/>
      <c r="L568" s="1269"/>
      <c r="M568" s="1270"/>
      <c r="N568" s="986"/>
      <c r="O568" s="987"/>
      <c r="P568" s="987"/>
      <c r="Q568" s="987"/>
      <c r="R568" s="987"/>
      <c r="S568" s="987"/>
      <c r="T568" s="987"/>
      <c r="U568" s="987"/>
      <c r="V568" s="987"/>
      <c r="W568" s="987"/>
      <c r="X568" s="986"/>
      <c r="Y568" s="987"/>
      <c r="Z568" s="987"/>
      <c r="AA568" s="987"/>
      <c r="AB568" s="987"/>
      <c r="AC568" s="987"/>
      <c r="AD568" s="987"/>
      <c r="AE568" s="987"/>
      <c r="AF568" s="987"/>
      <c r="AG568" s="988"/>
    </row>
    <row r="569" spans="1:42" ht="14.25" customHeight="1" thickBot="1" x14ac:dyDescent="0.25">
      <c r="A569" s="666">
        <v>38</v>
      </c>
      <c r="D569" s="918" t="s">
        <v>298</v>
      </c>
      <c r="E569" s="919"/>
      <c r="F569" s="919"/>
      <c r="G569" s="919"/>
      <c r="H569" s="919"/>
      <c r="I569" s="919"/>
      <c r="J569" s="919"/>
      <c r="K569" s="919"/>
      <c r="L569" s="919"/>
      <c r="M569" s="920"/>
      <c r="N569" s="994" t="s">
        <v>1436</v>
      </c>
      <c r="O569" s="994"/>
      <c r="P569" s="994"/>
      <c r="Q569" s="994"/>
      <c r="R569" s="994"/>
      <c r="S569" s="994"/>
      <c r="T569" s="994"/>
      <c r="U569" s="994"/>
      <c r="V569" s="994"/>
      <c r="W569" s="994"/>
      <c r="X569" s="994">
        <v>520</v>
      </c>
      <c r="Y569" s="994"/>
      <c r="Z569" s="994"/>
      <c r="AA569" s="994"/>
      <c r="AB569" s="994"/>
      <c r="AC569" s="994"/>
      <c r="AD569" s="994"/>
      <c r="AE569" s="994"/>
      <c r="AF569" s="994"/>
      <c r="AG569" s="994"/>
    </row>
    <row r="570" spans="1:42" ht="14.25" customHeight="1" thickTop="1" x14ac:dyDescent="0.2">
      <c r="D570" s="918" t="s">
        <v>299</v>
      </c>
      <c r="E570" s="919"/>
      <c r="F570" s="919"/>
      <c r="G570" s="919"/>
      <c r="H570" s="919"/>
      <c r="I570" s="919"/>
      <c r="J570" s="919"/>
      <c r="K570" s="919"/>
      <c r="L570" s="919"/>
      <c r="M570" s="920"/>
      <c r="N570" s="994">
        <v>12620964</v>
      </c>
      <c r="O570" s="994"/>
      <c r="P570" s="994"/>
      <c r="Q570" s="994"/>
      <c r="R570" s="994"/>
      <c r="S570" s="994"/>
      <c r="T570" s="994"/>
      <c r="U570" s="994"/>
      <c r="V570" s="994"/>
      <c r="W570" s="994"/>
      <c r="X570" s="994">
        <v>12982323</v>
      </c>
      <c r="Y570" s="994"/>
      <c r="Z570" s="994"/>
      <c r="AA570" s="994"/>
      <c r="AB570" s="994"/>
      <c r="AC570" s="994"/>
      <c r="AD570" s="994"/>
      <c r="AE570" s="994"/>
      <c r="AF570" s="994"/>
      <c r="AG570" s="994"/>
      <c r="AL570" s="716" t="s">
        <v>2</v>
      </c>
      <c r="AM570" s="717" t="s">
        <v>3</v>
      </c>
      <c r="AO570" s="716" t="s">
        <v>2</v>
      </c>
      <c r="AP570" s="717" t="s">
        <v>3</v>
      </c>
    </row>
    <row r="571" spans="1:42" ht="26.25" customHeight="1" x14ac:dyDescent="0.2">
      <c r="D571" s="918" t="s">
        <v>301</v>
      </c>
      <c r="E571" s="919"/>
      <c r="F571" s="919"/>
      <c r="G571" s="919"/>
      <c r="H571" s="919"/>
      <c r="I571" s="919"/>
      <c r="J571" s="919"/>
      <c r="K571" s="919"/>
      <c r="L571" s="919"/>
      <c r="M571" s="920"/>
      <c r="N571" s="1271">
        <v>3200</v>
      </c>
      <c r="O571" s="1271"/>
      <c r="P571" s="1271"/>
      <c r="Q571" s="1271"/>
      <c r="R571" s="1271"/>
      <c r="S571" s="1271"/>
      <c r="T571" s="1271"/>
      <c r="U571" s="1271"/>
      <c r="V571" s="1271"/>
      <c r="W571" s="1271"/>
      <c r="X571" s="1271">
        <v>9083</v>
      </c>
      <c r="Y571" s="1271"/>
      <c r="Z571" s="1271"/>
      <c r="AA571" s="1271"/>
      <c r="AB571" s="1271"/>
      <c r="AC571" s="1271"/>
      <c r="AD571" s="1271"/>
      <c r="AE571" s="1271"/>
      <c r="AF571" s="1271"/>
      <c r="AG571" s="1271"/>
      <c r="AL571" s="429"/>
      <c r="AM571" s="428"/>
      <c r="AO571" s="691" t="e">
        <f>#REF!</f>
        <v>#REF!</v>
      </c>
      <c r="AP571" s="678" t="e">
        <f>#REF!</f>
        <v>#REF!</v>
      </c>
    </row>
    <row r="572" spans="1:42" ht="26.25" customHeight="1" thickBot="1" x14ac:dyDescent="0.25">
      <c r="D572" s="995" t="s">
        <v>303</v>
      </c>
      <c r="E572" s="996"/>
      <c r="F572" s="996"/>
      <c r="G572" s="996"/>
      <c r="H572" s="996"/>
      <c r="I572" s="996"/>
      <c r="J572" s="996"/>
      <c r="K572" s="996"/>
      <c r="L572" s="996"/>
      <c r="M572" s="997"/>
      <c r="N572" s="1272">
        <f>SUM(N569:W571)</f>
        <v>12624164</v>
      </c>
      <c r="O572" s="1272"/>
      <c r="P572" s="1272"/>
      <c r="Q572" s="1272"/>
      <c r="R572" s="1272"/>
      <c r="S572" s="1272"/>
      <c r="T572" s="1272"/>
      <c r="U572" s="1272"/>
      <c r="V572" s="1272"/>
      <c r="W572" s="1272"/>
      <c r="X572" s="1272">
        <f>SUM(X569:AG571)</f>
        <v>12991926</v>
      </c>
      <c r="Y572" s="1272"/>
      <c r="Z572" s="1272"/>
      <c r="AA572" s="1272"/>
      <c r="AB572" s="1272"/>
      <c r="AC572" s="1272"/>
      <c r="AD572" s="1272"/>
      <c r="AE572" s="1272"/>
      <c r="AF572" s="1272"/>
      <c r="AG572" s="1272"/>
      <c r="AL572" s="429"/>
      <c r="AM572" s="428"/>
      <c r="AO572" s="691">
        <f>N570-'P&amp;L'!$D$9</f>
        <v>12620964</v>
      </c>
      <c r="AP572" s="678">
        <f>X570-'P&amp;L'!$E$9</f>
        <v>12982323</v>
      </c>
    </row>
    <row r="573" spans="1:42" ht="26.25" customHeight="1" x14ac:dyDescent="0.2">
      <c r="D573" s="726"/>
      <c r="E573" s="726"/>
      <c r="F573" s="726"/>
      <c r="G573" s="726"/>
      <c r="H573" s="726"/>
      <c r="I573" s="726"/>
      <c r="J573" s="726"/>
      <c r="K573" s="726"/>
      <c r="L573" s="726"/>
      <c r="M573" s="726"/>
      <c r="N573" s="912"/>
      <c r="O573" s="912"/>
      <c r="P573" s="912"/>
      <c r="Q573" s="912"/>
      <c r="R573" s="912"/>
      <c r="S573" s="912"/>
      <c r="T573" s="912"/>
      <c r="U573" s="912"/>
      <c r="V573" s="912"/>
      <c r="W573" s="912"/>
      <c r="X573" s="912"/>
      <c r="Y573" s="912"/>
      <c r="Z573" s="912"/>
      <c r="AA573" s="912"/>
      <c r="AB573" s="912"/>
      <c r="AC573" s="912"/>
      <c r="AD573" s="912"/>
      <c r="AE573" s="912"/>
      <c r="AF573" s="912"/>
      <c r="AG573" s="912"/>
      <c r="AL573" s="429"/>
      <c r="AM573" s="428"/>
      <c r="AO573" s="691"/>
      <c r="AP573" s="678"/>
    </row>
    <row r="575" spans="1:42" ht="14.25" customHeight="1" x14ac:dyDescent="0.2">
      <c r="D575" s="982" t="s">
        <v>1485</v>
      </c>
      <c r="E575" s="982"/>
      <c r="F575" s="982"/>
      <c r="G575" s="982"/>
      <c r="H575" s="982"/>
      <c r="I575" s="982"/>
      <c r="J575" s="982"/>
      <c r="K575" s="982"/>
      <c r="L575" s="982"/>
      <c r="M575" s="982"/>
      <c r="N575" s="982"/>
      <c r="O575" s="982"/>
      <c r="P575" s="982"/>
      <c r="Q575" s="982"/>
      <c r="R575" s="982"/>
      <c r="S575" s="982"/>
      <c r="T575" s="982"/>
      <c r="U575" s="982"/>
      <c r="V575" s="982"/>
      <c r="W575" s="982"/>
      <c r="X575" s="982"/>
      <c r="Y575" s="982"/>
      <c r="Z575" s="982"/>
      <c r="AA575" s="982"/>
      <c r="AB575" s="982"/>
      <c r="AC575" s="982"/>
      <c r="AD575" s="982"/>
      <c r="AE575" s="982"/>
      <c r="AF575" s="982"/>
      <c r="AG575" s="982"/>
    </row>
    <row r="576" spans="1:42" ht="14.25" customHeight="1" x14ac:dyDescent="0.2">
      <c r="D576" s="898"/>
      <c r="E576" s="898"/>
      <c r="F576" s="898"/>
      <c r="G576" s="898"/>
      <c r="H576" s="898"/>
      <c r="I576" s="898"/>
      <c r="J576" s="898"/>
      <c r="K576" s="898"/>
      <c r="L576" s="898"/>
      <c r="M576" s="898"/>
      <c r="N576" s="898"/>
      <c r="O576" s="898"/>
      <c r="P576" s="898"/>
      <c r="Q576" s="898"/>
      <c r="R576" s="898"/>
      <c r="S576" s="898"/>
      <c r="T576" s="898"/>
      <c r="U576" s="898"/>
      <c r="V576" s="898"/>
      <c r="W576" s="898"/>
      <c r="X576" s="898"/>
      <c r="Y576" s="898"/>
      <c r="Z576" s="898"/>
      <c r="AA576" s="898"/>
      <c r="AB576" s="898"/>
      <c r="AC576" s="898"/>
      <c r="AD576" s="898"/>
      <c r="AE576" s="898"/>
      <c r="AF576" s="898"/>
      <c r="AG576" s="898"/>
    </row>
    <row r="577" spans="1:42" ht="14.25" customHeight="1" x14ac:dyDescent="0.2">
      <c r="D577" s="972" t="s">
        <v>1486</v>
      </c>
      <c r="E577" s="972"/>
      <c r="F577" s="972"/>
      <c r="G577" s="972"/>
      <c r="H577" s="972"/>
      <c r="I577" s="972"/>
      <c r="J577" s="972"/>
      <c r="K577" s="972"/>
      <c r="L577" s="972"/>
      <c r="M577" s="972"/>
      <c r="N577" s="972"/>
      <c r="O577" s="972"/>
      <c r="P577" s="972"/>
      <c r="Q577" s="972"/>
      <c r="R577" s="972"/>
      <c r="S577" s="972"/>
      <c r="T577" s="972"/>
      <c r="U577" s="972"/>
      <c r="V577" s="972"/>
      <c r="W577" s="972"/>
      <c r="X577" s="972"/>
      <c r="Y577" s="972"/>
      <c r="Z577" s="972"/>
      <c r="AA577" s="972"/>
      <c r="AB577" s="972"/>
      <c r="AC577" s="972"/>
      <c r="AD577" s="972"/>
      <c r="AE577" s="972"/>
      <c r="AF577" s="972"/>
      <c r="AG577" s="972"/>
    </row>
    <row r="578" spans="1:42" ht="14.25" customHeight="1" thickBot="1" x14ac:dyDescent="0.25"/>
    <row r="579" spans="1:42" ht="14.25" customHeight="1" x14ac:dyDescent="0.2">
      <c r="D579" s="1015" t="s">
        <v>131</v>
      </c>
      <c r="E579" s="1016"/>
      <c r="F579" s="1016"/>
      <c r="G579" s="1016"/>
      <c r="H579" s="1016"/>
      <c r="I579" s="1016"/>
      <c r="J579" s="1016"/>
      <c r="K579" s="1016"/>
      <c r="L579" s="1016"/>
      <c r="M579" s="1017"/>
      <c r="N579" s="983" t="s">
        <v>2</v>
      </c>
      <c r="O579" s="984"/>
      <c r="P579" s="984"/>
      <c r="Q579" s="984"/>
      <c r="R579" s="984"/>
      <c r="S579" s="984"/>
      <c r="T579" s="984"/>
      <c r="U579" s="984"/>
      <c r="V579" s="984"/>
      <c r="W579" s="984"/>
      <c r="X579" s="983" t="s">
        <v>3</v>
      </c>
      <c r="Y579" s="984"/>
      <c r="Z579" s="984"/>
      <c r="AA579" s="984"/>
      <c r="AB579" s="984"/>
      <c r="AC579" s="984"/>
      <c r="AD579" s="984"/>
      <c r="AE579" s="984"/>
      <c r="AF579" s="984"/>
      <c r="AG579" s="985"/>
    </row>
    <row r="580" spans="1:42" ht="14.25" customHeight="1" thickBot="1" x14ac:dyDescent="0.25">
      <c r="D580" s="1018"/>
      <c r="E580" s="1019"/>
      <c r="F580" s="1019"/>
      <c r="G580" s="1019"/>
      <c r="H580" s="1019"/>
      <c r="I580" s="1019"/>
      <c r="J580" s="1019"/>
      <c r="K580" s="1019"/>
      <c r="L580" s="1019"/>
      <c r="M580" s="1020"/>
      <c r="N580" s="986"/>
      <c r="O580" s="987"/>
      <c r="P580" s="987"/>
      <c r="Q580" s="987"/>
      <c r="R580" s="987"/>
      <c r="S580" s="987"/>
      <c r="T580" s="987"/>
      <c r="U580" s="987"/>
      <c r="V580" s="987"/>
      <c r="W580" s="987"/>
      <c r="X580" s="986"/>
      <c r="Y580" s="987"/>
      <c r="Z580" s="987"/>
      <c r="AA580" s="987"/>
      <c r="AB580" s="987"/>
      <c r="AC580" s="987"/>
      <c r="AD580" s="987"/>
      <c r="AE580" s="987"/>
      <c r="AF580" s="987"/>
      <c r="AG580" s="988"/>
    </row>
    <row r="581" spans="1:42" ht="14.25" customHeight="1" x14ac:dyDescent="0.2">
      <c r="D581" s="1021" t="s">
        <v>305</v>
      </c>
      <c r="E581" s="1022"/>
      <c r="F581" s="1022"/>
      <c r="G581" s="1022"/>
      <c r="H581" s="1022"/>
      <c r="I581" s="1022"/>
      <c r="J581" s="1022"/>
      <c r="K581" s="1022"/>
      <c r="L581" s="1022"/>
      <c r="M581" s="1023"/>
      <c r="N581" s="994">
        <v>2873124</v>
      </c>
      <c r="O581" s="994"/>
      <c r="P581" s="994"/>
      <c r="Q581" s="994"/>
      <c r="R581" s="994"/>
      <c r="S581" s="994"/>
      <c r="T581" s="994"/>
      <c r="U581" s="994"/>
      <c r="V581" s="994"/>
      <c r="W581" s="994"/>
      <c r="X581" s="994">
        <v>3344910</v>
      </c>
      <c r="Y581" s="994"/>
      <c r="Z581" s="994"/>
      <c r="AA581" s="994"/>
      <c r="AB581" s="994"/>
      <c r="AC581" s="994"/>
      <c r="AD581" s="994"/>
      <c r="AE581" s="994"/>
      <c r="AF581" s="994"/>
      <c r="AG581" s="994"/>
    </row>
    <row r="582" spans="1:42" ht="23.25" customHeight="1" thickBot="1" x14ac:dyDescent="0.25">
      <c r="A582" s="666">
        <v>39</v>
      </c>
      <c r="D582" s="989" t="s">
        <v>306</v>
      </c>
      <c r="E582" s="990"/>
      <c r="F582" s="990"/>
      <c r="G582" s="990"/>
      <c r="H582" s="990"/>
      <c r="I582" s="990"/>
      <c r="J582" s="990"/>
      <c r="K582" s="990"/>
      <c r="L582" s="990"/>
      <c r="M582" s="991"/>
      <c r="N582" s="994">
        <v>9024</v>
      </c>
      <c r="O582" s="994"/>
      <c r="P582" s="994"/>
      <c r="Q582" s="994"/>
      <c r="R582" s="994"/>
      <c r="S582" s="994"/>
      <c r="T582" s="994"/>
      <c r="U582" s="994"/>
      <c r="V582" s="994"/>
      <c r="W582" s="994"/>
      <c r="X582" s="994">
        <v>9483</v>
      </c>
      <c r="Y582" s="994"/>
      <c r="Z582" s="994"/>
      <c r="AA582" s="994"/>
      <c r="AB582" s="994"/>
      <c r="AC582" s="994"/>
      <c r="AD582" s="994"/>
      <c r="AE582" s="994"/>
      <c r="AF582" s="994"/>
      <c r="AG582" s="994"/>
    </row>
    <row r="583" spans="1:42" ht="14.25" customHeight="1" thickTop="1" x14ac:dyDescent="0.2">
      <c r="D583" s="918" t="s">
        <v>307</v>
      </c>
      <c r="E583" s="919"/>
      <c r="F583" s="919"/>
      <c r="G583" s="919"/>
      <c r="H583" s="919"/>
      <c r="I583" s="919"/>
      <c r="J583" s="919"/>
      <c r="K583" s="919"/>
      <c r="L583" s="919"/>
      <c r="M583" s="920"/>
      <c r="N583" s="1000">
        <v>4000</v>
      </c>
      <c r="O583" s="1000"/>
      <c r="P583" s="1000"/>
      <c r="Q583" s="1000"/>
      <c r="R583" s="1000"/>
      <c r="S583" s="1000"/>
      <c r="T583" s="1000"/>
      <c r="U583" s="1000"/>
      <c r="V583" s="1000"/>
      <c r="W583" s="1000"/>
      <c r="X583" s="1000">
        <v>4000</v>
      </c>
      <c r="Y583" s="1000"/>
      <c r="Z583" s="1000"/>
      <c r="AA583" s="1000"/>
      <c r="AB583" s="1000"/>
      <c r="AC583" s="1000"/>
      <c r="AD583" s="1000"/>
      <c r="AE583" s="1000"/>
      <c r="AF583" s="1000"/>
      <c r="AG583" s="1000"/>
      <c r="AL583" s="718" t="s">
        <v>2</v>
      </c>
      <c r="AM583" s="722" t="s">
        <v>3</v>
      </c>
      <c r="AO583" s="718" t="s">
        <v>2</v>
      </c>
      <c r="AP583" s="722" t="s">
        <v>3</v>
      </c>
    </row>
    <row r="584" spans="1:42" s="20" customFormat="1" ht="34.5" customHeight="1" x14ac:dyDescent="0.2">
      <c r="A584" s="720"/>
      <c r="D584" s="918" t="s">
        <v>308</v>
      </c>
      <c r="E584" s="919"/>
      <c r="F584" s="919"/>
      <c r="G584" s="919"/>
      <c r="H584" s="919"/>
      <c r="I584" s="919"/>
      <c r="J584" s="919"/>
      <c r="K584" s="919"/>
      <c r="L584" s="919"/>
      <c r="M584" s="920"/>
      <c r="N584" s="994">
        <v>5024</v>
      </c>
      <c r="O584" s="994"/>
      <c r="P584" s="994"/>
      <c r="Q584" s="994"/>
      <c r="R584" s="994"/>
      <c r="S584" s="994"/>
      <c r="T584" s="994"/>
      <c r="U584" s="994"/>
      <c r="V584" s="994"/>
      <c r="W584" s="994"/>
      <c r="X584" s="994">
        <v>5483</v>
      </c>
      <c r="Y584" s="994"/>
      <c r="Z584" s="994"/>
      <c r="AA584" s="994"/>
      <c r="AB584" s="994"/>
      <c r="AC584" s="994"/>
      <c r="AD584" s="994"/>
      <c r="AE584" s="994"/>
      <c r="AF584" s="994"/>
      <c r="AG584" s="994"/>
      <c r="AL584" s="699">
        <f>SUM(N582,N585)-N581</f>
        <v>0</v>
      </c>
      <c r="AM584" s="684">
        <f>SUM(X582,X585)-X581</f>
        <v>0</v>
      </c>
      <c r="AO584" s="699">
        <f>N581-'P&amp;L'!$D$18</f>
        <v>2873124</v>
      </c>
      <c r="AP584" s="684">
        <f>X581-'P&amp;L'!$E$18</f>
        <v>3344910</v>
      </c>
    </row>
    <row r="585" spans="1:42" s="20" customFormat="1" ht="29.25" customHeight="1" x14ac:dyDescent="0.2">
      <c r="A585" s="720"/>
      <c r="D585" s="989" t="s">
        <v>312</v>
      </c>
      <c r="E585" s="990"/>
      <c r="F585" s="990"/>
      <c r="G585" s="990"/>
      <c r="H585" s="990"/>
      <c r="I585" s="990"/>
      <c r="J585" s="990"/>
      <c r="K585" s="990"/>
      <c r="L585" s="990"/>
      <c r="M585" s="991"/>
      <c r="N585" s="994">
        <v>2864100</v>
      </c>
      <c r="O585" s="994"/>
      <c r="P585" s="994"/>
      <c r="Q585" s="994"/>
      <c r="R585" s="994"/>
      <c r="S585" s="994"/>
      <c r="T585" s="994"/>
      <c r="U585" s="994"/>
      <c r="V585" s="994"/>
      <c r="W585" s="994"/>
      <c r="X585" s="994">
        <v>3335427</v>
      </c>
      <c r="Y585" s="994"/>
      <c r="Z585" s="994"/>
      <c r="AA585" s="994"/>
      <c r="AB585" s="994"/>
      <c r="AC585" s="994"/>
      <c r="AD585" s="994"/>
      <c r="AE585" s="994"/>
      <c r="AF585" s="994"/>
      <c r="AG585" s="994"/>
      <c r="AL585" s="691">
        <f>SUM(N583:W584)-N582</f>
        <v>0</v>
      </c>
      <c r="AM585" s="678">
        <f>SUM(X583:AG584)-X582</f>
        <v>0</v>
      </c>
      <c r="AO585" s="691"/>
      <c r="AP585" s="678"/>
    </row>
    <row r="586" spans="1:42" s="20" customFormat="1" ht="29.25" customHeight="1" x14ac:dyDescent="0.2">
      <c r="A586" s="720"/>
      <c r="D586" s="989" t="s">
        <v>1553</v>
      </c>
      <c r="E586" s="990"/>
      <c r="F586" s="990"/>
      <c r="G586" s="990"/>
      <c r="H586" s="990"/>
      <c r="I586" s="990"/>
      <c r="J586" s="990"/>
      <c r="K586" s="990"/>
      <c r="L586" s="990"/>
      <c r="M586" s="991"/>
      <c r="N586" s="956">
        <v>1080558</v>
      </c>
      <c r="O586" s="957"/>
      <c r="P586" s="957"/>
      <c r="Q586" s="957"/>
      <c r="R586" s="957"/>
      <c r="S586" s="957"/>
      <c r="T586" s="957"/>
      <c r="U586" s="957"/>
      <c r="V586" s="957"/>
      <c r="W586" s="958"/>
      <c r="X586" s="956">
        <v>1526627</v>
      </c>
      <c r="Y586" s="957"/>
      <c r="Z586" s="957"/>
      <c r="AA586" s="957"/>
      <c r="AB586" s="957"/>
      <c r="AC586" s="957"/>
      <c r="AD586" s="957"/>
      <c r="AE586" s="957"/>
      <c r="AF586" s="957"/>
      <c r="AG586" s="958"/>
      <c r="AL586" s="676"/>
      <c r="AM586" s="678"/>
      <c r="AO586" s="728"/>
      <c r="AP586" s="729"/>
    </row>
    <row r="587" spans="1:42" s="20" customFormat="1" ht="29.25" customHeight="1" x14ac:dyDescent="0.2">
      <c r="A587" s="720"/>
      <c r="D587" s="989" t="s">
        <v>1554</v>
      </c>
      <c r="E587" s="990"/>
      <c r="F587" s="990"/>
      <c r="G587" s="990"/>
      <c r="H587" s="990"/>
      <c r="I587" s="990"/>
      <c r="J587" s="990"/>
      <c r="K587" s="990"/>
      <c r="L587" s="990"/>
      <c r="M587" s="991"/>
      <c r="N587" s="956">
        <v>460996</v>
      </c>
      <c r="O587" s="957"/>
      <c r="P587" s="957"/>
      <c r="Q587" s="957"/>
      <c r="R587" s="957"/>
      <c r="S587" s="957"/>
      <c r="T587" s="957"/>
      <c r="U587" s="957"/>
      <c r="V587" s="957"/>
      <c r="W587" s="958"/>
      <c r="X587" s="956">
        <v>450721</v>
      </c>
      <c r="Y587" s="957"/>
      <c r="Z587" s="957"/>
      <c r="AA587" s="957"/>
      <c r="AB587" s="957"/>
      <c r="AC587" s="957"/>
      <c r="AD587" s="957"/>
      <c r="AE587" s="957"/>
      <c r="AF587" s="957"/>
      <c r="AG587" s="958"/>
      <c r="AL587" s="676"/>
      <c r="AM587" s="678"/>
      <c r="AO587" s="730"/>
      <c r="AP587" s="731"/>
    </row>
    <row r="588" spans="1:42" s="20" customFormat="1" ht="29.25" customHeight="1" x14ac:dyDescent="0.2">
      <c r="A588" s="720"/>
      <c r="D588" s="989" t="s">
        <v>1555</v>
      </c>
      <c r="E588" s="990"/>
      <c r="F588" s="990"/>
      <c r="G588" s="990"/>
      <c r="H588" s="990"/>
      <c r="I588" s="990"/>
      <c r="J588" s="990"/>
      <c r="K588" s="990"/>
      <c r="L588" s="990"/>
      <c r="M588" s="991"/>
      <c r="N588" s="956">
        <v>155399</v>
      </c>
      <c r="O588" s="957"/>
      <c r="P588" s="957"/>
      <c r="Q588" s="957"/>
      <c r="R588" s="957"/>
      <c r="S588" s="957"/>
      <c r="T588" s="957"/>
      <c r="U588" s="957"/>
      <c r="V588" s="957"/>
      <c r="W588" s="958"/>
      <c r="X588" s="956">
        <v>192721</v>
      </c>
      <c r="Y588" s="957"/>
      <c r="Z588" s="957"/>
      <c r="AA588" s="957"/>
      <c r="AB588" s="957"/>
      <c r="AC588" s="957"/>
      <c r="AD588" s="957"/>
      <c r="AE588" s="957"/>
      <c r="AF588" s="957"/>
      <c r="AG588" s="958"/>
      <c r="AL588" s="691">
        <f>SUM(N592:W595)-N585</f>
        <v>-1892452</v>
      </c>
      <c r="AM588" s="678">
        <f>SUM(X592:AG595)-X585</f>
        <v>-2417793</v>
      </c>
      <c r="AO588" s="728"/>
      <c r="AP588" s="729"/>
    </row>
    <row r="589" spans="1:42" s="20" customFormat="1" ht="29.25" customHeight="1" x14ac:dyDescent="0.2">
      <c r="A589" s="720"/>
      <c r="D589" s="989" t="s">
        <v>1556</v>
      </c>
      <c r="E589" s="990"/>
      <c r="F589" s="990"/>
      <c r="G589" s="990"/>
      <c r="H589" s="990"/>
      <c r="I589" s="990"/>
      <c r="J589" s="990"/>
      <c r="K589" s="990"/>
      <c r="L589" s="990"/>
      <c r="M589" s="991"/>
      <c r="N589" s="956">
        <v>128992</v>
      </c>
      <c r="O589" s="957"/>
      <c r="P589" s="957"/>
      <c r="Q589" s="957"/>
      <c r="R589" s="957"/>
      <c r="S589" s="957"/>
      <c r="T589" s="957"/>
      <c r="U589" s="957"/>
      <c r="V589" s="957"/>
      <c r="W589" s="958"/>
      <c r="X589" s="956">
        <v>180031</v>
      </c>
      <c r="Y589" s="957"/>
      <c r="Z589" s="957"/>
      <c r="AA589" s="957"/>
      <c r="AB589" s="957"/>
      <c r="AC589" s="957"/>
      <c r="AD589" s="957"/>
      <c r="AE589" s="957"/>
      <c r="AF589" s="957"/>
      <c r="AG589" s="958"/>
      <c r="AL589" s="691"/>
      <c r="AM589" s="678"/>
      <c r="AO589" s="728"/>
      <c r="AP589" s="729"/>
    </row>
    <row r="590" spans="1:42" s="20" customFormat="1" ht="29.25" customHeight="1" x14ac:dyDescent="0.2">
      <c r="A590" s="720"/>
      <c r="D590" s="989" t="s">
        <v>1557</v>
      </c>
      <c r="E590" s="990"/>
      <c r="F590" s="990"/>
      <c r="G590" s="990"/>
      <c r="H590" s="990"/>
      <c r="I590" s="990"/>
      <c r="J590" s="990"/>
      <c r="K590" s="990"/>
      <c r="L590" s="990"/>
      <c r="M590" s="991"/>
      <c r="N590" s="956">
        <v>58251</v>
      </c>
      <c r="O590" s="957"/>
      <c r="P590" s="957"/>
      <c r="Q590" s="957"/>
      <c r="R590" s="957"/>
      <c r="S590" s="957"/>
      <c r="T590" s="957"/>
      <c r="U590" s="957"/>
      <c r="V590" s="957"/>
      <c r="W590" s="958"/>
      <c r="X590" s="956">
        <v>57132</v>
      </c>
      <c r="Y590" s="957"/>
      <c r="Z590" s="957"/>
      <c r="AA590" s="957"/>
      <c r="AB590" s="957"/>
      <c r="AC590" s="957"/>
      <c r="AD590" s="957"/>
      <c r="AE590" s="957"/>
      <c r="AF590" s="957"/>
      <c r="AG590" s="958"/>
      <c r="AL590" s="691"/>
      <c r="AM590" s="678"/>
      <c r="AO590" s="728"/>
      <c r="AP590" s="729"/>
    </row>
    <row r="591" spans="1:42" s="20" customFormat="1" ht="29.25" customHeight="1" x14ac:dyDescent="0.2">
      <c r="A591" s="720"/>
      <c r="D591" s="989" t="s">
        <v>1558</v>
      </c>
      <c r="E591" s="990"/>
      <c r="F591" s="990"/>
      <c r="G591" s="990"/>
      <c r="H591" s="990"/>
      <c r="I591" s="990"/>
      <c r="J591" s="990"/>
      <c r="K591" s="990"/>
      <c r="L591" s="990"/>
      <c r="M591" s="991"/>
      <c r="N591" s="956">
        <v>8256</v>
      </c>
      <c r="O591" s="957"/>
      <c r="P591" s="957"/>
      <c r="Q591" s="957"/>
      <c r="R591" s="957"/>
      <c r="S591" s="957"/>
      <c r="T591" s="957"/>
      <c r="U591" s="957"/>
      <c r="V591" s="957"/>
      <c r="W591" s="958"/>
      <c r="X591" s="956">
        <v>10561</v>
      </c>
      <c r="Y591" s="957"/>
      <c r="Z591" s="957"/>
      <c r="AA591" s="957"/>
      <c r="AB591" s="957"/>
      <c r="AC591" s="957"/>
      <c r="AD591" s="957"/>
      <c r="AE591" s="957"/>
      <c r="AF591" s="957"/>
      <c r="AG591" s="958"/>
      <c r="AL591" s="691"/>
      <c r="AM591" s="678"/>
      <c r="AO591" s="728"/>
      <c r="AP591" s="729"/>
    </row>
    <row r="592" spans="1:42" s="20" customFormat="1" ht="29.25" customHeight="1" x14ac:dyDescent="0.2">
      <c r="A592" s="720"/>
      <c r="D592" s="1239" t="s">
        <v>1559</v>
      </c>
      <c r="E592" s="1240"/>
      <c r="F592" s="1240"/>
      <c r="G592" s="1240"/>
      <c r="H592" s="1240"/>
      <c r="I592" s="1240"/>
      <c r="J592" s="1240"/>
      <c r="K592" s="1240"/>
      <c r="L592" s="1240"/>
      <c r="M592" s="1241"/>
      <c r="N592" s="994">
        <v>41455</v>
      </c>
      <c r="O592" s="994"/>
      <c r="P592" s="994"/>
      <c r="Q592" s="994"/>
      <c r="R592" s="994"/>
      <c r="S592" s="994"/>
      <c r="T592" s="994"/>
      <c r="U592" s="994"/>
      <c r="V592" s="994"/>
      <c r="W592" s="994"/>
      <c r="X592" s="994">
        <v>45869</v>
      </c>
      <c r="Y592" s="994"/>
      <c r="Z592" s="994"/>
      <c r="AA592" s="994"/>
      <c r="AB592" s="994"/>
      <c r="AC592" s="994"/>
      <c r="AD592" s="994"/>
      <c r="AE592" s="994"/>
      <c r="AF592" s="994"/>
      <c r="AG592" s="994"/>
      <c r="AL592" s="691"/>
      <c r="AM592" s="678"/>
      <c r="AO592" s="728"/>
      <c r="AP592" s="729"/>
    </row>
    <row r="593" spans="1:42" s="20" customFormat="1" ht="29.25" customHeight="1" x14ac:dyDescent="0.2">
      <c r="A593" s="720"/>
      <c r="D593" s="1001" t="s">
        <v>1560</v>
      </c>
      <c r="E593" s="1002"/>
      <c r="F593" s="1002"/>
      <c r="G593" s="1002"/>
      <c r="H593" s="1002"/>
      <c r="I593" s="1002"/>
      <c r="J593" s="1002"/>
      <c r="K593" s="1002"/>
      <c r="L593" s="1002"/>
      <c r="M593" s="1002"/>
      <c r="N593" s="994">
        <v>29415</v>
      </c>
      <c r="O593" s="994"/>
      <c r="P593" s="994"/>
      <c r="Q593" s="994"/>
      <c r="R593" s="994"/>
      <c r="S593" s="994"/>
      <c r="T593" s="994"/>
      <c r="U593" s="994"/>
      <c r="V593" s="994"/>
      <c r="W593" s="994"/>
      <c r="X593" s="994">
        <v>32628</v>
      </c>
      <c r="Y593" s="994"/>
      <c r="Z593" s="994"/>
      <c r="AA593" s="994"/>
      <c r="AB593" s="994"/>
      <c r="AC593" s="994"/>
      <c r="AD593" s="994"/>
      <c r="AE593" s="994"/>
      <c r="AF593" s="994"/>
      <c r="AG593" s="994"/>
      <c r="AL593" s="691"/>
      <c r="AM593" s="678"/>
      <c r="AO593" s="728"/>
      <c r="AP593" s="729"/>
    </row>
    <row r="594" spans="1:42" s="20" customFormat="1" ht="29.25" customHeight="1" x14ac:dyDescent="0.2">
      <c r="A594" s="720"/>
      <c r="D594" s="1176" t="s">
        <v>1561</v>
      </c>
      <c r="E594" s="1233"/>
      <c r="F594" s="1233"/>
      <c r="G594" s="1233"/>
      <c r="H594" s="1233"/>
      <c r="I594" s="1233"/>
      <c r="J594" s="1233"/>
      <c r="K594" s="1233"/>
      <c r="L594" s="1233"/>
      <c r="M594" s="1234"/>
      <c r="N594" s="956">
        <v>3087</v>
      </c>
      <c r="O594" s="957"/>
      <c r="P594" s="957"/>
      <c r="Q594" s="957"/>
      <c r="R594" s="957"/>
      <c r="S594" s="957"/>
      <c r="T594" s="957"/>
      <c r="U594" s="957"/>
      <c r="V594" s="957"/>
      <c r="W594" s="958"/>
      <c r="X594" s="956">
        <v>1954</v>
      </c>
      <c r="Y594" s="957"/>
      <c r="Z594" s="957"/>
      <c r="AA594" s="957"/>
      <c r="AB594" s="957"/>
      <c r="AC594" s="957"/>
      <c r="AD594" s="957"/>
      <c r="AE594" s="957"/>
      <c r="AF594" s="957"/>
      <c r="AG594" s="958"/>
      <c r="AL594" s="691"/>
      <c r="AM594" s="678"/>
      <c r="AO594" s="728"/>
      <c r="AP594" s="729"/>
    </row>
    <row r="595" spans="1:42" s="20" customFormat="1" ht="29.25" customHeight="1" x14ac:dyDescent="0.2">
      <c r="A595" s="720"/>
      <c r="D595" s="1001" t="s">
        <v>1562</v>
      </c>
      <c r="E595" s="1002"/>
      <c r="F595" s="1002"/>
      <c r="G595" s="1002"/>
      <c r="H595" s="1002"/>
      <c r="I595" s="1002"/>
      <c r="J595" s="1002"/>
      <c r="K595" s="1002"/>
      <c r="L595" s="1002"/>
      <c r="M595" s="1002"/>
      <c r="N595" s="994">
        <v>897691</v>
      </c>
      <c r="O595" s="994"/>
      <c r="P595" s="994"/>
      <c r="Q595" s="994"/>
      <c r="R595" s="994"/>
      <c r="S595" s="994"/>
      <c r="T595" s="994"/>
      <c r="U595" s="994"/>
      <c r="V595" s="994"/>
      <c r="W595" s="994"/>
      <c r="X595" s="994">
        <v>837183</v>
      </c>
      <c r="Y595" s="994"/>
      <c r="Z595" s="994"/>
      <c r="AA595" s="994"/>
      <c r="AB595" s="994"/>
      <c r="AC595" s="994"/>
      <c r="AD595" s="994"/>
      <c r="AE595" s="994"/>
      <c r="AF595" s="994"/>
      <c r="AG595" s="994"/>
      <c r="AL595" s="676"/>
      <c r="AM595" s="678"/>
      <c r="AO595" s="676"/>
      <c r="AP595" s="688"/>
    </row>
    <row r="596" spans="1:42" s="20" customFormat="1" ht="29.25" customHeight="1" x14ac:dyDescent="0.2">
      <c r="A596" s="720"/>
      <c r="D596" s="1257" t="s">
        <v>313</v>
      </c>
      <c r="E596" s="1257"/>
      <c r="F596" s="1257"/>
      <c r="G596" s="1257"/>
      <c r="H596" s="1257"/>
      <c r="I596" s="1257"/>
      <c r="J596" s="1257"/>
      <c r="K596" s="1257"/>
      <c r="L596" s="1257"/>
      <c r="M596" s="1257"/>
      <c r="N596" s="994">
        <v>1323540</v>
      </c>
      <c r="O596" s="994"/>
      <c r="P596" s="994"/>
      <c r="Q596" s="994"/>
      <c r="R596" s="994"/>
      <c r="S596" s="994"/>
      <c r="T596" s="994"/>
      <c r="U596" s="994"/>
      <c r="V596" s="994"/>
      <c r="W596" s="994"/>
      <c r="X596" s="994">
        <v>1343635</v>
      </c>
      <c r="Y596" s="994"/>
      <c r="Z596" s="994"/>
      <c r="AA596" s="994"/>
      <c r="AB596" s="994"/>
      <c r="AC596" s="994"/>
      <c r="AD596" s="994"/>
      <c r="AE596" s="994"/>
      <c r="AF596" s="994"/>
      <c r="AG596" s="994"/>
      <c r="AL596" s="676"/>
      <c r="AM596" s="678"/>
      <c r="AO596" s="676"/>
      <c r="AP596" s="688"/>
    </row>
    <row r="597" spans="1:42" s="20" customFormat="1" ht="17.25" customHeight="1" x14ac:dyDescent="0.2">
      <c r="A597" s="720"/>
      <c r="D597" s="1176" t="s">
        <v>1563</v>
      </c>
      <c r="E597" s="1233"/>
      <c r="F597" s="1233"/>
      <c r="G597" s="1233"/>
      <c r="H597" s="1233"/>
      <c r="I597" s="1233"/>
      <c r="J597" s="1233"/>
      <c r="K597" s="1233"/>
      <c r="L597" s="1233"/>
      <c r="M597" s="1234"/>
      <c r="N597" s="956">
        <v>1065069</v>
      </c>
      <c r="O597" s="957"/>
      <c r="P597" s="957"/>
      <c r="Q597" s="957"/>
      <c r="R597" s="957"/>
      <c r="S597" s="957"/>
      <c r="T597" s="957"/>
      <c r="U597" s="957"/>
      <c r="V597" s="957"/>
      <c r="W597" s="958"/>
      <c r="X597" s="956">
        <v>1072130</v>
      </c>
      <c r="Y597" s="957"/>
      <c r="Z597" s="957"/>
      <c r="AA597" s="957"/>
      <c r="AB597" s="957"/>
      <c r="AC597" s="957"/>
      <c r="AD597" s="957"/>
      <c r="AE597" s="957"/>
      <c r="AF597" s="957"/>
      <c r="AG597" s="958"/>
      <c r="AL597" s="676"/>
      <c r="AM597" s="678"/>
      <c r="AO597" s="676"/>
      <c r="AP597" s="688"/>
    </row>
    <row r="598" spans="1:42" s="20" customFormat="1" ht="21.75" customHeight="1" x14ac:dyDescent="0.2">
      <c r="A598" s="720"/>
      <c r="D598" s="1176" t="s">
        <v>286</v>
      </c>
      <c r="E598" s="1233"/>
      <c r="F598" s="1233"/>
      <c r="G598" s="1233"/>
      <c r="H598" s="1233"/>
      <c r="I598" s="1233"/>
      <c r="J598" s="1233"/>
      <c r="K598" s="1233"/>
      <c r="L598" s="1233"/>
      <c r="M598" s="1234"/>
      <c r="N598" s="956">
        <v>247904</v>
      </c>
      <c r="O598" s="957"/>
      <c r="P598" s="957"/>
      <c r="Q598" s="957"/>
      <c r="R598" s="957"/>
      <c r="S598" s="957"/>
      <c r="T598" s="957"/>
      <c r="U598" s="957"/>
      <c r="V598" s="957"/>
      <c r="W598" s="958"/>
      <c r="X598" s="956">
        <v>238711</v>
      </c>
      <c r="Y598" s="957"/>
      <c r="Z598" s="957"/>
      <c r="AA598" s="957"/>
      <c r="AB598" s="957"/>
      <c r="AC598" s="957"/>
      <c r="AD598" s="957"/>
      <c r="AE598" s="957"/>
      <c r="AF598" s="957"/>
      <c r="AG598" s="958"/>
      <c r="AL598" s="676"/>
      <c r="AM598" s="678"/>
      <c r="AO598" s="676"/>
      <c r="AP598" s="688"/>
    </row>
    <row r="599" spans="1:42" s="20" customFormat="1" ht="35.25" customHeight="1" x14ac:dyDescent="0.2">
      <c r="A599" s="720"/>
      <c r="D599" s="1176" t="s">
        <v>1564</v>
      </c>
      <c r="E599" s="1233"/>
      <c r="F599" s="1233"/>
      <c r="G599" s="1233"/>
      <c r="H599" s="1233"/>
      <c r="I599" s="1233"/>
      <c r="J599" s="1233"/>
      <c r="K599" s="1233"/>
      <c r="L599" s="1233"/>
      <c r="M599" s="1234"/>
      <c r="N599" s="956">
        <v>4025</v>
      </c>
      <c r="O599" s="957"/>
      <c r="P599" s="957"/>
      <c r="Q599" s="957"/>
      <c r="R599" s="957"/>
      <c r="S599" s="957"/>
      <c r="T599" s="957"/>
      <c r="U599" s="957"/>
      <c r="V599" s="957"/>
      <c r="W599" s="958"/>
      <c r="X599" s="956">
        <v>24819</v>
      </c>
      <c r="Y599" s="957"/>
      <c r="Z599" s="957"/>
      <c r="AA599" s="957"/>
      <c r="AB599" s="957"/>
      <c r="AC599" s="957"/>
      <c r="AD599" s="957"/>
      <c r="AE599" s="957"/>
      <c r="AF599" s="957"/>
      <c r="AG599" s="958"/>
      <c r="AL599" s="691">
        <f>SUM(N601:W603)-N596</f>
        <v>-1319633</v>
      </c>
      <c r="AM599" s="678">
        <f>SUM(X601:AG603)-X596</f>
        <v>-1339697</v>
      </c>
      <c r="AO599" s="676"/>
      <c r="AP599" s="688"/>
    </row>
    <row r="600" spans="1:42" s="20" customFormat="1" ht="17.25" customHeight="1" x14ac:dyDescent="0.2">
      <c r="A600" s="720"/>
      <c r="D600" s="1176" t="s">
        <v>1565</v>
      </c>
      <c r="E600" s="1233"/>
      <c r="F600" s="1233"/>
      <c r="G600" s="1233"/>
      <c r="H600" s="1233"/>
      <c r="I600" s="1233"/>
      <c r="J600" s="1233"/>
      <c r="K600" s="1233"/>
      <c r="L600" s="1233"/>
      <c r="M600" s="1234"/>
      <c r="N600" s="956">
        <v>2635</v>
      </c>
      <c r="O600" s="957"/>
      <c r="P600" s="957"/>
      <c r="Q600" s="957"/>
      <c r="R600" s="957"/>
      <c r="S600" s="957"/>
      <c r="T600" s="957"/>
      <c r="U600" s="957"/>
      <c r="V600" s="957"/>
      <c r="W600" s="958"/>
      <c r="X600" s="956">
        <v>4037</v>
      </c>
      <c r="Y600" s="957"/>
      <c r="Z600" s="957"/>
      <c r="AA600" s="957"/>
      <c r="AB600" s="957"/>
      <c r="AC600" s="957"/>
      <c r="AD600" s="957"/>
      <c r="AE600" s="957"/>
      <c r="AF600" s="957"/>
      <c r="AG600" s="958"/>
      <c r="AL600" s="691"/>
      <c r="AM600" s="678"/>
      <c r="AO600" s="676"/>
      <c r="AP600" s="688"/>
    </row>
    <row r="601" spans="1:42" s="20" customFormat="1" ht="15.75" customHeight="1" x14ac:dyDescent="0.2">
      <c r="A601" s="720"/>
      <c r="D601" s="1001" t="s">
        <v>1566</v>
      </c>
      <c r="E601" s="1002"/>
      <c r="F601" s="1002"/>
      <c r="G601" s="1002"/>
      <c r="H601" s="1002"/>
      <c r="I601" s="1002"/>
      <c r="J601" s="1002"/>
      <c r="K601" s="1002"/>
      <c r="L601" s="1002"/>
      <c r="M601" s="1002"/>
      <c r="N601" s="1252" t="s">
        <v>1436</v>
      </c>
      <c r="O601" s="994"/>
      <c r="P601" s="994"/>
      <c r="Q601" s="994"/>
      <c r="R601" s="994"/>
      <c r="S601" s="994"/>
      <c r="T601" s="994"/>
      <c r="U601" s="994"/>
      <c r="V601" s="994"/>
      <c r="W601" s="994"/>
      <c r="X601" s="994">
        <v>18209</v>
      </c>
      <c r="Y601" s="994"/>
      <c r="Z601" s="994"/>
      <c r="AA601" s="994"/>
      <c r="AB601" s="994"/>
      <c r="AC601" s="994"/>
      <c r="AD601" s="994"/>
      <c r="AE601" s="994"/>
      <c r="AF601" s="994"/>
      <c r="AG601" s="994"/>
      <c r="AL601" s="691"/>
      <c r="AM601" s="678"/>
      <c r="AO601" s="676"/>
      <c r="AP601" s="688"/>
    </row>
    <row r="602" spans="1:42" s="20" customFormat="1" ht="17.25" customHeight="1" x14ac:dyDescent="0.2">
      <c r="A602" s="720"/>
      <c r="D602" s="1001" t="s">
        <v>1567</v>
      </c>
      <c r="E602" s="1002"/>
      <c r="F602" s="1002"/>
      <c r="G602" s="1002"/>
      <c r="H602" s="1002"/>
      <c r="I602" s="1002"/>
      <c r="J602" s="1002"/>
      <c r="K602" s="1002"/>
      <c r="L602" s="1002"/>
      <c r="M602" s="1002"/>
      <c r="N602" s="994">
        <v>-8447</v>
      </c>
      <c r="O602" s="994"/>
      <c r="P602" s="994"/>
      <c r="Q602" s="994"/>
      <c r="R602" s="994"/>
      <c r="S602" s="994"/>
      <c r="T602" s="994"/>
      <c r="U602" s="994"/>
      <c r="V602" s="994"/>
      <c r="W602" s="994"/>
      <c r="X602" s="994">
        <v>-26402</v>
      </c>
      <c r="Y602" s="994"/>
      <c r="Z602" s="994"/>
      <c r="AA602" s="994"/>
      <c r="AB602" s="994"/>
      <c r="AC602" s="994"/>
      <c r="AD602" s="994"/>
      <c r="AE602" s="994"/>
      <c r="AF602" s="994"/>
      <c r="AG602" s="994"/>
      <c r="AL602" s="691"/>
      <c r="AM602" s="678"/>
      <c r="AO602" s="676"/>
      <c r="AP602" s="688"/>
    </row>
    <row r="603" spans="1:42" s="20" customFormat="1" ht="17.25" customHeight="1" x14ac:dyDescent="0.2">
      <c r="A603" s="720"/>
      <c r="D603" s="1001" t="s">
        <v>1568</v>
      </c>
      <c r="E603" s="1001"/>
      <c r="F603" s="1001"/>
      <c r="G603" s="1001"/>
      <c r="H603" s="1001"/>
      <c r="I603" s="1001"/>
      <c r="J603" s="1001"/>
      <c r="K603" s="1001"/>
      <c r="L603" s="1001"/>
      <c r="M603" s="1001"/>
      <c r="N603" s="994">
        <v>12354</v>
      </c>
      <c r="O603" s="994"/>
      <c r="P603" s="994"/>
      <c r="Q603" s="994"/>
      <c r="R603" s="994"/>
      <c r="S603" s="994"/>
      <c r="T603" s="994"/>
      <c r="U603" s="994"/>
      <c r="V603" s="994"/>
      <c r="W603" s="994"/>
      <c r="X603" s="994">
        <v>12131</v>
      </c>
      <c r="Y603" s="994"/>
      <c r="Z603" s="994"/>
      <c r="AA603" s="994"/>
      <c r="AB603" s="994"/>
      <c r="AC603" s="994"/>
      <c r="AD603" s="994"/>
      <c r="AE603" s="994"/>
      <c r="AF603" s="994"/>
      <c r="AG603" s="994"/>
      <c r="AL603" s="691"/>
      <c r="AM603" s="678"/>
      <c r="AO603" s="676"/>
      <c r="AP603" s="688"/>
    </row>
    <row r="604" spans="1:42" s="20" customFormat="1" ht="11.25" x14ac:dyDescent="0.2">
      <c r="A604" s="720"/>
      <c r="D604" s="1203" t="s">
        <v>314</v>
      </c>
      <c r="E604" s="1204"/>
      <c r="F604" s="1204"/>
      <c r="G604" s="1204"/>
      <c r="H604" s="1204"/>
      <c r="I604" s="1204"/>
      <c r="J604" s="1204"/>
      <c r="K604" s="1204"/>
      <c r="L604" s="1204"/>
      <c r="M604" s="1205"/>
      <c r="N604" s="994">
        <v>40926</v>
      </c>
      <c r="O604" s="994"/>
      <c r="P604" s="994"/>
      <c r="Q604" s="994"/>
      <c r="R604" s="994"/>
      <c r="S604" s="994"/>
      <c r="T604" s="994"/>
      <c r="U604" s="994"/>
      <c r="V604" s="994"/>
      <c r="W604" s="994"/>
      <c r="X604" s="994">
        <v>50443</v>
      </c>
      <c r="Y604" s="994"/>
      <c r="Z604" s="994"/>
      <c r="AA604" s="994"/>
      <c r="AB604" s="994"/>
      <c r="AC604" s="994"/>
      <c r="AD604" s="994"/>
      <c r="AE604" s="994"/>
      <c r="AF604" s="994"/>
      <c r="AG604" s="994"/>
      <c r="AL604" s="676"/>
      <c r="AM604" s="678"/>
      <c r="AO604" s="676"/>
      <c r="AP604" s="688"/>
    </row>
    <row r="605" spans="1:42" s="20" customFormat="1" ht="17.25" customHeight="1" x14ac:dyDescent="0.2">
      <c r="A605" s="720"/>
      <c r="D605" s="989" t="s">
        <v>315</v>
      </c>
      <c r="E605" s="990"/>
      <c r="F605" s="990"/>
      <c r="G605" s="990"/>
      <c r="H605" s="990"/>
      <c r="I605" s="990"/>
      <c r="J605" s="990"/>
      <c r="K605" s="990"/>
      <c r="L605" s="990"/>
      <c r="M605" s="991"/>
      <c r="N605" s="994">
        <v>5520</v>
      </c>
      <c r="O605" s="994"/>
      <c r="P605" s="994"/>
      <c r="Q605" s="994"/>
      <c r="R605" s="994"/>
      <c r="S605" s="994"/>
      <c r="T605" s="994"/>
      <c r="U605" s="994"/>
      <c r="V605" s="994"/>
      <c r="W605" s="994"/>
      <c r="X605" s="994">
        <v>12621</v>
      </c>
      <c r="Y605" s="994"/>
      <c r="Z605" s="994"/>
      <c r="AA605" s="994"/>
      <c r="AB605" s="994"/>
      <c r="AC605" s="994"/>
      <c r="AD605" s="994"/>
      <c r="AE605" s="994"/>
      <c r="AF605" s="994"/>
      <c r="AG605" s="994"/>
      <c r="AL605" s="676"/>
      <c r="AM605" s="678"/>
      <c r="AO605" s="676"/>
      <c r="AP605" s="688"/>
    </row>
    <row r="606" spans="1:42" s="20" customFormat="1" ht="17.25" customHeight="1" x14ac:dyDescent="0.2">
      <c r="A606" s="720"/>
      <c r="D606" s="1176" t="s">
        <v>1569</v>
      </c>
      <c r="E606" s="919"/>
      <c r="F606" s="919"/>
      <c r="G606" s="919"/>
      <c r="H606" s="919"/>
      <c r="I606" s="919"/>
      <c r="J606" s="919"/>
      <c r="K606" s="919"/>
      <c r="L606" s="919"/>
      <c r="M606" s="920"/>
      <c r="N606" s="994">
        <v>7703</v>
      </c>
      <c r="O606" s="994"/>
      <c r="P606" s="994"/>
      <c r="Q606" s="994"/>
      <c r="R606" s="994"/>
      <c r="S606" s="994"/>
      <c r="T606" s="994"/>
      <c r="U606" s="994"/>
      <c r="V606" s="994"/>
      <c r="W606" s="994"/>
      <c r="X606" s="994">
        <v>9793</v>
      </c>
      <c r="Y606" s="994"/>
      <c r="Z606" s="994"/>
      <c r="AA606" s="994"/>
      <c r="AB606" s="994"/>
      <c r="AC606" s="994"/>
      <c r="AD606" s="994"/>
      <c r="AE606" s="994"/>
      <c r="AF606" s="994"/>
      <c r="AG606" s="994"/>
      <c r="AL606" s="676"/>
      <c r="AM606" s="678"/>
      <c r="AO606" s="676"/>
      <c r="AP606" s="688"/>
    </row>
    <row r="607" spans="1:42" s="20" customFormat="1" ht="27.75" customHeight="1" x14ac:dyDescent="0.2">
      <c r="A607" s="720"/>
      <c r="D607" s="1176" t="s">
        <v>1570</v>
      </c>
      <c r="E607" s="919"/>
      <c r="F607" s="919"/>
      <c r="G607" s="919"/>
      <c r="H607" s="919"/>
      <c r="I607" s="919"/>
      <c r="J607" s="919"/>
      <c r="K607" s="919"/>
      <c r="L607" s="919"/>
      <c r="M607" s="920"/>
      <c r="N607" s="994">
        <v>5834</v>
      </c>
      <c r="O607" s="994"/>
      <c r="P607" s="994"/>
      <c r="Q607" s="994"/>
      <c r="R607" s="994"/>
      <c r="S607" s="994"/>
      <c r="T607" s="994"/>
      <c r="U607" s="994"/>
      <c r="V607" s="994"/>
      <c r="W607" s="994"/>
      <c r="X607" s="994">
        <v>5189</v>
      </c>
      <c r="Y607" s="994"/>
      <c r="Z607" s="994"/>
      <c r="AA607" s="994"/>
      <c r="AB607" s="994"/>
      <c r="AC607" s="994"/>
      <c r="AD607" s="994"/>
      <c r="AE607" s="994"/>
      <c r="AF607" s="994"/>
      <c r="AG607" s="994"/>
      <c r="AL607" s="691" t="e">
        <f>SUM(N605,#REF!)-N604</f>
        <v>#REF!</v>
      </c>
      <c r="AM607" s="678" t="e">
        <f>SUM(X605,#REF!)-X604</f>
        <v>#REF!</v>
      </c>
      <c r="AO607" s="691">
        <f>N604-SUM('P&amp;L'!$D$36,'P&amp;L'!$D$42,'P&amp;L'!$D$44,'P&amp;L'!$D$45,'P&amp;L'!$D$47,'P&amp;L'!$D$49,'P&amp;L'!$D$51,'P&amp;L'!$D$53)</f>
        <v>40926</v>
      </c>
      <c r="AP607" s="678">
        <f>X604-SUM('P&amp;L'!$E$36,'P&amp;L'!$E$42,'P&amp;L'!$E$44,'P&amp;L'!$E$45,'P&amp;L'!$E$47,'P&amp;L'!$E$49,'P&amp;L'!$E$51,'P&amp;L'!$E$53)</f>
        <v>50443</v>
      </c>
    </row>
    <row r="608" spans="1:42" s="20" customFormat="1" ht="17.25" customHeight="1" x14ac:dyDescent="0.2">
      <c r="A608" s="720"/>
      <c r="D608" s="1176" t="s">
        <v>1571</v>
      </c>
      <c r="E608" s="1233"/>
      <c r="F608" s="1233"/>
      <c r="G608" s="1233"/>
      <c r="H608" s="1233"/>
      <c r="I608" s="1233"/>
      <c r="J608" s="1233"/>
      <c r="K608" s="1233"/>
      <c r="L608" s="1233"/>
      <c r="M608" s="1234"/>
      <c r="N608" s="994">
        <v>17795</v>
      </c>
      <c r="O608" s="994"/>
      <c r="P608" s="994"/>
      <c r="Q608" s="994"/>
      <c r="R608" s="994"/>
      <c r="S608" s="994"/>
      <c r="T608" s="994"/>
      <c r="U608" s="994"/>
      <c r="V608" s="994"/>
      <c r="W608" s="994"/>
      <c r="X608" s="994">
        <v>18767</v>
      </c>
      <c r="Y608" s="994"/>
      <c r="Z608" s="994"/>
      <c r="AA608" s="994"/>
      <c r="AB608" s="994"/>
      <c r="AC608" s="994"/>
      <c r="AD608" s="994"/>
      <c r="AE608" s="994"/>
      <c r="AF608" s="994"/>
      <c r="AG608" s="994"/>
      <c r="AL608" s="691"/>
      <c r="AM608" s="678"/>
      <c r="AO608" s="691">
        <f>N605-'P&amp;L'!$D$49</f>
        <v>5520</v>
      </c>
      <c r="AP608" s="678">
        <f>X605-'P&amp;L'!$E$49</f>
        <v>12621</v>
      </c>
    </row>
    <row r="609" spans="1:42" s="20" customFormat="1" ht="17.25" customHeight="1" x14ac:dyDescent="0.2">
      <c r="A609" s="720"/>
      <c r="D609" s="1001" t="s">
        <v>1572</v>
      </c>
      <c r="E609" s="1002"/>
      <c r="F609" s="1002"/>
      <c r="G609" s="1002"/>
      <c r="H609" s="1002"/>
      <c r="I609" s="1002"/>
      <c r="J609" s="1002"/>
      <c r="K609" s="1002"/>
      <c r="L609" s="1002"/>
      <c r="M609" s="1002"/>
      <c r="N609" s="994">
        <v>4074</v>
      </c>
      <c r="O609" s="994"/>
      <c r="P609" s="994"/>
      <c r="Q609" s="994"/>
      <c r="R609" s="994"/>
      <c r="S609" s="994"/>
      <c r="T609" s="994"/>
      <c r="U609" s="994"/>
      <c r="V609" s="994"/>
      <c r="W609" s="994"/>
      <c r="X609" s="994">
        <v>4073</v>
      </c>
      <c r="Y609" s="994"/>
      <c r="Z609" s="994"/>
      <c r="AA609" s="994"/>
      <c r="AB609" s="994"/>
      <c r="AC609" s="994"/>
      <c r="AD609" s="994"/>
      <c r="AE609" s="994"/>
      <c r="AF609" s="994"/>
      <c r="AG609" s="994"/>
      <c r="AL609" s="676"/>
      <c r="AM609" s="678"/>
      <c r="AO609" s="676"/>
      <c r="AP609" s="688"/>
    </row>
    <row r="610" spans="1:42" s="20" customFormat="1" ht="17.25" customHeight="1" thickBot="1" x14ac:dyDescent="0.25">
      <c r="A610" s="720"/>
      <c r="D610" s="995" t="s">
        <v>1573</v>
      </c>
      <c r="E610" s="996"/>
      <c r="F610" s="996"/>
      <c r="G610" s="996"/>
      <c r="H610" s="996"/>
      <c r="I610" s="996"/>
      <c r="J610" s="996"/>
      <c r="K610" s="996"/>
      <c r="L610" s="996"/>
      <c r="M610" s="997"/>
      <c r="N610" s="998" t="s">
        <v>1436</v>
      </c>
      <c r="O610" s="999"/>
      <c r="P610" s="999"/>
      <c r="Q610" s="999"/>
      <c r="R610" s="999"/>
      <c r="S610" s="999"/>
      <c r="T610" s="999"/>
      <c r="U610" s="999"/>
      <c r="V610" s="999"/>
      <c r="W610" s="999"/>
      <c r="X610" s="1253" t="s">
        <v>1436</v>
      </c>
      <c r="Y610" s="999"/>
      <c r="Z610" s="999"/>
      <c r="AA610" s="999"/>
      <c r="AB610" s="999"/>
      <c r="AC610" s="999"/>
      <c r="AD610" s="999"/>
      <c r="AE610" s="999"/>
      <c r="AF610" s="999"/>
      <c r="AG610" s="999"/>
      <c r="AL610" s="676"/>
      <c r="AM610" s="678"/>
      <c r="AO610" s="676"/>
      <c r="AP610" s="688"/>
    </row>
    <row r="611" spans="1:42" s="20" customFormat="1" ht="17.25" customHeight="1" x14ac:dyDescent="0.2">
      <c r="A611" s="720"/>
      <c r="D611" s="726"/>
      <c r="E611" s="726"/>
      <c r="F611" s="726"/>
      <c r="G611" s="726"/>
      <c r="H611" s="726"/>
      <c r="I611" s="726"/>
      <c r="J611" s="726"/>
      <c r="K611" s="726"/>
      <c r="L611" s="726"/>
      <c r="M611" s="726"/>
      <c r="N611" s="727"/>
      <c r="O611" s="727"/>
      <c r="P611" s="727"/>
      <c r="Q611" s="727"/>
      <c r="R611" s="727"/>
      <c r="S611" s="727"/>
      <c r="T611" s="727"/>
      <c r="U611" s="727"/>
      <c r="V611" s="727"/>
      <c r="W611" s="727"/>
      <c r="X611" s="727"/>
      <c r="Y611" s="727"/>
      <c r="Z611" s="727"/>
      <c r="AA611" s="727"/>
      <c r="AB611" s="727"/>
      <c r="AC611" s="727"/>
      <c r="AD611" s="727"/>
      <c r="AE611" s="727"/>
      <c r="AF611" s="727"/>
      <c r="AG611" s="727"/>
      <c r="AL611" s="691">
        <f>SUM(N609:W610)-N608</f>
        <v>-13721</v>
      </c>
      <c r="AM611" s="678">
        <f>SUM(X609:AG610)-X608</f>
        <v>-14694</v>
      </c>
      <c r="AO611" s="691">
        <f>N608-'P&amp;L'!$D$61</f>
        <v>17795</v>
      </c>
      <c r="AP611" s="678">
        <f>X608-'P&amp;L'!$E$61</f>
        <v>18767</v>
      </c>
    </row>
    <row r="612" spans="1:42" s="20" customFormat="1" ht="17.25" customHeight="1" x14ac:dyDescent="0.2">
      <c r="A612" s="720"/>
      <c r="D612" s="726"/>
      <c r="E612" s="726"/>
      <c r="F612" s="726"/>
      <c r="G612" s="726"/>
      <c r="H612" s="726"/>
      <c r="I612" s="726"/>
      <c r="J612" s="726"/>
      <c r="K612" s="726"/>
      <c r="L612" s="726"/>
      <c r="M612" s="726"/>
      <c r="N612" s="727"/>
      <c r="O612" s="727"/>
      <c r="P612" s="727"/>
      <c r="Q612" s="727"/>
      <c r="R612" s="727"/>
      <c r="S612" s="727"/>
      <c r="T612" s="727"/>
      <c r="U612" s="727"/>
      <c r="V612" s="727"/>
      <c r="W612" s="727"/>
      <c r="X612" s="727"/>
      <c r="Y612" s="727"/>
      <c r="Z612" s="727"/>
      <c r="AA612" s="727"/>
      <c r="AB612" s="727"/>
      <c r="AC612" s="727"/>
      <c r="AD612" s="727"/>
      <c r="AE612" s="727"/>
      <c r="AF612" s="727"/>
      <c r="AG612" s="727"/>
      <c r="AL612" s="676"/>
      <c r="AM612" s="678"/>
      <c r="AO612" s="429"/>
      <c r="AP612" s="428"/>
    </row>
    <row r="613" spans="1:42" s="20" customFormat="1" ht="29.25" customHeight="1" x14ac:dyDescent="0.2">
      <c r="A613" s="720"/>
      <c r="D613" s="726"/>
      <c r="E613" s="726"/>
      <c r="F613" s="726"/>
      <c r="G613" s="726"/>
      <c r="H613" s="726"/>
      <c r="I613" s="726"/>
      <c r="J613" s="726"/>
      <c r="K613" s="726"/>
      <c r="L613" s="726"/>
      <c r="M613" s="726"/>
      <c r="N613" s="727"/>
      <c r="O613" s="727"/>
      <c r="P613" s="727"/>
      <c r="Q613" s="727"/>
      <c r="R613" s="727"/>
      <c r="S613" s="727"/>
      <c r="T613" s="727"/>
      <c r="U613" s="727"/>
      <c r="V613" s="727"/>
      <c r="W613" s="727"/>
      <c r="X613" s="727"/>
      <c r="Y613" s="727"/>
      <c r="Z613" s="727"/>
      <c r="AA613" s="727"/>
      <c r="AB613" s="727"/>
      <c r="AC613" s="727"/>
      <c r="AD613" s="727"/>
      <c r="AE613" s="727"/>
      <c r="AF613" s="727"/>
      <c r="AG613" s="727"/>
      <c r="AL613" s="700"/>
      <c r="AM613" s="681"/>
      <c r="AO613" s="708"/>
      <c r="AP613" s="707"/>
    </row>
    <row r="614" spans="1:42" ht="14.25" customHeight="1" x14ac:dyDescent="0.2">
      <c r="D614" s="726"/>
      <c r="E614" s="726"/>
      <c r="F614" s="726"/>
      <c r="G614" s="726"/>
      <c r="H614" s="726"/>
      <c r="I614" s="726"/>
      <c r="J614" s="726"/>
      <c r="K614" s="726"/>
      <c r="L614" s="726"/>
      <c r="M614" s="726"/>
      <c r="N614" s="727"/>
      <c r="O614" s="727"/>
      <c r="P614" s="727"/>
      <c r="Q614" s="727"/>
      <c r="R614" s="727"/>
      <c r="S614" s="727"/>
      <c r="T614" s="727"/>
      <c r="U614" s="727"/>
      <c r="V614" s="727"/>
      <c r="W614" s="727"/>
      <c r="X614" s="727"/>
      <c r="Y614" s="727"/>
      <c r="Z614" s="727"/>
      <c r="AA614" s="727"/>
      <c r="AB614" s="727"/>
      <c r="AC614" s="727"/>
      <c r="AD614" s="727"/>
      <c r="AE614" s="727"/>
      <c r="AF614" s="727"/>
      <c r="AG614" s="727"/>
    </row>
    <row r="615" spans="1:42" ht="14.25" customHeight="1" x14ac:dyDescent="0.2">
      <c r="D615" s="726"/>
      <c r="E615" s="726"/>
      <c r="F615" s="726"/>
      <c r="G615" s="726"/>
      <c r="H615" s="726"/>
      <c r="I615" s="726"/>
      <c r="J615" s="726"/>
      <c r="K615" s="726"/>
      <c r="L615" s="726"/>
      <c r="M615" s="726"/>
      <c r="N615" s="727"/>
      <c r="O615" s="727"/>
      <c r="P615" s="727"/>
      <c r="Q615" s="727"/>
      <c r="R615" s="727"/>
      <c r="S615" s="727"/>
      <c r="T615" s="727"/>
      <c r="U615" s="727"/>
      <c r="V615" s="727"/>
      <c r="W615" s="727"/>
      <c r="X615" s="727"/>
      <c r="Y615" s="727"/>
      <c r="Z615" s="727"/>
      <c r="AA615" s="727"/>
      <c r="AB615" s="727"/>
      <c r="AC615" s="727"/>
      <c r="AD615" s="727"/>
      <c r="AE615" s="727"/>
      <c r="AF615" s="727"/>
      <c r="AG615" s="727"/>
    </row>
    <row r="616" spans="1:42" ht="14.25" customHeight="1" x14ac:dyDescent="0.2">
      <c r="D616" s="726"/>
      <c r="E616" s="726"/>
      <c r="F616" s="726"/>
      <c r="G616" s="726"/>
      <c r="H616" s="726"/>
      <c r="I616" s="726"/>
      <c r="J616" s="726"/>
      <c r="K616" s="726"/>
      <c r="L616" s="726"/>
      <c r="M616" s="726"/>
      <c r="N616" s="727"/>
      <c r="O616" s="727"/>
      <c r="P616" s="727"/>
      <c r="Q616" s="727"/>
      <c r="R616" s="727"/>
      <c r="S616" s="727"/>
      <c r="T616" s="727"/>
      <c r="U616" s="727"/>
      <c r="V616" s="727"/>
      <c r="W616" s="727"/>
      <c r="X616" s="727"/>
      <c r="Y616" s="727"/>
      <c r="Z616" s="727"/>
      <c r="AA616" s="727"/>
      <c r="AB616" s="727"/>
      <c r="AC616" s="727"/>
      <c r="AD616" s="727"/>
      <c r="AE616" s="727"/>
      <c r="AF616" s="727"/>
      <c r="AG616" s="727"/>
    </row>
    <row r="617" spans="1:42" ht="14.25" customHeight="1" x14ac:dyDescent="0.2">
      <c r="D617" s="726"/>
      <c r="E617" s="726"/>
      <c r="F617" s="726"/>
      <c r="G617" s="726"/>
      <c r="H617" s="726"/>
      <c r="I617" s="726"/>
      <c r="J617" s="726"/>
      <c r="K617" s="726"/>
      <c r="L617" s="726"/>
      <c r="M617" s="726"/>
      <c r="N617" s="727"/>
      <c r="O617" s="727"/>
      <c r="P617" s="727"/>
      <c r="Q617" s="727"/>
      <c r="R617" s="727"/>
      <c r="S617" s="727"/>
      <c r="T617" s="727"/>
      <c r="U617" s="727"/>
      <c r="V617" s="727"/>
      <c r="W617" s="727"/>
      <c r="X617" s="727"/>
      <c r="Y617" s="727"/>
      <c r="Z617" s="727"/>
      <c r="AA617" s="727"/>
      <c r="AB617" s="727"/>
      <c r="AC617" s="727"/>
      <c r="AD617" s="727"/>
      <c r="AE617" s="727"/>
      <c r="AF617" s="727"/>
      <c r="AG617" s="727"/>
    </row>
    <row r="618" spans="1:42" ht="14.25" customHeight="1" x14ac:dyDescent="0.2">
      <c r="D618" s="726"/>
      <c r="E618" s="726"/>
      <c r="F618" s="726"/>
      <c r="G618" s="726"/>
      <c r="H618" s="726"/>
      <c r="I618" s="726"/>
      <c r="J618" s="726"/>
      <c r="K618" s="726"/>
      <c r="L618" s="726"/>
      <c r="M618" s="726"/>
      <c r="N618" s="727"/>
      <c r="O618" s="727"/>
      <c r="P618" s="727"/>
      <c r="Q618" s="727"/>
      <c r="R618" s="727"/>
      <c r="S618" s="727"/>
      <c r="T618" s="727"/>
      <c r="U618" s="727"/>
      <c r="V618" s="727"/>
      <c r="W618" s="727"/>
      <c r="X618" s="727"/>
      <c r="Y618" s="727"/>
      <c r="Z618" s="727"/>
      <c r="AA618" s="727"/>
      <c r="AB618" s="727"/>
      <c r="AC618" s="727"/>
      <c r="AD618" s="727"/>
      <c r="AE618" s="727"/>
      <c r="AF618" s="727"/>
      <c r="AG618" s="727"/>
    </row>
    <row r="619" spans="1:42" ht="14.25" customHeight="1" x14ac:dyDescent="0.2">
      <c r="D619" s="726"/>
      <c r="E619" s="726"/>
      <c r="F619" s="726"/>
      <c r="G619" s="726"/>
      <c r="H619" s="726"/>
      <c r="I619" s="726"/>
      <c r="J619" s="726"/>
      <c r="K619" s="726"/>
      <c r="L619" s="726"/>
      <c r="M619" s="726"/>
      <c r="N619" s="727"/>
      <c r="O619" s="727"/>
      <c r="P619" s="727"/>
      <c r="Q619" s="727"/>
      <c r="R619" s="727"/>
      <c r="S619" s="727"/>
      <c r="T619" s="727"/>
      <c r="U619" s="727"/>
      <c r="V619" s="727"/>
      <c r="W619" s="727"/>
      <c r="X619" s="727"/>
      <c r="Y619" s="727"/>
      <c r="Z619" s="727"/>
      <c r="AA619" s="727"/>
      <c r="AB619" s="727"/>
      <c r="AC619" s="727"/>
      <c r="AD619" s="727"/>
      <c r="AE619" s="727"/>
      <c r="AF619" s="727"/>
      <c r="AG619" s="727"/>
    </row>
    <row r="620" spans="1:42" ht="17.25" customHeight="1" x14ac:dyDescent="0.2">
      <c r="D620" s="726"/>
      <c r="E620" s="726"/>
      <c r="F620" s="726"/>
      <c r="G620" s="726"/>
      <c r="H620" s="726"/>
      <c r="I620" s="726"/>
      <c r="J620" s="726"/>
      <c r="K620" s="726"/>
      <c r="L620" s="726"/>
      <c r="M620" s="726"/>
      <c r="N620" s="727"/>
      <c r="O620" s="727"/>
      <c r="P620" s="727"/>
      <c r="Q620" s="727"/>
      <c r="R620" s="727"/>
      <c r="S620" s="727"/>
      <c r="T620" s="727"/>
      <c r="U620" s="727"/>
      <c r="V620" s="727"/>
      <c r="W620" s="727"/>
      <c r="X620" s="727"/>
      <c r="Y620" s="727"/>
      <c r="Z620" s="727"/>
      <c r="AA620" s="727"/>
      <c r="AB620" s="727"/>
      <c r="AC620" s="727"/>
      <c r="AD620" s="727"/>
      <c r="AE620" s="727"/>
      <c r="AF620" s="727"/>
      <c r="AG620" s="727"/>
    </row>
    <row r="621" spans="1:42" ht="17.25" customHeight="1" x14ac:dyDescent="0.2">
      <c r="D621" s="982" t="s">
        <v>1487</v>
      </c>
      <c r="E621" s="982"/>
      <c r="F621" s="982"/>
      <c r="G621" s="982"/>
      <c r="H621" s="982"/>
      <c r="I621" s="982"/>
      <c r="J621" s="982"/>
      <c r="K621" s="982"/>
      <c r="L621" s="982"/>
      <c r="M621" s="982"/>
      <c r="N621" s="982"/>
      <c r="O621" s="982"/>
      <c r="P621" s="982"/>
      <c r="Q621" s="982"/>
      <c r="R621" s="982"/>
      <c r="S621" s="982"/>
      <c r="T621" s="982"/>
      <c r="U621" s="982"/>
      <c r="V621" s="982"/>
      <c r="W621" s="982"/>
      <c r="X621" s="982"/>
      <c r="Y621" s="982"/>
      <c r="Z621" s="982"/>
      <c r="AA621" s="982"/>
      <c r="AB621" s="982"/>
      <c r="AC621" s="982"/>
      <c r="AD621" s="982"/>
      <c r="AE621" s="982"/>
      <c r="AF621" s="982"/>
      <c r="AG621" s="982"/>
    </row>
    <row r="622" spans="1:42" ht="17.25" customHeight="1" x14ac:dyDescent="0.2"/>
    <row r="623" spans="1:42" ht="14.25" customHeight="1" x14ac:dyDescent="0.2">
      <c r="D623" s="992" t="s">
        <v>1488</v>
      </c>
      <c r="E623" s="993"/>
      <c r="F623" s="993"/>
      <c r="G623" s="993"/>
      <c r="H623" s="993"/>
      <c r="I623" s="993"/>
      <c r="J623" s="993"/>
      <c r="K623" s="993"/>
      <c r="L623" s="993"/>
      <c r="M623" s="993"/>
      <c r="N623" s="993"/>
      <c r="O623" s="993"/>
      <c r="P623" s="993"/>
      <c r="Q623" s="993"/>
      <c r="R623" s="993"/>
      <c r="S623" s="993"/>
      <c r="T623" s="993"/>
      <c r="U623" s="993"/>
      <c r="V623" s="993"/>
      <c r="W623" s="993"/>
      <c r="X623" s="993"/>
      <c r="Y623" s="993"/>
      <c r="Z623" s="993"/>
      <c r="AA623" s="993"/>
      <c r="AB623" s="993"/>
      <c r="AC623" s="993"/>
      <c r="AD623" s="993"/>
      <c r="AE623" s="993"/>
      <c r="AF623" s="993"/>
      <c r="AG623" s="993"/>
    </row>
    <row r="624" spans="1:42" ht="14.25" customHeight="1" thickBot="1" x14ac:dyDescent="0.25"/>
    <row r="625" spans="1:42" ht="14.25" customHeight="1" thickBot="1" x14ac:dyDescent="0.25">
      <c r="D625" s="960" t="s">
        <v>1</v>
      </c>
      <c r="E625" s="960"/>
      <c r="F625" s="960"/>
      <c r="G625" s="960"/>
      <c r="H625" s="960"/>
      <c r="I625" s="960"/>
      <c r="J625" s="983" t="s">
        <v>2</v>
      </c>
      <c r="K625" s="984"/>
      <c r="L625" s="984"/>
      <c r="M625" s="984"/>
      <c r="N625" s="984"/>
      <c r="O625" s="984"/>
      <c r="P625" s="984"/>
      <c r="Q625" s="984"/>
      <c r="R625" s="984"/>
      <c r="S625" s="984"/>
      <c r="T625" s="984"/>
      <c r="U625" s="985"/>
      <c r="V625" s="983" t="s">
        <v>3</v>
      </c>
      <c r="W625" s="984"/>
      <c r="X625" s="984"/>
      <c r="Y625" s="984"/>
      <c r="Z625" s="984"/>
      <c r="AA625" s="984"/>
      <c r="AB625" s="984"/>
      <c r="AC625" s="984"/>
      <c r="AD625" s="984"/>
      <c r="AE625" s="984"/>
      <c r="AF625" s="984"/>
      <c r="AG625" s="985"/>
    </row>
    <row r="626" spans="1:42" ht="14.25" customHeight="1" thickBot="1" x14ac:dyDescent="0.25">
      <c r="D626" s="960"/>
      <c r="E626" s="960"/>
      <c r="F626" s="960"/>
      <c r="G626" s="960"/>
      <c r="H626" s="960"/>
      <c r="I626" s="960"/>
      <c r="J626" s="986"/>
      <c r="K626" s="987"/>
      <c r="L626" s="987"/>
      <c r="M626" s="987"/>
      <c r="N626" s="987"/>
      <c r="O626" s="987"/>
      <c r="P626" s="987"/>
      <c r="Q626" s="987"/>
      <c r="R626" s="987"/>
      <c r="S626" s="987"/>
      <c r="T626" s="987"/>
      <c r="U626" s="988"/>
      <c r="V626" s="986"/>
      <c r="W626" s="987"/>
      <c r="X626" s="987"/>
      <c r="Y626" s="987"/>
      <c r="Z626" s="987"/>
      <c r="AA626" s="987"/>
      <c r="AB626" s="987"/>
      <c r="AC626" s="987"/>
      <c r="AD626" s="987"/>
      <c r="AE626" s="987"/>
      <c r="AF626" s="987"/>
      <c r="AG626" s="988"/>
    </row>
    <row r="627" spans="1:42" ht="14.25" customHeight="1" thickBot="1" x14ac:dyDescent="0.25">
      <c r="D627" s="960"/>
      <c r="E627" s="960"/>
      <c r="F627" s="960"/>
      <c r="G627" s="960"/>
      <c r="H627" s="960"/>
      <c r="I627" s="960"/>
      <c r="J627" s="959" t="s">
        <v>327</v>
      </c>
      <c r="K627" s="959"/>
      <c r="L627" s="959"/>
      <c r="M627" s="959"/>
      <c r="N627" s="959" t="s">
        <v>328</v>
      </c>
      <c r="O627" s="959"/>
      <c r="P627" s="959"/>
      <c r="Q627" s="959"/>
      <c r="R627" s="959" t="s">
        <v>1489</v>
      </c>
      <c r="S627" s="959"/>
      <c r="T627" s="959"/>
      <c r="U627" s="959"/>
      <c r="V627" s="959" t="s">
        <v>327</v>
      </c>
      <c r="W627" s="959"/>
      <c r="X627" s="959"/>
      <c r="Y627" s="959"/>
      <c r="Z627" s="959" t="s">
        <v>328</v>
      </c>
      <c r="AA627" s="959"/>
      <c r="AB627" s="959"/>
      <c r="AC627" s="959"/>
      <c r="AD627" s="959" t="s">
        <v>1489</v>
      </c>
      <c r="AE627" s="959"/>
      <c r="AF627" s="959"/>
      <c r="AG627" s="959"/>
    </row>
    <row r="628" spans="1:42" ht="23.25" customHeight="1" thickBot="1" x14ac:dyDescent="0.25">
      <c r="A628" s="666">
        <v>41</v>
      </c>
      <c r="D628" s="975" t="s">
        <v>330</v>
      </c>
      <c r="E628" s="976"/>
      <c r="F628" s="976"/>
      <c r="G628" s="976"/>
      <c r="H628" s="976"/>
      <c r="I628" s="977"/>
      <c r="J628" s="963">
        <v>-615541</v>
      </c>
      <c r="K628" s="963"/>
      <c r="L628" s="963"/>
      <c r="M628" s="978"/>
      <c r="N628" s="979" t="s">
        <v>18</v>
      </c>
      <c r="O628" s="962"/>
      <c r="P628" s="962"/>
      <c r="Q628" s="980"/>
      <c r="R628" s="981" t="s">
        <v>18</v>
      </c>
      <c r="S628" s="962"/>
      <c r="T628" s="962"/>
      <c r="U628" s="962"/>
      <c r="V628" s="963">
        <v>-821752</v>
      </c>
      <c r="W628" s="963"/>
      <c r="X628" s="963"/>
      <c r="Y628" s="978"/>
      <c r="Z628" s="979" t="s">
        <v>18</v>
      </c>
      <c r="AA628" s="962"/>
      <c r="AB628" s="962"/>
      <c r="AC628" s="980"/>
      <c r="AD628" s="981" t="s">
        <v>18</v>
      </c>
      <c r="AE628" s="962"/>
      <c r="AF628" s="962"/>
      <c r="AG628" s="962"/>
    </row>
    <row r="629" spans="1:42" ht="14.25" customHeight="1" thickTop="1" x14ac:dyDescent="0.2">
      <c r="D629" s="918" t="s">
        <v>331</v>
      </c>
      <c r="E629" s="919"/>
      <c r="F629" s="919"/>
      <c r="G629" s="919"/>
      <c r="H629" s="919"/>
      <c r="I629" s="920"/>
      <c r="J629" s="955" t="s">
        <v>18</v>
      </c>
      <c r="K629" s="955"/>
      <c r="L629" s="955"/>
      <c r="M629" s="964"/>
      <c r="N629" s="934">
        <v>-141574</v>
      </c>
      <c r="O629" s="932"/>
      <c r="P629" s="932"/>
      <c r="Q629" s="935"/>
      <c r="R629" s="928">
        <v>0.23</v>
      </c>
      <c r="S629" s="929"/>
      <c r="T629" s="929"/>
      <c r="U629" s="929"/>
      <c r="V629" s="955" t="s">
        <v>18</v>
      </c>
      <c r="W629" s="955"/>
      <c r="X629" s="955"/>
      <c r="Y629" s="964"/>
      <c r="Z629" s="934">
        <v>-156133</v>
      </c>
      <c r="AA629" s="932"/>
      <c r="AB629" s="932"/>
      <c r="AC629" s="935"/>
      <c r="AD629" s="936">
        <v>19</v>
      </c>
      <c r="AE629" s="937"/>
      <c r="AF629" s="937"/>
      <c r="AG629" s="937"/>
      <c r="AO629" s="721" t="s">
        <v>2</v>
      </c>
      <c r="AP629" s="718" t="s">
        <v>3</v>
      </c>
    </row>
    <row r="630" spans="1:42" ht="25.5" customHeight="1" x14ac:dyDescent="0.2">
      <c r="D630" s="918" t="s">
        <v>332</v>
      </c>
      <c r="E630" s="919"/>
      <c r="F630" s="919"/>
      <c r="G630" s="919"/>
      <c r="H630" s="919"/>
      <c r="I630" s="920"/>
      <c r="J630" s="924">
        <v>572057</v>
      </c>
      <c r="K630" s="924"/>
      <c r="L630" s="924"/>
      <c r="M630" s="925"/>
      <c r="N630" s="926">
        <v>131573</v>
      </c>
      <c r="O630" s="924"/>
      <c r="P630" s="924"/>
      <c r="Q630" s="927"/>
      <c r="R630" s="928">
        <v>0.23</v>
      </c>
      <c r="S630" s="929"/>
      <c r="T630" s="929"/>
      <c r="U630" s="929"/>
      <c r="V630" s="924">
        <v>567159</v>
      </c>
      <c r="W630" s="924"/>
      <c r="X630" s="924"/>
      <c r="Y630" s="925"/>
      <c r="Z630" s="926">
        <v>107761</v>
      </c>
      <c r="AA630" s="924"/>
      <c r="AB630" s="924"/>
      <c r="AC630" s="927"/>
      <c r="AD630" s="930">
        <v>19</v>
      </c>
      <c r="AE630" s="931"/>
      <c r="AF630" s="931"/>
      <c r="AG630" s="931"/>
      <c r="AO630" s="732"/>
      <c r="AP630" s="733"/>
    </row>
    <row r="631" spans="1:42" ht="34.5" customHeight="1" x14ac:dyDescent="0.2">
      <c r="D631" s="918" t="s">
        <v>333</v>
      </c>
      <c r="E631" s="919"/>
      <c r="F631" s="919"/>
      <c r="G631" s="919"/>
      <c r="H631" s="919"/>
      <c r="I631" s="920"/>
      <c r="J631" s="932">
        <v>-213945</v>
      </c>
      <c r="K631" s="932"/>
      <c r="L631" s="932"/>
      <c r="M631" s="933"/>
      <c r="N631" s="934">
        <v>-49207</v>
      </c>
      <c r="O631" s="932"/>
      <c r="P631" s="932"/>
      <c r="Q631" s="935"/>
      <c r="R631" s="928">
        <v>0.23</v>
      </c>
      <c r="S631" s="929"/>
      <c r="T631" s="929"/>
      <c r="U631" s="929"/>
      <c r="V631" s="932">
        <v>-80171</v>
      </c>
      <c r="W631" s="932"/>
      <c r="X631" s="932"/>
      <c r="Y631" s="933"/>
      <c r="Z631" s="934">
        <v>-15233</v>
      </c>
      <c r="AA631" s="932"/>
      <c r="AB631" s="932"/>
      <c r="AC631" s="935"/>
      <c r="AD631" s="936">
        <v>19</v>
      </c>
      <c r="AE631" s="937"/>
      <c r="AF631" s="937"/>
      <c r="AG631" s="937"/>
      <c r="AO631" s="691">
        <f>J628-'P&amp;L'!$D$55</f>
        <v>-615541</v>
      </c>
      <c r="AP631" s="678">
        <f>V628-'P&amp;L'!$E$55</f>
        <v>-821752</v>
      </c>
    </row>
    <row r="632" spans="1:42" ht="27.75" customHeight="1" x14ac:dyDescent="0.2">
      <c r="D632" s="918" t="s">
        <v>334</v>
      </c>
      <c r="E632" s="919"/>
      <c r="F632" s="919"/>
      <c r="G632" s="919"/>
      <c r="H632" s="919"/>
      <c r="I632" s="920"/>
      <c r="J632" s="938" t="s">
        <v>1436</v>
      </c>
      <c r="K632" s="932"/>
      <c r="L632" s="932"/>
      <c r="M632" s="933"/>
      <c r="N632" s="939" t="s">
        <v>1436</v>
      </c>
      <c r="O632" s="932"/>
      <c r="P632" s="932"/>
      <c r="Q632" s="935"/>
      <c r="R632" s="940" t="s">
        <v>1436</v>
      </c>
      <c r="S632" s="937"/>
      <c r="T632" s="937"/>
      <c r="U632" s="941"/>
      <c r="V632" s="942" t="s">
        <v>1436</v>
      </c>
      <c r="W632" s="937"/>
      <c r="X632" s="937"/>
      <c r="Y632" s="943"/>
      <c r="Z632" s="940" t="s">
        <v>1436</v>
      </c>
      <c r="AA632" s="937"/>
      <c r="AB632" s="937"/>
      <c r="AC632" s="943"/>
      <c r="AD632" s="940" t="s">
        <v>1436</v>
      </c>
      <c r="AE632" s="937"/>
      <c r="AF632" s="937"/>
      <c r="AG632" s="937"/>
      <c r="AO632" s="676"/>
      <c r="AP632" s="688"/>
    </row>
    <row r="633" spans="1:42" ht="27.75" customHeight="1" x14ac:dyDescent="0.2">
      <c r="D633" s="918" t="s">
        <v>14</v>
      </c>
      <c r="E633" s="919"/>
      <c r="F633" s="919"/>
      <c r="G633" s="919"/>
      <c r="H633" s="919"/>
      <c r="I633" s="920"/>
      <c r="J633" s="932">
        <v>-257429</v>
      </c>
      <c r="K633" s="932"/>
      <c r="L633" s="932"/>
      <c r="M633" s="933"/>
      <c r="N633" s="934">
        <v>-59209</v>
      </c>
      <c r="O633" s="932"/>
      <c r="P633" s="932"/>
      <c r="Q633" s="935"/>
      <c r="R633" s="928">
        <v>0.23</v>
      </c>
      <c r="S633" s="929"/>
      <c r="T633" s="929"/>
      <c r="U633" s="929"/>
      <c r="V633" s="932">
        <v>-334764</v>
      </c>
      <c r="W633" s="932"/>
      <c r="X633" s="932"/>
      <c r="Y633" s="933"/>
      <c r="Z633" s="934">
        <v>-63605</v>
      </c>
      <c r="AA633" s="932"/>
      <c r="AB633" s="932"/>
      <c r="AC633" s="935"/>
      <c r="AD633" s="936">
        <v>19</v>
      </c>
      <c r="AE633" s="937"/>
      <c r="AF633" s="937"/>
      <c r="AG633" s="937"/>
      <c r="AO633" s="676"/>
      <c r="AP633" s="688"/>
    </row>
    <row r="634" spans="1:42" ht="27.75" customHeight="1" x14ac:dyDescent="0.2">
      <c r="D634" s="918" t="s">
        <v>335</v>
      </c>
      <c r="E634" s="919"/>
      <c r="F634" s="919"/>
      <c r="G634" s="919"/>
      <c r="H634" s="919"/>
      <c r="I634" s="920"/>
      <c r="J634" s="955" t="s">
        <v>18</v>
      </c>
      <c r="K634" s="955"/>
      <c r="L634" s="955"/>
      <c r="M634" s="964"/>
      <c r="N634" s="934" t="s">
        <v>1436</v>
      </c>
      <c r="O634" s="932"/>
      <c r="P634" s="932"/>
      <c r="Q634" s="935"/>
      <c r="R634" s="936" t="s">
        <v>1436</v>
      </c>
      <c r="S634" s="937"/>
      <c r="T634" s="937"/>
      <c r="U634" s="937"/>
      <c r="V634" s="955" t="s">
        <v>18</v>
      </c>
      <c r="W634" s="955"/>
      <c r="X634" s="955"/>
      <c r="Y634" s="964"/>
      <c r="Z634" s="940" t="s">
        <v>1436</v>
      </c>
      <c r="AA634" s="937"/>
      <c r="AB634" s="937"/>
      <c r="AC634" s="943"/>
      <c r="AD634" s="940" t="s">
        <v>1436</v>
      </c>
      <c r="AE634" s="937"/>
      <c r="AF634" s="937"/>
      <c r="AG634" s="937"/>
      <c r="AO634" s="676"/>
      <c r="AP634" s="688"/>
    </row>
    <row r="635" spans="1:42" ht="27.75" customHeight="1" x14ac:dyDescent="0.2">
      <c r="D635" s="918" t="s">
        <v>336</v>
      </c>
      <c r="E635" s="919"/>
      <c r="F635" s="919"/>
      <c r="G635" s="919"/>
      <c r="H635" s="919"/>
      <c r="I635" s="920"/>
      <c r="J635" s="955" t="s">
        <v>18</v>
      </c>
      <c r="K635" s="955"/>
      <c r="L635" s="955"/>
      <c r="M635" s="964"/>
      <c r="N635" s="934" t="s">
        <v>1436</v>
      </c>
      <c r="O635" s="932"/>
      <c r="P635" s="932"/>
      <c r="Q635" s="935"/>
      <c r="R635" s="936" t="s">
        <v>1436</v>
      </c>
      <c r="S635" s="937"/>
      <c r="T635" s="937"/>
      <c r="U635" s="937"/>
      <c r="V635" s="955" t="s">
        <v>18</v>
      </c>
      <c r="W635" s="955"/>
      <c r="X635" s="955"/>
      <c r="Y635" s="964"/>
      <c r="Z635" s="940" t="s">
        <v>1436</v>
      </c>
      <c r="AA635" s="937"/>
      <c r="AB635" s="937"/>
      <c r="AC635" s="943"/>
      <c r="AD635" s="940" t="s">
        <v>1436</v>
      </c>
      <c r="AE635" s="937"/>
      <c r="AF635" s="937"/>
      <c r="AG635" s="937"/>
      <c r="AO635" s="676"/>
      <c r="AP635" s="688"/>
    </row>
    <row r="636" spans="1:42" ht="27.75" customHeight="1" thickBot="1" x14ac:dyDescent="0.25">
      <c r="D636" s="921" t="s">
        <v>337</v>
      </c>
      <c r="E636" s="922"/>
      <c r="F636" s="922"/>
      <c r="G636" s="922"/>
      <c r="H636" s="922"/>
      <c r="I636" s="923"/>
      <c r="J636" s="944" t="s">
        <v>18</v>
      </c>
      <c r="K636" s="944"/>
      <c r="L636" s="944"/>
      <c r="M636" s="945"/>
      <c r="N636" s="946" t="s">
        <v>1436</v>
      </c>
      <c r="O636" s="947"/>
      <c r="P636" s="947"/>
      <c r="Q636" s="948"/>
      <c r="R636" s="949" t="s">
        <v>1436</v>
      </c>
      <c r="S636" s="950"/>
      <c r="T636" s="950"/>
      <c r="U636" s="950"/>
      <c r="V636" s="944" t="s">
        <v>18</v>
      </c>
      <c r="W636" s="944"/>
      <c r="X636" s="944"/>
      <c r="Y636" s="945"/>
      <c r="Z636" s="946" t="s">
        <v>1436</v>
      </c>
      <c r="AA636" s="947"/>
      <c r="AB636" s="947"/>
      <c r="AC636" s="948"/>
      <c r="AD636" s="949" t="s">
        <v>1436</v>
      </c>
      <c r="AE636" s="950"/>
      <c r="AF636" s="950"/>
      <c r="AG636" s="950"/>
      <c r="AO636" s="676"/>
      <c r="AP636" s="688"/>
    </row>
    <row r="637" spans="1:42" ht="27.75" customHeight="1" x14ac:dyDescent="0.2">
      <c r="AO637" s="691" t="e">
        <f>N634-'P&amp;L'!$D$57-'P&amp;L'!$D$64</f>
        <v>#VALUE!</v>
      </c>
      <c r="AP637" s="678" t="e">
        <f>Z634-'P&amp;L'!$E$57-'P&amp;L'!$E$64</f>
        <v>#VALUE!</v>
      </c>
    </row>
    <row r="638" spans="1:42" ht="27.75" customHeight="1" x14ac:dyDescent="0.2">
      <c r="D638" s="655" t="s">
        <v>1618</v>
      </c>
      <c r="AO638" s="679" t="e">
        <f>N636-'P&amp;L'!$D$56-'P&amp;L'!$D$63</f>
        <v>#VALUE!</v>
      </c>
      <c r="AP638" s="681" t="e">
        <f>Z636-'P&amp;L'!$E$56-'P&amp;L'!$E$63</f>
        <v>#VALUE!</v>
      </c>
    </row>
    <row r="640" spans="1:42" ht="14.25" customHeight="1" x14ac:dyDescent="0.2">
      <c r="D640" s="971" t="s">
        <v>1596</v>
      </c>
      <c r="E640" s="972"/>
      <c r="F640" s="972"/>
      <c r="G640" s="972"/>
      <c r="H640" s="972"/>
      <c r="I640" s="972"/>
      <c r="J640" s="972"/>
      <c r="K640" s="972"/>
      <c r="L640" s="972"/>
      <c r="M640" s="972"/>
      <c r="N640" s="972"/>
      <c r="O640" s="972"/>
      <c r="P640" s="972"/>
      <c r="Q640" s="972"/>
      <c r="R640" s="972"/>
      <c r="S640" s="972"/>
      <c r="T640" s="972"/>
      <c r="U640" s="972"/>
      <c r="V640" s="972"/>
      <c r="W640" s="972"/>
      <c r="X640" s="972"/>
      <c r="Y640" s="972"/>
      <c r="Z640" s="972"/>
      <c r="AA640" s="972"/>
      <c r="AB640" s="972"/>
      <c r="AC640" s="972"/>
      <c r="AD640" s="972"/>
      <c r="AE640" s="972"/>
      <c r="AF640" s="972"/>
      <c r="AG640" s="972"/>
    </row>
    <row r="641" spans="1:33" ht="14.25" customHeight="1" x14ac:dyDescent="0.2">
      <c r="D641" s="894"/>
      <c r="E641" s="882"/>
      <c r="F641" s="882"/>
      <c r="G641" s="882"/>
      <c r="H641" s="882"/>
      <c r="I641" s="882"/>
      <c r="J641" s="882"/>
      <c r="K641" s="882"/>
      <c r="L641" s="882"/>
      <c r="M641" s="882"/>
      <c r="N641" s="882"/>
      <c r="O641" s="882"/>
      <c r="P641" s="882"/>
      <c r="Q641" s="882"/>
      <c r="R641" s="882"/>
      <c r="S641" s="882"/>
      <c r="T641" s="882"/>
      <c r="U641" s="882"/>
      <c r="V641" s="882"/>
      <c r="W641" s="882"/>
      <c r="X641" s="882"/>
      <c r="Y641" s="882"/>
      <c r="Z641" s="882"/>
      <c r="AA641" s="882"/>
      <c r="AB641" s="882"/>
      <c r="AC641" s="882"/>
      <c r="AD641" s="882"/>
      <c r="AE641" s="882"/>
      <c r="AF641" s="882"/>
      <c r="AG641" s="882"/>
    </row>
    <row r="642" spans="1:33" ht="14.25" customHeight="1" x14ac:dyDescent="0.2">
      <c r="D642" s="973" t="s">
        <v>1672</v>
      </c>
      <c r="E642" s="974" t="s">
        <v>1594</v>
      </c>
      <c r="F642" s="974" t="s">
        <v>1594</v>
      </c>
      <c r="G642" s="974" t="s">
        <v>1594</v>
      </c>
      <c r="H642" s="974" t="s">
        <v>1594</v>
      </c>
      <c r="I642" s="974" t="s">
        <v>1594</v>
      </c>
      <c r="J642" s="974" t="s">
        <v>1594</v>
      </c>
      <c r="K642" s="974" t="s">
        <v>1594</v>
      </c>
      <c r="L642" s="974" t="s">
        <v>1594</v>
      </c>
      <c r="M642" s="974" t="s">
        <v>1594</v>
      </c>
      <c r="N642" s="974" t="s">
        <v>1594</v>
      </c>
      <c r="O642" s="974" t="s">
        <v>1594</v>
      </c>
      <c r="P642" s="974" t="s">
        <v>1594</v>
      </c>
      <c r="Q642" s="974" t="s">
        <v>1594</v>
      </c>
      <c r="R642" s="974" t="s">
        <v>1594</v>
      </c>
      <c r="S642" s="974" t="s">
        <v>1594</v>
      </c>
      <c r="T642" s="974" t="s">
        <v>1594</v>
      </c>
      <c r="U642" s="974" t="s">
        <v>1594</v>
      </c>
      <c r="V642" s="974" t="s">
        <v>1594</v>
      </c>
      <c r="W642" s="974" t="s">
        <v>1594</v>
      </c>
      <c r="X642" s="974" t="s">
        <v>1594</v>
      </c>
      <c r="Y642" s="974" t="s">
        <v>1594</v>
      </c>
      <c r="Z642" s="974" t="s">
        <v>1594</v>
      </c>
      <c r="AA642" s="974" t="s">
        <v>1594</v>
      </c>
      <c r="AB642" s="974" t="s">
        <v>1594</v>
      </c>
      <c r="AC642" s="974" t="s">
        <v>1594</v>
      </c>
      <c r="AD642" s="974" t="s">
        <v>1594</v>
      </c>
      <c r="AE642" s="974" t="s">
        <v>1594</v>
      </c>
      <c r="AF642" s="974" t="s">
        <v>1594</v>
      </c>
      <c r="AG642" s="974" t="s">
        <v>1594</v>
      </c>
    </row>
    <row r="643" spans="1:33" ht="14.25" customHeight="1" x14ac:dyDescent="0.2">
      <c r="D643" s="971" t="s">
        <v>1490</v>
      </c>
      <c r="E643" s="972"/>
      <c r="F643" s="972"/>
      <c r="G643" s="972"/>
      <c r="H643" s="972"/>
      <c r="I643" s="972"/>
      <c r="J643" s="972"/>
      <c r="K643" s="972"/>
      <c r="L643" s="972"/>
      <c r="M643" s="972"/>
      <c r="N643" s="972"/>
      <c r="O643" s="972"/>
      <c r="P643" s="972"/>
      <c r="Q643" s="972"/>
      <c r="R643" s="972"/>
      <c r="S643" s="972"/>
      <c r="T643" s="972"/>
      <c r="U643" s="972"/>
      <c r="V643" s="972"/>
      <c r="W643" s="972"/>
      <c r="X643" s="972"/>
      <c r="Y643" s="972"/>
      <c r="Z643" s="972"/>
      <c r="AA643" s="972"/>
      <c r="AB643" s="972"/>
      <c r="AC643" s="972"/>
      <c r="AD643" s="972"/>
      <c r="AE643" s="972"/>
      <c r="AF643" s="972"/>
      <c r="AG643" s="972"/>
    </row>
    <row r="644" spans="1:33" ht="13.5" customHeight="1" thickBot="1" x14ac:dyDescent="0.25"/>
    <row r="645" spans="1:33" ht="84.75" customHeight="1" thickBot="1" x14ac:dyDescent="0.25">
      <c r="D645" s="960" t="s">
        <v>387</v>
      </c>
      <c r="E645" s="960"/>
      <c r="F645" s="960"/>
      <c r="G645" s="960"/>
      <c r="H645" s="960"/>
      <c r="I645" s="960"/>
      <c r="J645" s="960"/>
      <c r="K645" s="960"/>
      <c r="L645" s="960"/>
      <c r="M645" s="959" t="s">
        <v>388</v>
      </c>
      <c r="N645" s="959"/>
      <c r="O645" s="959"/>
      <c r="P645" s="959"/>
      <c r="Q645" s="959"/>
      <c r="R645" s="959" t="s">
        <v>389</v>
      </c>
      <c r="S645" s="959"/>
      <c r="T645" s="959"/>
      <c r="U645" s="959"/>
      <c r="V645" s="959"/>
      <c r="W645" s="959"/>
      <c r="X645" s="959"/>
      <c r="Y645" s="959"/>
      <c r="Z645" s="959"/>
      <c r="AA645" s="959"/>
      <c r="AB645" s="959"/>
      <c r="AC645" s="959"/>
      <c r="AD645" s="959"/>
      <c r="AE645" s="959"/>
      <c r="AF645" s="959"/>
      <c r="AG645" s="959"/>
    </row>
    <row r="646" spans="1:33" ht="26.25" customHeight="1" thickBot="1" x14ac:dyDescent="0.25">
      <c r="D646" s="960"/>
      <c r="E646" s="960"/>
      <c r="F646" s="960"/>
      <c r="G646" s="960"/>
      <c r="H646" s="960"/>
      <c r="I646" s="960"/>
      <c r="J646" s="960"/>
      <c r="K646" s="960"/>
      <c r="L646" s="960"/>
      <c r="M646" s="959"/>
      <c r="N646" s="959"/>
      <c r="O646" s="959"/>
      <c r="P646" s="959"/>
      <c r="Q646" s="959"/>
      <c r="R646" s="959" t="s">
        <v>2</v>
      </c>
      <c r="S646" s="959"/>
      <c r="T646" s="959"/>
      <c r="U646" s="959"/>
      <c r="V646" s="959"/>
      <c r="W646" s="959"/>
      <c r="X646" s="959"/>
      <c r="Y646" s="959"/>
      <c r="Z646" s="959" t="s">
        <v>390</v>
      </c>
      <c r="AA646" s="959"/>
      <c r="AB646" s="959"/>
      <c r="AC646" s="959"/>
      <c r="AD646" s="959"/>
      <c r="AE646" s="959"/>
      <c r="AF646" s="959"/>
      <c r="AG646" s="959"/>
    </row>
    <row r="647" spans="1:33" ht="14.25" customHeight="1" x14ac:dyDescent="0.2">
      <c r="D647" s="961" t="s">
        <v>1540</v>
      </c>
      <c r="E647" s="962"/>
      <c r="F647" s="962"/>
      <c r="G647" s="962"/>
      <c r="H647" s="962"/>
      <c r="I647" s="962"/>
      <c r="J647" s="962"/>
      <c r="K647" s="962"/>
      <c r="L647" s="962"/>
      <c r="M647" s="961" t="s">
        <v>1541</v>
      </c>
      <c r="N647" s="962"/>
      <c r="O647" s="962"/>
      <c r="P647" s="962"/>
      <c r="Q647" s="962"/>
      <c r="R647" s="963">
        <v>61165</v>
      </c>
      <c r="S647" s="963"/>
      <c r="T647" s="963"/>
      <c r="U647" s="963"/>
      <c r="V647" s="963"/>
      <c r="W647" s="963"/>
      <c r="X647" s="963"/>
      <c r="Y647" s="963"/>
      <c r="Z647" s="963">
        <v>136710</v>
      </c>
      <c r="AA647" s="963"/>
      <c r="AB647" s="963"/>
      <c r="AC647" s="963"/>
      <c r="AD647" s="963"/>
      <c r="AE647" s="963"/>
      <c r="AF647" s="963"/>
      <c r="AG647" s="963"/>
    </row>
    <row r="648" spans="1:33" ht="18.75" customHeight="1" x14ac:dyDescent="0.2">
      <c r="A648" s="666" t="s">
        <v>1491</v>
      </c>
      <c r="D648" s="954" t="s">
        <v>1542</v>
      </c>
      <c r="E648" s="955"/>
      <c r="F648" s="955"/>
      <c r="G648" s="955"/>
      <c r="H648" s="955"/>
      <c r="I648" s="955"/>
      <c r="J648" s="955"/>
      <c r="K648" s="955"/>
      <c r="L648" s="955"/>
      <c r="M648" s="954" t="s">
        <v>1543</v>
      </c>
      <c r="N648" s="955"/>
      <c r="O648" s="955"/>
      <c r="P648" s="955"/>
      <c r="Q648" s="955"/>
      <c r="R648" s="932">
        <v>13943</v>
      </c>
      <c r="S648" s="932"/>
      <c r="T648" s="932"/>
      <c r="U648" s="932"/>
      <c r="V648" s="932"/>
      <c r="W648" s="932"/>
      <c r="X648" s="932"/>
      <c r="Y648" s="932"/>
      <c r="Z648" s="932">
        <v>17770</v>
      </c>
      <c r="AA648" s="932"/>
      <c r="AB648" s="932"/>
      <c r="AC648" s="932"/>
      <c r="AD648" s="932"/>
      <c r="AE648" s="932"/>
      <c r="AF648" s="932"/>
      <c r="AG648" s="932"/>
    </row>
    <row r="649" spans="1:33" ht="26.25" customHeight="1" x14ac:dyDescent="0.2">
      <c r="D649" s="954" t="s">
        <v>1574</v>
      </c>
      <c r="E649" s="955"/>
      <c r="F649" s="955"/>
      <c r="G649" s="955"/>
      <c r="H649" s="955"/>
      <c r="I649" s="955"/>
      <c r="J649" s="955"/>
      <c r="K649" s="955"/>
      <c r="L649" s="955"/>
      <c r="M649" s="954" t="s">
        <v>1541</v>
      </c>
      <c r="N649" s="955"/>
      <c r="O649" s="955"/>
      <c r="P649" s="955"/>
      <c r="Q649" s="955"/>
      <c r="R649" s="932">
        <v>2705</v>
      </c>
      <c r="S649" s="932"/>
      <c r="T649" s="932"/>
      <c r="U649" s="932"/>
      <c r="V649" s="932"/>
      <c r="W649" s="932"/>
      <c r="X649" s="932"/>
      <c r="Y649" s="932"/>
      <c r="Z649" s="967" t="s">
        <v>1436</v>
      </c>
      <c r="AA649" s="932"/>
      <c r="AB649" s="932"/>
      <c r="AC649" s="932"/>
      <c r="AD649" s="932"/>
      <c r="AE649" s="932"/>
      <c r="AF649" s="932"/>
      <c r="AG649" s="932"/>
    </row>
    <row r="650" spans="1:33" ht="18.75" customHeight="1" thickBot="1" x14ac:dyDescent="0.25">
      <c r="D650" s="965" t="s">
        <v>1575</v>
      </c>
      <c r="E650" s="944"/>
      <c r="F650" s="944"/>
      <c r="G650" s="944"/>
      <c r="H650" s="944"/>
      <c r="I650" s="944"/>
      <c r="J650" s="944"/>
      <c r="K650" s="944"/>
      <c r="L650" s="944"/>
      <c r="M650" s="968" t="s">
        <v>1541</v>
      </c>
      <c r="N650" s="969"/>
      <c r="O650" s="969"/>
      <c r="P650" s="969"/>
      <c r="Q650" s="969"/>
      <c r="R650" s="966">
        <v>11617</v>
      </c>
      <c r="S650" s="966"/>
      <c r="T650" s="966"/>
      <c r="U650" s="966"/>
      <c r="V650" s="966"/>
      <c r="W650" s="966"/>
      <c r="X650" s="966"/>
      <c r="Y650" s="966"/>
      <c r="Z650" s="970" t="s">
        <v>1436</v>
      </c>
      <c r="AA650" s="966"/>
      <c r="AB650" s="966"/>
      <c r="AC650" s="966"/>
      <c r="AD650" s="966"/>
      <c r="AE650" s="966"/>
      <c r="AF650" s="966"/>
      <c r="AG650" s="966"/>
    </row>
    <row r="651" spans="1:33" ht="18.75" customHeight="1" thickBot="1" x14ac:dyDescent="0.25"/>
    <row r="652" spans="1:33" ht="18.75" customHeight="1" thickBot="1" x14ac:dyDescent="0.25">
      <c r="D652" s="959" t="s">
        <v>488</v>
      </c>
      <c r="E652" s="960"/>
      <c r="F652" s="960"/>
      <c r="G652" s="960"/>
      <c r="H652" s="960"/>
      <c r="I652" s="960"/>
      <c r="J652" s="960"/>
      <c r="K652" s="960"/>
      <c r="L652" s="960"/>
      <c r="M652" s="959" t="s">
        <v>388</v>
      </c>
      <c r="N652" s="959"/>
      <c r="O652" s="959"/>
      <c r="P652" s="959"/>
      <c r="Q652" s="959"/>
      <c r="R652" s="959" t="s">
        <v>389</v>
      </c>
      <c r="S652" s="959"/>
      <c r="T652" s="959"/>
      <c r="U652" s="959"/>
      <c r="V652" s="959"/>
      <c r="W652" s="959"/>
      <c r="X652" s="959"/>
      <c r="Y652" s="959"/>
      <c r="Z652" s="959"/>
      <c r="AA652" s="959"/>
      <c r="AB652" s="959"/>
      <c r="AC652" s="959"/>
      <c r="AD652" s="959"/>
      <c r="AE652" s="959"/>
      <c r="AF652" s="959"/>
      <c r="AG652" s="959"/>
    </row>
    <row r="653" spans="1:33" ht="24" customHeight="1" thickBot="1" x14ac:dyDescent="0.25">
      <c r="D653" s="960"/>
      <c r="E653" s="960"/>
      <c r="F653" s="960"/>
      <c r="G653" s="960"/>
      <c r="H653" s="960"/>
      <c r="I653" s="960"/>
      <c r="J653" s="960"/>
      <c r="K653" s="960"/>
      <c r="L653" s="960"/>
      <c r="M653" s="959"/>
      <c r="N653" s="959"/>
      <c r="O653" s="959"/>
      <c r="P653" s="959"/>
      <c r="Q653" s="959"/>
      <c r="R653" s="959" t="s">
        <v>2</v>
      </c>
      <c r="S653" s="959"/>
      <c r="T653" s="959"/>
      <c r="U653" s="959"/>
      <c r="V653" s="959"/>
      <c r="W653" s="959"/>
      <c r="X653" s="959"/>
      <c r="Y653" s="959"/>
      <c r="Z653" s="959" t="s">
        <v>390</v>
      </c>
      <c r="AA653" s="959"/>
      <c r="AB653" s="959"/>
      <c r="AC653" s="959"/>
      <c r="AD653" s="959"/>
      <c r="AE653" s="959"/>
      <c r="AF653" s="959"/>
      <c r="AG653" s="959"/>
    </row>
    <row r="654" spans="1:33" ht="14.25" customHeight="1" x14ac:dyDescent="0.2">
      <c r="D654" s="961" t="s">
        <v>1522</v>
      </c>
      <c r="E654" s="962"/>
      <c r="F654" s="962"/>
      <c r="G654" s="962"/>
      <c r="H654" s="962"/>
      <c r="I654" s="962"/>
      <c r="J654" s="962"/>
      <c r="K654" s="962"/>
      <c r="L654" s="962"/>
      <c r="M654" s="961" t="s">
        <v>1541</v>
      </c>
      <c r="N654" s="962"/>
      <c r="O654" s="962"/>
      <c r="P654" s="962"/>
      <c r="Q654" s="962"/>
      <c r="R654" s="963">
        <v>112173</v>
      </c>
      <c r="S654" s="963"/>
      <c r="T654" s="963"/>
      <c r="U654" s="963"/>
      <c r="V654" s="963"/>
      <c r="W654" s="963"/>
      <c r="X654" s="963"/>
      <c r="Y654" s="963"/>
      <c r="Z654" s="963">
        <v>147005</v>
      </c>
      <c r="AA654" s="963"/>
      <c r="AB654" s="963"/>
      <c r="AC654" s="963"/>
      <c r="AD654" s="963"/>
      <c r="AE654" s="963"/>
      <c r="AF654" s="963"/>
      <c r="AG654" s="963"/>
    </row>
    <row r="655" spans="1:33" ht="21" customHeight="1" x14ac:dyDescent="0.2">
      <c r="A655" s="666" t="s">
        <v>1521</v>
      </c>
      <c r="D655" s="954" t="s">
        <v>1522</v>
      </c>
      <c r="E655" s="955"/>
      <c r="F655" s="955"/>
      <c r="G655" s="955"/>
      <c r="H655" s="955"/>
      <c r="I655" s="955"/>
      <c r="J655" s="955"/>
      <c r="K655" s="955"/>
      <c r="L655" s="955"/>
      <c r="M655" s="954" t="s">
        <v>1543</v>
      </c>
      <c r="N655" s="955"/>
      <c r="O655" s="955"/>
      <c r="P655" s="955"/>
      <c r="Q655" s="955"/>
      <c r="R655" s="932">
        <v>8110654</v>
      </c>
      <c r="S655" s="932"/>
      <c r="T655" s="932"/>
      <c r="U655" s="932"/>
      <c r="V655" s="932"/>
      <c r="W655" s="932"/>
      <c r="X655" s="932"/>
      <c r="Y655" s="932"/>
      <c r="Z655" s="932">
        <v>7868334</v>
      </c>
      <c r="AA655" s="932"/>
      <c r="AB655" s="932"/>
      <c r="AC655" s="932"/>
      <c r="AD655" s="932"/>
      <c r="AE655" s="932"/>
      <c r="AF655" s="932"/>
      <c r="AG655" s="932"/>
    </row>
    <row r="656" spans="1:33" ht="26.25" customHeight="1" x14ac:dyDescent="0.2">
      <c r="D656" s="954" t="s">
        <v>1522</v>
      </c>
      <c r="E656" s="955"/>
      <c r="F656" s="955"/>
      <c r="G656" s="955"/>
      <c r="H656" s="955"/>
      <c r="I656" s="955"/>
      <c r="J656" s="955"/>
      <c r="K656" s="955"/>
      <c r="L656" s="955"/>
      <c r="M656" s="954" t="s">
        <v>1544</v>
      </c>
      <c r="N656" s="955"/>
      <c r="O656" s="955"/>
      <c r="P656" s="955"/>
      <c r="Q656" s="955"/>
      <c r="R656" s="932">
        <v>140</v>
      </c>
      <c r="S656" s="932"/>
      <c r="T656" s="932"/>
      <c r="U656" s="932"/>
      <c r="V656" s="932"/>
      <c r="W656" s="932"/>
      <c r="X656" s="932"/>
      <c r="Y656" s="932"/>
      <c r="Z656" s="932">
        <v>2453</v>
      </c>
      <c r="AA656" s="932"/>
      <c r="AB656" s="932"/>
      <c r="AC656" s="932"/>
      <c r="AD656" s="932"/>
      <c r="AE656" s="932"/>
      <c r="AF656" s="932"/>
      <c r="AG656" s="932"/>
    </row>
    <row r="657" spans="4:33" ht="18" customHeight="1" thickBot="1" x14ac:dyDescent="0.25">
      <c r="D657" s="965" t="s">
        <v>1522</v>
      </c>
      <c r="E657" s="944"/>
      <c r="F657" s="944"/>
      <c r="G657" s="944"/>
      <c r="H657" s="944"/>
      <c r="I657" s="944"/>
      <c r="J657" s="944"/>
      <c r="K657" s="944"/>
      <c r="L657" s="944"/>
      <c r="M657" s="965" t="s">
        <v>1545</v>
      </c>
      <c r="N657" s="944"/>
      <c r="O657" s="944"/>
      <c r="P657" s="944"/>
      <c r="Q657" s="944"/>
      <c r="R657" s="966">
        <v>0</v>
      </c>
      <c r="S657" s="966"/>
      <c r="T657" s="966"/>
      <c r="U657" s="966"/>
      <c r="V657" s="966"/>
      <c r="W657" s="966"/>
      <c r="X657" s="966"/>
      <c r="Y657" s="966"/>
      <c r="Z657" s="966">
        <v>13303</v>
      </c>
      <c r="AA657" s="966"/>
      <c r="AB657" s="966"/>
      <c r="AC657" s="966"/>
      <c r="AD657" s="966"/>
      <c r="AE657" s="966"/>
      <c r="AF657" s="966"/>
      <c r="AG657" s="966"/>
    </row>
    <row r="658" spans="4:33" ht="18" customHeight="1" x14ac:dyDescent="0.2"/>
    <row r="659" spans="4:33" ht="18" customHeight="1" x14ac:dyDescent="0.2"/>
    <row r="660" spans="4:33" ht="18" customHeight="1" x14ac:dyDescent="0.2"/>
    <row r="662" spans="4:33" ht="14.25" customHeight="1" x14ac:dyDescent="0.2">
      <c r="D662" s="971" t="s">
        <v>1636</v>
      </c>
      <c r="E662" s="972"/>
      <c r="F662" s="972"/>
      <c r="G662" s="972"/>
      <c r="H662" s="972"/>
      <c r="I662" s="972"/>
      <c r="J662" s="972"/>
      <c r="K662" s="972"/>
      <c r="L662" s="972"/>
      <c r="M662" s="972"/>
      <c r="N662" s="972"/>
      <c r="O662" s="972"/>
      <c r="P662" s="972"/>
      <c r="Q662" s="972"/>
      <c r="R662" s="972"/>
      <c r="S662" s="972"/>
      <c r="T662" s="972"/>
      <c r="U662" s="972"/>
      <c r="V662" s="972"/>
      <c r="W662" s="972"/>
      <c r="X662" s="972"/>
      <c r="Y662" s="972"/>
      <c r="Z662" s="972"/>
      <c r="AA662" s="972"/>
      <c r="AB662" s="972"/>
      <c r="AC662" s="972"/>
      <c r="AD662" s="972"/>
      <c r="AE662" s="972"/>
      <c r="AF662" s="972"/>
      <c r="AG662" s="972"/>
    </row>
    <row r="664" spans="4:33" ht="14.25" customHeight="1" x14ac:dyDescent="0.25">
      <c r="D664" s="1248" t="s">
        <v>1628</v>
      </c>
      <c r="E664" s="1249"/>
      <c r="F664" s="1249"/>
      <c r="G664" s="1249"/>
      <c r="H664" s="1249"/>
      <c r="I664" s="1249"/>
      <c r="J664" s="1249"/>
      <c r="K664" s="1249"/>
      <c r="L664" s="1250"/>
      <c r="M664" s="1248" t="s">
        <v>2</v>
      </c>
      <c r="N664" s="1249"/>
      <c r="O664" s="1249"/>
      <c r="P664" s="1249"/>
      <c r="Q664" s="1249"/>
      <c r="R664" s="1250"/>
      <c r="S664" s="1290" t="s">
        <v>1629</v>
      </c>
      <c r="T664" s="1291"/>
      <c r="U664" s="1291"/>
      <c r="V664" s="1291"/>
      <c r="W664" s="1291"/>
      <c r="X664" s="1291"/>
      <c r="Y664" s="1292"/>
    </row>
    <row r="665" spans="4:33" ht="14.25" customHeight="1" x14ac:dyDescent="0.25">
      <c r="D665" s="1245" t="s">
        <v>1630</v>
      </c>
      <c r="E665" s="1246"/>
      <c r="F665" s="1246"/>
      <c r="G665" s="1246"/>
      <c r="H665" s="1246"/>
      <c r="I665" s="1246"/>
      <c r="J665" s="1246"/>
      <c r="K665" s="1246"/>
      <c r="L665" s="1247"/>
      <c r="M665" s="1251"/>
      <c r="N665" s="1237"/>
      <c r="O665" s="1237"/>
      <c r="P665" s="1237"/>
      <c r="Q665" s="1237"/>
      <c r="R665" s="1238"/>
      <c r="S665" s="1251"/>
      <c r="T665" s="1237"/>
      <c r="U665" s="1237"/>
      <c r="V665" s="1237"/>
      <c r="W665" s="1237"/>
      <c r="X665" s="1237"/>
      <c r="Y665" s="1238"/>
    </row>
    <row r="666" spans="4:33" ht="14.25" customHeight="1" x14ac:dyDescent="0.25">
      <c r="D666" s="1236" t="s">
        <v>1631</v>
      </c>
      <c r="E666" s="1237"/>
      <c r="F666" s="1237"/>
      <c r="G666" s="1237"/>
      <c r="H666" s="1237"/>
      <c r="I666" s="1237"/>
      <c r="J666" s="1237"/>
      <c r="K666" s="1237"/>
      <c r="L666" s="1238"/>
      <c r="M666" s="1227">
        <v>8747</v>
      </c>
      <c r="N666" s="1228"/>
      <c r="O666" s="1228"/>
      <c r="P666" s="1228"/>
      <c r="Q666" s="1228"/>
      <c r="R666" s="1229"/>
      <c r="S666" s="1227">
        <v>5852</v>
      </c>
      <c r="T666" s="1228"/>
      <c r="U666" s="1228"/>
      <c r="V666" s="1228"/>
      <c r="W666" s="1228"/>
      <c r="X666" s="1228"/>
      <c r="Y666" s="1229"/>
    </row>
    <row r="667" spans="4:33" ht="27.75" customHeight="1" x14ac:dyDescent="0.25">
      <c r="D667" s="1236" t="s">
        <v>1632</v>
      </c>
      <c r="E667" s="1237"/>
      <c r="F667" s="1237"/>
      <c r="G667" s="1237"/>
      <c r="H667" s="1237"/>
      <c r="I667" s="1237"/>
      <c r="J667" s="1237"/>
      <c r="K667" s="1237"/>
      <c r="L667" s="1238"/>
      <c r="M667" s="1227">
        <v>2705</v>
      </c>
      <c r="N667" s="1228"/>
      <c r="O667" s="1228"/>
      <c r="P667" s="1228"/>
      <c r="Q667" s="1228"/>
      <c r="R667" s="1229"/>
      <c r="S667" s="1235" t="s">
        <v>1436</v>
      </c>
      <c r="T667" s="1225"/>
      <c r="U667" s="1225"/>
      <c r="V667" s="1225"/>
      <c r="W667" s="1225"/>
      <c r="X667" s="1225"/>
      <c r="Y667" s="1226"/>
    </row>
    <row r="668" spans="4:33" ht="14.25" customHeight="1" x14ac:dyDescent="0.25">
      <c r="D668" s="1236" t="s">
        <v>1633</v>
      </c>
      <c r="E668" s="1237"/>
      <c r="F668" s="1237"/>
      <c r="G668" s="1237"/>
      <c r="H668" s="1237"/>
      <c r="I668" s="1237"/>
      <c r="J668" s="1237"/>
      <c r="K668" s="1237"/>
      <c r="L668" s="1238"/>
      <c r="M668" s="1227">
        <v>2236</v>
      </c>
      <c r="N668" s="1228"/>
      <c r="O668" s="1228"/>
      <c r="P668" s="1228"/>
      <c r="Q668" s="1228"/>
      <c r="R668" s="1229"/>
      <c r="S668" s="1235" t="s">
        <v>1436</v>
      </c>
      <c r="T668" s="1225"/>
      <c r="U668" s="1225"/>
      <c r="V668" s="1225"/>
      <c r="W668" s="1225"/>
      <c r="X668" s="1225"/>
      <c r="Y668" s="1226"/>
    </row>
    <row r="669" spans="4:33" ht="14.25" customHeight="1" x14ac:dyDescent="0.25">
      <c r="D669" s="1236" t="s">
        <v>1540</v>
      </c>
      <c r="E669" s="1237"/>
      <c r="F669" s="1237"/>
      <c r="G669" s="1237"/>
      <c r="H669" s="1237"/>
      <c r="I669" s="1237"/>
      <c r="J669" s="1237"/>
      <c r="K669" s="1237"/>
      <c r="L669" s="1238"/>
      <c r="M669" s="1224" t="s">
        <v>1436</v>
      </c>
      <c r="N669" s="1225"/>
      <c r="O669" s="1225"/>
      <c r="P669" s="1225"/>
      <c r="Q669" s="1225"/>
      <c r="R669" s="1226"/>
      <c r="S669" s="1227">
        <v>32770</v>
      </c>
      <c r="T669" s="1228"/>
      <c r="U669" s="1228"/>
      <c r="V669" s="1228"/>
      <c r="W669" s="1228"/>
      <c r="X669" s="1228"/>
      <c r="Y669" s="1229"/>
    </row>
    <row r="670" spans="4:33" ht="14.25" customHeight="1" x14ac:dyDescent="0.25">
      <c r="D670" s="1236" t="s">
        <v>1542</v>
      </c>
      <c r="E670" s="1237"/>
      <c r="F670" s="1237"/>
      <c r="G670" s="1237"/>
      <c r="H670" s="1237"/>
      <c r="I670" s="1237"/>
      <c r="J670" s="1237"/>
      <c r="K670" s="1237"/>
      <c r="L670" s="1238"/>
      <c r="M670" s="1224" t="s">
        <v>1436</v>
      </c>
      <c r="N670" s="1225"/>
      <c r="O670" s="1225"/>
      <c r="P670" s="1225"/>
      <c r="Q670" s="1225"/>
      <c r="R670" s="1226"/>
      <c r="S670" s="1227">
        <v>2319</v>
      </c>
      <c r="T670" s="1228"/>
      <c r="U670" s="1228"/>
      <c r="V670" s="1228"/>
      <c r="W670" s="1228"/>
      <c r="X670" s="1228"/>
      <c r="Y670" s="1229"/>
    </row>
    <row r="671" spans="4:33" ht="14.25" customHeight="1" x14ac:dyDescent="0.25">
      <c r="D671" s="1245" t="s">
        <v>1634</v>
      </c>
      <c r="E671" s="1246"/>
      <c r="F671" s="1246"/>
      <c r="G671" s="1246"/>
      <c r="H671" s="1246"/>
      <c r="I671" s="1246"/>
      <c r="J671" s="1246"/>
      <c r="K671" s="1246"/>
      <c r="L671" s="1247"/>
      <c r="M671" s="1224"/>
      <c r="N671" s="1225"/>
      <c r="O671" s="1225"/>
      <c r="P671" s="1225"/>
      <c r="Q671" s="1225"/>
      <c r="R671" s="1226"/>
      <c r="S671" s="1227"/>
      <c r="T671" s="1228"/>
      <c r="U671" s="1228"/>
      <c r="V671" s="1228"/>
      <c r="W671" s="1228"/>
      <c r="X671" s="1228"/>
      <c r="Y671" s="1229"/>
    </row>
    <row r="672" spans="4:33" ht="14.25" customHeight="1" x14ac:dyDescent="0.25">
      <c r="D672" s="1236" t="s">
        <v>1540</v>
      </c>
      <c r="E672" s="1237"/>
      <c r="F672" s="1237"/>
      <c r="G672" s="1237"/>
      <c r="H672" s="1237"/>
      <c r="I672" s="1237"/>
      <c r="J672" s="1237"/>
      <c r="K672" s="1237"/>
      <c r="L672" s="1238"/>
      <c r="M672" s="1224" t="s">
        <v>1436</v>
      </c>
      <c r="N672" s="1225"/>
      <c r="O672" s="1225"/>
      <c r="P672" s="1225"/>
      <c r="Q672" s="1225"/>
      <c r="R672" s="1226"/>
      <c r="S672" s="1227">
        <v>938810</v>
      </c>
      <c r="T672" s="1228"/>
      <c r="U672" s="1228"/>
      <c r="V672" s="1228"/>
      <c r="W672" s="1228"/>
      <c r="X672" s="1228"/>
      <c r="Y672" s="1229"/>
    </row>
    <row r="673" spans="4:33" ht="14.25" customHeight="1" x14ac:dyDescent="0.25">
      <c r="D673" s="1236" t="s">
        <v>1632</v>
      </c>
      <c r="E673" s="1237"/>
      <c r="F673" s="1237"/>
      <c r="G673" s="1237"/>
      <c r="H673" s="1237"/>
      <c r="I673" s="1237"/>
      <c r="J673" s="1237"/>
      <c r="K673" s="1237"/>
      <c r="L673" s="1238"/>
      <c r="M673" s="1227">
        <v>1054829</v>
      </c>
      <c r="N673" s="1228"/>
      <c r="O673" s="1228"/>
      <c r="P673" s="1228"/>
      <c r="Q673" s="1228"/>
      <c r="R673" s="1229"/>
      <c r="S673" s="1235" t="s">
        <v>1436</v>
      </c>
      <c r="T673" s="1225"/>
      <c r="U673" s="1225"/>
      <c r="V673" s="1225"/>
      <c r="W673" s="1225"/>
      <c r="X673" s="1225"/>
      <c r="Y673" s="1226"/>
    </row>
    <row r="674" spans="4:33" ht="14.25" customHeight="1" x14ac:dyDescent="0.25">
      <c r="D674" s="1245" t="s">
        <v>1635</v>
      </c>
      <c r="E674" s="1246"/>
      <c r="F674" s="1246"/>
      <c r="G674" s="1246"/>
      <c r="H674" s="1246"/>
      <c r="I674" s="1246"/>
      <c r="J674" s="1246"/>
      <c r="K674" s="1246"/>
      <c r="L674" s="1247"/>
      <c r="M674" s="1230">
        <v>1068517</v>
      </c>
      <c r="N674" s="1231"/>
      <c r="O674" s="1231"/>
      <c r="P674" s="1231"/>
      <c r="Q674" s="1231"/>
      <c r="R674" s="1232"/>
      <c r="S674" s="1230">
        <v>979751</v>
      </c>
      <c r="T674" s="1231"/>
      <c r="U674" s="1231"/>
      <c r="V674" s="1231"/>
      <c r="W674" s="1231"/>
      <c r="X674" s="1231"/>
      <c r="Y674" s="1232"/>
    </row>
    <row r="677" spans="4:33" ht="14.25" customHeight="1" x14ac:dyDescent="0.2">
      <c r="D677" s="655" t="s">
        <v>1619</v>
      </c>
    </row>
    <row r="679" spans="4:33" ht="14.25" customHeight="1" x14ac:dyDescent="0.2">
      <c r="D679" s="971" t="s">
        <v>1595</v>
      </c>
      <c r="E679" s="972"/>
      <c r="F679" s="972"/>
      <c r="G679" s="972"/>
      <c r="H679" s="972"/>
      <c r="I679" s="972"/>
      <c r="J679" s="972"/>
      <c r="K679" s="972"/>
      <c r="L679" s="972"/>
      <c r="M679" s="972"/>
      <c r="N679" s="972"/>
      <c r="O679" s="972"/>
      <c r="P679" s="972"/>
      <c r="Q679" s="972"/>
      <c r="R679" s="972"/>
      <c r="S679" s="972"/>
      <c r="T679" s="972"/>
      <c r="U679" s="972"/>
      <c r="V679" s="972"/>
      <c r="W679" s="972"/>
      <c r="X679" s="972"/>
      <c r="Y679" s="972"/>
      <c r="Z679" s="972"/>
      <c r="AA679" s="972"/>
      <c r="AB679" s="972"/>
      <c r="AC679" s="972"/>
      <c r="AD679" s="972"/>
      <c r="AE679" s="972"/>
      <c r="AF679" s="972"/>
      <c r="AG679" s="972"/>
    </row>
    <row r="682" spans="4:33" ht="14.25" customHeight="1" x14ac:dyDescent="0.2">
      <c r="D682" s="655" t="s">
        <v>1620</v>
      </c>
    </row>
    <row r="684" spans="4:33" ht="14.25" customHeight="1" x14ac:dyDescent="0.2">
      <c r="D684" s="1047" t="s">
        <v>1597</v>
      </c>
      <c r="E684" s="1098"/>
      <c r="F684" s="1098"/>
      <c r="G684" s="1098"/>
      <c r="H684" s="1098"/>
      <c r="I684" s="1098"/>
      <c r="J684" s="1098"/>
      <c r="K684" s="1098"/>
      <c r="L684" s="1098"/>
      <c r="M684" s="1098"/>
      <c r="N684" s="1098"/>
      <c r="O684" s="1098"/>
      <c r="P684" s="1098"/>
      <c r="Q684" s="1098"/>
      <c r="R684" s="1098"/>
      <c r="S684" s="1098"/>
      <c r="T684" s="1098"/>
      <c r="U684" s="1098"/>
      <c r="V684" s="1098"/>
      <c r="W684" s="1098"/>
      <c r="X684" s="1098"/>
      <c r="Y684" s="1098"/>
      <c r="Z684" s="1098"/>
      <c r="AA684" s="1098"/>
      <c r="AB684" s="1098"/>
      <c r="AC684" s="1098"/>
      <c r="AD684" s="1098"/>
      <c r="AE684" s="1098"/>
      <c r="AF684" s="1098"/>
      <c r="AG684" s="1098"/>
    </row>
    <row r="685" spans="4:33" ht="14.25" customHeight="1" x14ac:dyDescent="0.2">
      <c r="D685" s="1098"/>
      <c r="E685" s="1098"/>
      <c r="F685" s="1098"/>
      <c r="G685" s="1098"/>
      <c r="H685" s="1098"/>
      <c r="I685" s="1098"/>
      <c r="J685" s="1098"/>
      <c r="K685" s="1098"/>
      <c r="L685" s="1098"/>
      <c r="M685" s="1098"/>
      <c r="N685" s="1098"/>
      <c r="O685" s="1098"/>
      <c r="P685" s="1098"/>
      <c r="Q685" s="1098"/>
      <c r="R685" s="1098"/>
      <c r="S685" s="1098"/>
      <c r="T685" s="1098"/>
      <c r="U685" s="1098"/>
      <c r="V685" s="1098"/>
      <c r="W685" s="1098"/>
      <c r="X685" s="1098"/>
      <c r="Y685" s="1098"/>
      <c r="Z685" s="1098"/>
      <c r="AA685" s="1098"/>
      <c r="AB685" s="1098"/>
      <c r="AC685" s="1098"/>
      <c r="AD685" s="1098"/>
      <c r="AE685" s="1098"/>
      <c r="AF685" s="1098"/>
      <c r="AG685" s="1098"/>
    </row>
    <row r="687" spans="4:33" ht="14.25" customHeight="1" x14ac:dyDescent="0.2">
      <c r="D687" s="1259"/>
      <c r="E687" s="972"/>
      <c r="F687" s="972"/>
      <c r="G687" s="972"/>
      <c r="H687" s="972"/>
      <c r="I687" s="972"/>
      <c r="J687" s="972"/>
      <c r="K687" s="972"/>
      <c r="L687" s="972"/>
      <c r="M687" s="972"/>
      <c r="N687" s="972"/>
      <c r="O687" s="972"/>
      <c r="P687" s="972"/>
      <c r="Q687" s="972"/>
      <c r="R687" s="972"/>
      <c r="S687" s="972"/>
      <c r="T687" s="972"/>
      <c r="U687" s="972"/>
      <c r="V687" s="972"/>
      <c r="W687" s="972"/>
      <c r="X687" s="972"/>
      <c r="Y687" s="972"/>
      <c r="Z687" s="972"/>
      <c r="AA687" s="972"/>
      <c r="AB687" s="972"/>
      <c r="AC687" s="972"/>
      <c r="AD687" s="972"/>
      <c r="AE687" s="972"/>
      <c r="AF687" s="972"/>
      <c r="AG687" s="972"/>
    </row>
  </sheetData>
  <dataConsolidate/>
  <mergeCells count="1074">
    <mergeCell ref="S671:Y671"/>
    <mergeCell ref="D669:L669"/>
    <mergeCell ref="D670:L670"/>
    <mergeCell ref="M669:R669"/>
    <mergeCell ref="M670:R670"/>
    <mergeCell ref="S669:Y669"/>
    <mergeCell ref="S670:Y670"/>
    <mergeCell ref="D664:L664"/>
    <mergeCell ref="D665:L665"/>
    <mergeCell ref="D666:L666"/>
    <mergeCell ref="M668:R668"/>
    <mergeCell ref="V551:AB551"/>
    <mergeCell ref="D552:H552"/>
    <mergeCell ref="I552:M552"/>
    <mergeCell ref="N552:U552"/>
    <mergeCell ref="V552:AB552"/>
    <mergeCell ref="D562:I562"/>
    <mergeCell ref="J563:M563"/>
    <mergeCell ref="J562:M562"/>
    <mergeCell ref="N562:Q562"/>
    <mergeCell ref="D662:AG662"/>
    <mergeCell ref="X604:AG604"/>
    <mergeCell ref="D605:M605"/>
    <mergeCell ref="N605:W605"/>
    <mergeCell ref="D607:M607"/>
    <mergeCell ref="N607:W607"/>
    <mergeCell ref="X607:AG607"/>
    <mergeCell ref="D608:M608"/>
    <mergeCell ref="N608:W608"/>
    <mergeCell ref="X608:AG608"/>
    <mergeCell ref="D609:M609"/>
    <mergeCell ref="D582:M582"/>
    <mergeCell ref="S664:Y664"/>
    <mergeCell ref="S665:Y665"/>
    <mergeCell ref="S666:Y666"/>
    <mergeCell ref="S667:Y667"/>
    <mergeCell ref="S668:Y668"/>
    <mergeCell ref="D339:G339"/>
    <mergeCell ref="H339:J339"/>
    <mergeCell ref="K339:M339"/>
    <mergeCell ref="N339:P339"/>
    <mergeCell ref="Q339:S339"/>
    <mergeCell ref="T339:V339"/>
    <mergeCell ref="W339:Y339"/>
    <mergeCell ref="Z339:AB339"/>
    <mergeCell ref="AC339:AE339"/>
    <mergeCell ref="D594:M594"/>
    <mergeCell ref="N594:W594"/>
    <mergeCell ref="X594:AG594"/>
    <mergeCell ref="D597:M597"/>
    <mergeCell ref="N597:W597"/>
    <mergeCell ref="X597:AG597"/>
    <mergeCell ref="D598:M598"/>
    <mergeCell ref="N598:W598"/>
    <mergeCell ref="X598:AG598"/>
    <mergeCell ref="AF339:AH339"/>
    <mergeCell ref="V563:Y563"/>
    <mergeCell ref="Z562:AC562"/>
    <mergeCell ref="Z563:AC563"/>
    <mergeCell ref="AD562:AG562"/>
    <mergeCell ref="AD563:AG563"/>
    <mergeCell ref="D563:I563"/>
    <mergeCell ref="D474:H474"/>
    <mergeCell ref="I474:M474"/>
    <mergeCell ref="D488:H488"/>
    <mergeCell ref="I488:M488"/>
    <mergeCell ref="AI299:AQ299"/>
    <mergeCell ref="AS299:BA299"/>
    <mergeCell ref="BC299:BK299"/>
    <mergeCell ref="D336:G336"/>
    <mergeCell ref="H336:J336"/>
    <mergeCell ref="K336:M336"/>
    <mergeCell ref="N336:P336"/>
    <mergeCell ref="Q336:S336"/>
    <mergeCell ref="T336:V336"/>
    <mergeCell ref="W336:Y336"/>
    <mergeCell ref="Z336:AB336"/>
    <mergeCell ref="AC336:AE336"/>
    <mergeCell ref="AF336:AH336"/>
    <mergeCell ref="D337:AH337"/>
    <mergeCell ref="D338:G338"/>
    <mergeCell ref="H338:J338"/>
    <mergeCell ref="K338:M338"/>
    <mergeCell ref="N338:P338"/>
    <mergeCell ref="Q338:S338"/>
    <mergeCell ref="T338:V338"/>
    <mergeCell ref="W338:Y338"/>
    <mergeCell ref="Z338:AB338"/>
    <mergeCell ref="AC338:AE338"/>
    <mergeCell ref="AF338:AH338"/>
    <mergeCell ref="D334:G334"/>
    <mergeCell ref="H334:J334"/>
    <mergeCell ref="K334:M334"/>
    <mergeCell ref="N334:P334"/>
    <mergeCell ref="Q334:S334"/>
    <mergeCell ref="T334:V334"/>
    <mergeCell ref="W334:Y334"/>
    <mergeCell ref="Z334:AB334"/>
    <mergeCell ref="AC334:AE334"/>
    <mergeCell ref="AF334:AH334"/>
    <mergeCell ref="D335:G335"/>
    <mergeCell ref="H335:J335"/>
    <mergeCell ref="K335:M335"/>
    <mergeCell ref="N335:P335"/>
    <mergeCell ref="Q335:S335"/>
    <mergeCell ref="T335:V335"/>
    <mergeCell ref="W335:Y335"/>
    <mergeCell ref="Z335:AB335"/>
    <mergeCell ref="AC335:AE335"/>
    <mergeCell ref="AF335:AH335"/>
    <mergeCell ref="D331:G331"/>
    <mergeCell ref="H331:J331"/>
    <mergeCell ref="K331:M331"/>
    <mergeCell ref="N331:P331"/>
    <mergeCell ref="Q331:S331"/>
    <mergeCell ref="T331:V331"/>
    <mergeCell ref="W331:Y331"/>
    <mergeCell ref="Z331:AB331"/>
    <mergeCell ref="AC331:AE331"/>
    <mergeCell ref="AF331:AH331"/>
    <mergeCell ref="D332:AH332"/>
    <mergeCell ref="D333:G333"/>
    <mergeCell ref="H333:J333"/>
    <mergeCell ref="K333:M333"/>
    <mergeCell ref="N333:P333"/>
    <mergeCell ref="Q333:S333"/>
    <mergeCell ref="T333:V333"/>
    <mergeCell ref="W333:Y333"/>
    <mergeCell ref="Z333:AB333"/>
    <mergeCell ref="AC333:AE333"/>
    <mergeCell ref="AF333:AH333"/>
    <mergeCell ref="D329:G329"/>
    <mergeCell ref="H329:J329"/>
    <mergeCell ref="K329:M329"/>
    <mergeCell ref="N329:P329"/>
    <mergeCell ref="Q329:S329"/>
    <mergeCell ref="T329:V329"/>
    <mergeCell ref="W329:Y329"/>
    <mergeCell ref="Z329:AB329"/>
    <mergeCell ref="AC329:AE329"/>
    <mergeCell ref="AF329:AH329"/>
    <mergeCell ref="D330:G330"/>
    <mergeCell ref="H330:J330"/>
    <mergeCell ref="K330:M330"/>
    <mergeCell ref="N330:P330"/>
    <mergeCell ref="Q330:S330"/>
    <mergeCell ref="T330:V330"/>
    <mergeCell ref="W330:Y330"/>
    <mergeCell ref="Z330:AB330"/>
    <mergeCell ref="AC330:AE330"/>
    <mergeCell ref="AF330:AH330"/>
    <mergeCell ref="D326:G326"/>
    <mergeCell ref="H326:J326"/>
    <mergeCell ref="K326:M326"/>
    <mergeCell ref="N326:P326"/>
    <mergeCell ref="Q326:S326"/>
    <mergeCell ref="T326:V326"/>
    <mergeCell ref="W326:Y326"/>
    <mergeCell ref="Z326:AB326"/>
    <mergeCell ref="AC326:AE326"/>
    <mergeCell ref="AF326:AH326"/>
    <mergeCell ref="D327:AH327"/>
    <mergeCell ref="D328:G328"/>
    <mergeCell ref="H328:J328"/>
    <mergeCell ref="K328:M328"/>
    <mergeCell ref="N328:P328"/>
    <mergeCell ref="Q328:S328"/>
    <mergeCell ref="T328:V328"/>
    <mergeCell ref="W328:Y328"/>
    <mergeCell ref="Z328:AB328"/>
    <mergeCell ref="AC328:AE328"/>
    <mergeCell ref="AF328:AH328"/>
    <mergeCell ref="D324:G324"/>
    <mergeCell ref="H324:J324"/>
    <mergeCell ref="K324:M324"/>
    <mergeCell ref="N324:P324"/>
    <mergeCell ref="Q324:S324"/>
    <mergeCell ref="T324:V324"/>
    <mergeCell ref="W324:Y324"/>
    <mergeCell ref="Z324:AB324"/>
    <mergeCell ref="AC324:AE324"/>
    <mergeCell ref="AF324:AH324"/>
    <mergeCell ref="D325:G325"/>
    <mergeCell ref="H325:J325"/>
    <mergeCell ref="K325:M325"/>
    <mergeCell ref="N325:P325"/>
    <mergeCell ref="Q325:S325"/>
    <mergeCell ref="T325:V325"/>
    <mergeCell ref="W325:Y325"/>
    <mergeCell ref="Z325:AB325"/>
    <mergeCell ref="AC325:AE325"/>
    <mergeCell ref="AF325:AH325"/>
    <mergeCell ref="D322:G322"/>
    <mergeCell ref="H322:J322"/>
    <mergeCell ref="K322:M322"/>
    <mergeCell ref="N322:P322"/>
    <mergeCell ref="Q322:S322"/>
    <mergeCell ref="T322:V322"/>
    <mergeCell ref="W322:Y322"/>
    <mergeCell ref="Z322:AB322"/>
    <mergeCell ref="AC322:AE322"/>
    <mergeCell ref="AF322:AH322"/>
    <mergeCell ref="D323:G323"/>
    <mergeCell ref="H323:J323"/>
    <mergeCell ref="K323:M323"/>
    <mergeCell ref="N323:P323"/>
    <mergeCell ref="Q323:S323"/>
    <mergeCell ref="T323:V323"/>
    <mergeCell ref="W323:Y323"/>
    <mergeCell ref="Z323:AB323"/>
    <mergeCell ref="AC323:AE323"/>
    <mergeCell ref="AF323:AH323"/>
    <mergeCell ref="D319:G320"/>
    <mergeCell ref="H319:AH319"/>
    <mergeCell ref="H320:J320"/>
    <mergeCell ref="K320:M320"/>
    <mergeCell ref="N320:P320"/>
    <mergeCell ref="Q320:S320"/>
    <mergeCell ref="T320:V320"/>
    <mergeCell ref="W320:Y320"/>
    <mergeCell ref="Z320:AB320"/>
    <mergeCell ref="AC320:AE320"/>
    <mergeCell ref="AF320:AH320"/>
    <mergeCell ref="D321:AH321"/>
    <mergeCell ref="H314:J314"/>
    <mergeCell ref="K314:M314"/>
    <mergeCell ref="N314:P314"/>
    <mergeCell ref="Q314:S314"/>
    <mergeCell ref="T314:V314"/>
    <mergeCell ref="W314:Y314"/>
    <mergeCell ref="D315:G315"/>
    <mergeCell ref="D314:G314"/>
    <mergeCell ref="H315:J315"/>
    <mergeCell ref="K315:M315"/>
    <mergeCell ref="N315:P315"/>
    <mergeCell ref="Q315:S315"/>
    <mergeCell ref="T315:V315"/>
    <mergeCell ref="W315:Y315"/>
    <mergeCell ref="Z315:AB315"/>
    <mergeCell ref="AC315:AE315"/>
    <mergeCell ref="AF315:AH315"/>
    <mergeCell ref="Z314:AB314"/>
    <mergeCell ref="AC314:AE314"/>
    <mergeCell ref="AF314:AH314"/>
    <mergeCell ref="Q312:S312"/>
    <mergeCell ref="T312:V312"/>
    <mergeCell ref="W312:Y312"/>
    <mergeCell ref="Z312:AB312"/>
    <mergeCell ref="AC312:AE312"/>
    <mergeCell ref="AF312:AH312"/>
    <mergeCell ref="D300:G301"/>
    <mergeCell ref="D313:AH313"/>
    <mergeCell ref="D308:AH308"/>
    <mergeCell ref="D302:AH302"/>
    <mergeCell ref="AC309:AE309"/>
    <mergeCell ref="AF309:AH309"/>
    <mergeCell ref="Z301:AB301"/>
    <mergeCell ref="W301:Y301"/>
    <mergeCell ref="T301:V301"/>
    <mergeCell ref="AF303:AH303"/>
    <mergeCell ref="AC303:AE303"/>
    <mergeCell ref="Z303:AB303"/>
    <mergeCell ref="W303:Y303"/>
    <mergeCell ref="T303:V303"/>
    <mergeCell ref="Q303:S303"/>
    <mergeCell ref="N303:P303"/>
    <mergeCell ref="K303:M303"/>
    <mergeCell ref="H303:J303"/>
    <mergeCell ref="H310:J310"/>
    <mergeCell ref="K310:M310"/>
    <mergeCell ref="N310:P310"/>
    <mergeCell ref="Q310:S310"/>
    <mergeCell ref="T310:V310"/>
    <mergeCell ref="W310:Y310"/>
    <mergeCell ref="Z310:AB310"/>
    <mergeCell ref="AC310:AE310"/>
    <mergeCell ref="AF310:AH310"/>
    <mergeCell ref="H309:J309"/>
    <mergeCell ref="K309:M309"/>
    <mergeCell ref="N309:P309"/>
    <mergeCell ref="AC304:AE304"/>
    <mergeCell ref="AF304:AH304"/>
    <mergeCell ref="H301:J301"/>
    <mergeCell ref="K301:M301"/>
    <mergeCell ref="N301:P301"/>
    <mergeCell ref="Q301:S301"/>
    <mergeCell ref="AF301:AH301"/>
    <mergeCell ref="AC301:AE301"/>
    <mergeCell ref="B1:AH1"/>
    <mergeCell ref="D577:AG577"/>
    <mergeCell ref="D565:AG565"/>
    <mergeCell ref="D567:M568"/>
    <mergeCell ref="N567:W568"/>
    <mergeCell ref="X567:AG568"/>
    <mergeCell ref="D569:M569"/>
    <mergeCell ref="N569:W569"/>
    <mergeCell ref="X569:AG569"/>
    <mergeCell ref="D570:M570"/>
    <mergeCell ref="N570:W570"/>
    <mergeCell ref="X570:AG570"/>
    <mergeCell ref="D572:M572"/>
    <mergeCell ref="D571:M571"/>
    <mergeCell ref="N571:W571"/>
    <mergeCell ref="X571:AG571"/>
    <mergeCell ref="N572:W572"/>
    <mergeCell ref="X572:AG572"/>
    <mergeCell ref="D575:AG575"/>
    <mergeCell ref="D303:G303"/>
    <mergeCell ref="W306:Y306"/>
    <mergeCell ref="Z306:AB306"/>
    <mergeCell ref="AC306:AE306"/>
    <mergeCell ref="H304:J304"/>
    <mergeCell ref="K304:M304"/>
    <mergeCell ref="N304:P304"/>
    <mergeCell ref="Q304:S304"/>
    <mergeCell ref="D312:G312"/>
    <mergeCell ref="D311:G311"/>
    <mergeCell ref="D531:AG532"/>
    <mergeCell ref="D534:AG534"/>
    <mergeCell ref="D536:M536"/>
    <mergeCell ref="N536:W536"/>
    <mergeCell ref="X536:AG536"/>
    <mergeCell ref="D540:M540"/>
    <mergeCell ref="D539:M539"/>
    <mergeCell ref="D538:M538"/>
    <mergeCell ref="D537:M537"/>
    <mergeCell ref="D505:AG505"/>
    <mergeCell ref="D508:AG508"/>
    <mergeCell ref="D510:M510"/>
    <mergeCell ref="N510:W510"/>
    <mergeCell ref="X510:AG510"/>
    <mergeCell ref="D511:M511"/>
    <mergeCell ref="N511:W511"/>
    <mergeCell ref="X511:AG511"/>
    <mergeCell ref="D500:M500"/>
    <mergeCell ref="N500:W500"/>
    <mergeCell ref="X500:AG500"/>
    <mergeCell ref="D502:M502"/>
    <mergeCell ref="N502:W502"/>
    <mergeCell ref="X502:AG502"/>
    <mergeCell ref="D542:M542"/>
    <mergeCell ref="D541:M541"/>
    <mergeCell ref="Q309:S309"/>
    <mergeCell ref="T309:V309"/>
    <mergeCell ref="W309:Y309"/>
    <mergeCell ref="Z309:AB309"/>
    <mergeCell ref="D687:AG687"/>
    <mergeCell ref="D679:AG679"/>
    <mergeCell ref="H311:J311"/>
    <mergeCell ref="K311:M311"/>
    <mergeCell ref="N311:P311"/>
    <mergeCell ref="Q311:S311"/>
    <mergeCell ref="T311:V311"/>
    <mergeCell ref="W311:Y311"/>
    <mergeCell ref="Z311:AB311"/>
    <mergeCell ref="AC311:AE311"/>
    <mergeCell ref="AF311:AH311"/>
    <mergeCell ref="H312:J312"/>
    <mergeCell ref="K312:M312"/>
    <mergeCell ref="N312:P312"/>
    <mergeCell ref="D310:G310"/>
    <mergeCell ref="D309:G309"/>
    <mergeCell ref="D593:M593"/>
    <mergeCell ref="N593:W593"/>
    <mergeCell ref="X593:AG593"/>
    <mergeCell ref="D595:M595"/>
    <mergeCell ref="N595:W595"/>
    <mergeCell ref="X595:AG595"/>
    <mergeCell ref="D596:M596"/>
    <mergeCell ref="N596:W596"/>
    <mergeCell ref="X605:AG605"/>
    <mergeCell ref="D606:M606"/>
    <mergeCell ref="D544:AG545"/>
    <mergeCell ref="N542:W542"/>
    <mergeCell ref="X602:AG602"/>
    <mergeCell ref="X585:AG585"/>
    <mergeCell ref="X596:AG596"/>
    <mergeCell ref="D601:M601"/>
    <mergeCell ref="N601:W601"/>
    <mergeCell ref="X601:AG601"/>
    <mergeCell ref="X610:AG610"/>
    <mergeCell ref="D604:M604"/>
    <mergeCell ref="N604:W604"/>
    <mergeCell ref="N606:W606"/>
    <mergeCell ref="X606:AG606"/>
    <mergeCell ref="AF306:AH306"/>
    <mergeCell ref="H307:J307"/>
    <mergeCell ref="D305:G305"/>
    <mergeCell ref="D304:G304"/>
    <mergeCell ref="N563:Q563"/>
    <mergeCell ref="R562:U562"/>
    <mergeCell ref="R563:U563"/>
    <mergeCell ref="V562:Y562"/>
    <mergeCell ref="D556:AG556"/>
    <mergeCell ref="D558:AG558"/>
    <mergeCell ref="D560:I561"/>
    <mergeCell ref="N561:Q561"/>
    <mergeCell ref="J561:M561"/>
    <mergeCell ref="R561:U561"/>
    <mergeCell ref="V561:Y561"/>
    <mergeCell ref="Z561:AC561"/>
    <mergeCell ref="AD561:AG561"/>
    <mergeCell ref="J560:Q560"/>
    <mergeCell ref="R560:Y560"/>
    <mergeCell ref="D684:AG685"/>
    <mergeCell ref="M671:R671"/>
    <mergeCell ref="M673:R673"/>
    <mergeCell ref="M674:R674"/>
    <mergeCell ref="D599:M599"/>
    <mergeCell ref="N599:W599"/>
    <mergeCell ref="X599:AG599"/>
    <mergeCell ref="D600:M600"/>
    <mergeCell ref="N600:W600"/>
    <mergeCell ref="X600:AG600"/>
    <mergeCell ref="S673:Y673"/>
    <mergeCell ref="S674:Y674"/>
    <mergeCell ref="D672:L672"/>
    <mergeCell ref="M672:R672"/>
    <mergeCell ref="S672:Y672"/>
    <mergeCell ref="D673:L673"/>
    <mergeCell ref="D549:AG549"/>
    <mergeCell ref="D592:M592"/>
    <mergeCell ref="N592:W592"/>
    <mergeCell ref="X592:AG592"/>
    <mergeCell ref="Z560:AG560"/>
    <mergeCell ref="D551:H551"/>
    <mergeCell ref="I551:M551"/>
    <mergeCell ref="N551:U551"/>
    <mergeCell ref="D667:L667"/>
    <mergeCell ref="D668:L668"/>
    <mergeCell ref="D671:L671"/>
    <mergeCell ref="D674:L674"/>
    <mergeCell ref="M664:R664"/>
    <mergeCell ref="M665:R665"/>
    <mergeCell ref="M666:R666"/>
    <mergeCell ref="M667:R667"/>
    <mergeCell ref="D501:M501"/>
    <mergeCell ref="N501:W501"/>
    <mergeCell ref="X501:AG501"/>
    <mergeCell ref="X537:AG537"/>
    <mergeCell ref="X538:AG538"/>
    <mergeCell ref="X539:AG539"/>
    <mergeCell ref="X540:AG540"/>
    <mergeCell ref="X541:AG541"/>
    <mergeCell ref="X542:AG542"/>
    <mergeCell ref="N537:W537"/>
    <mergeCell ref="N538:W538"/>
    <mergeCell ref="N539:W539"/>
    <mergeCell ref="N540:W540"/>
    <mergeCell ref="D512:M512"/>
    <mergeCell ref="N512:W512"/>
    <mergeCell ref="D498:M498"/>
    <mergeCell ref="N498:W498"/>
    <mergeCell ref="X498:AG498"/>
    <mergeCell ref="D499:M499"/>
    <mergeCell ref="N499:W499"/>
    <mergeCell ref="X499:AG499"/>
    <mergeCell ref="N541:W541"/>
    <mergeCell ref="X512:AG512"/>
    <mergeCell ref="D513:M513"/>
    <mergeCell ref="N513:W513"/>
    <mergeCell ref="X513:AG513"/>
    <mergeCell ref="D514:M514"/>
    <mergeCell ref="N514:W514"/>
    <mergeCell ref="X514:AG514"/>
    <mergeCell ref="D515:M515"/>
    <mergeCell ref="N515:W515"/>
    <mergeCell ref="X515:AG515"/>
    <mergeCell ref="S487:W487"/>
    <mergeCell ref="X487:AB487"/>
    <mergeCell ref="AC487:AG487"/>
    <mergeCell ref="D490:H490"/>
    <mergeCell ref="I490:M490"/>
    <mergeCell ref="N490:R490"/>
    <mergeCell ref="S490:W490"/>
    <mergeCell ref="X490:AB490"/>
    <mergeCell ref="AC490:AG490"/>
    <mergeCell ref="N488:R488"/>
    <mergeCell ref="S488:W488"/>
    <mergeCell ref="X488:AB488"/>
    <mergeCell ref="AC488:AG488"/>
    <mergeCell ref="D489:H489"/>
    <mergeCell ref="I489:M489"/>
    <mergeCell ref="N489:R489"/>
    <mergeCell ref="S489:W489"/>
    <mergeCell ref="X489:AB489"/>
    <mergeCell ref="D486:H486"/>
    <mergeCell ref="I486:M486"/>
    <mergeCell ref="N486:R486"/>
    <mergeCell ref="S486:W486"/>
    <mergeCell ref="X486:AB486"/>
    <mergeCell ref="AC486:AG486"/>
    <mergeCell ref="D495:AG495"/>
    <mergeCell ref="D497:M497"/>
    <mergeCell ref="N497:W497"/>
    <mergeCell ref="X497:AG497"/>
    <mergeCell ref="AC489:AG489"/>
    <mergeCell ref="D483:H483"/>
    <mergeCell ref="I483:M483"/>
    <mergeCell ref="N483:R483"/>
    <mergeCell ref="S483:W483"/>
    <mergeCell ref="X483:AB483"/>
    <mergeCell ref="AC483:AG483"/>
    <mergeCell ref="D484:H484"/>
    <mergeCell ref="I484:M484"/>
    <mergeCell ref="N484:R484"/>
    <mergeCell ref="S484:W484"/>
    <mergeCell ref="X484:AB484"/>
    <mergeCell ref="AC484:AG484"/>
    <mergeCell ref="D485:H485"/>
    <mergeCell ref="I485:M485"/>
    <mergeCell ref="N485:R485"/>
    <mergeCell ref="S485:W485"/>
    <mergeCell ref="X485:AB485"/>
    <mergeCell ref="AC485:AG485"/>
    <mergeCell ref="D487:H487"/>
    <mergeCell ref="I487:M487"/>
    <mergeCell ref="N487:R487"/>
    <mergeCell ref="D481:H482"/>
    <mergeCell ref="I481:AG481"/>
    <mergeCell ref="I482:M482"/>
    <mergeCell ref="N482:R482"/>
    <mergeCell ref="S482:W482"/>
    <mergeCell ref="X482:AB482"/>
    <mergeCell ref="AC482:AG482"/>
    <mergeCell ref="D472:H472"/>
    <mergeCell ref="I472:M472"/>
    <mergeCell ref="N472:R472"/>
    <mergeCell ref="S472:W472"/>
    <mergeCell ref="X472:AB472"/>
    <mergeCell ref="AC472:AG472"/>
    <mergeCell ref="D475:H475"/>
    <mergeCell ref="I475:M475"/>
    <mergeCell ref="N475:R475"/>
    <mergeCell ref="S475:W475"/>
    <mergeCell ref="X475:AB475"/>
    <mergeCell ref="AC475:AG475"/>
    <mergeCell ref="D476:H476"/>
    <mergeCell ref="I476:M476"/>
    <mergeCell ref="N476:R476"/>
    <mergeCell ref="S476:W476"/>
    <mergeCell ref="X476:AB476"/>
    <mergeCell ref="AC476:AG476"/>
    <mergeCell ref="D473:H473"/>
    <mergeCell ref="I473:M473"/>
    <mergeCell ref="N473:R473"/>
    <mergeCell ref="S473:W473"/>
    <mergeCell ref="X473:AB473"/>
    <mergeCell ref="AC473:AG473"/>
    <mergeCell ref="N474:R474"/>
    <mergeCell ref="N454:Q454"/>
    <mergeCell ref="R454:U454"/>
    <mergeCell ref="V454:Y454"/>
    <mergeCell ref="Z454:AC454"/>
    <mergeCell ref="AD454:AG454"/>
    <mergeCell ref="D459:AG461"/>
    <mergeCell ref="I471:M471"/>
    <mergeCell ref="N471:R471"/>
    <mergeCell ref="S471:W471"/>
    <mergeCell ref="X471:AB471"/>
    <mergeCell ref="AC471:AG471"/>
    <mergeCell ref="D470:H470"/>
    <mergeCell ref="I470:M470"/>
    <mergeCell ref="N470:R470"/>
    <mergeCell ref="S470:W470"/>
    <mergeCell ref="X470:AB470"/>
    <mergeCell ref="AC470:AG470"/>
    <mergeCell ref="D471:H471"/>
    <mergeCell ref="D462:AG462"/>
    <mergeCell ref="D466:AG466"/>
    <mergeCell ref="D468:H469"/>
    <mergeCell ref="I468:AG468"/>
    <mergeCell ref="I469:M469"/>
    <mergeCell ref="N469:R469"/>
    <mergeCell ref="S469:W469"/>
    <mergeCell ref="X469:AB469"/>
    <mergeCell ref="AC469:AG469"/>
    <mergeCell ref="D450:M451"/>
    <mergeCell ref="N450:AG450"/>
    <mergeCell ref="N451:Q451"/>
    <mergeCell ref="R451:U451"/>
    <mergeCell ref="V451:Y451"/>
    <mergeCell ref="Z451:AC451"/>
    <mergeCell ref="AD451:AG451"/>
    <mergeCell ref="D452:M452"/>
    <mergeCell ref="N452:Q452"/>
    <mergeCell ref="R452:U452"/>
    <mergeCell ref="V452:Y452"/>
    <mergeCell ref="Z452:AC452"/>
    <mergeCell ref="AD452:AG452"/>
    <mergeCell ref="Z456:AC456"/>
    <mergeCell ref="D453:M453"/>
    <mergeCell ref="N453:Q453"/>
    <mergeCell ref="R453:U453"/>
    <mergeCell ref="V453:Y453"/>
    <mergeCell ref="Z453:AC453"/>
    <mergeCell ref="AD453:AG453"/>
    <mergeCell ref="D455:M455"/>
    <mergeCell ref="N455:Q455"/>
    <mergeCell ref="R455:U455"/>
    <mergeCell ref="V455:Y455"/>
    <mergeCell ref="Z455:AC455"/>
    <mergeCell ref="AD455:AG455"/>
    <mergeCell ref="D456:M456"/>
    <mergeCell ref="N456:Q456"/>
    <mergeCell ref="R456:U456"/>
    <mergeCell ref="V456:Y456"/>
    <mergeCell ref="AD456:AG456"/>
    <mergeCell ref="D454:M454"/>
    <mergeCell ref="R447:U447"/>
    <mergeCell ref="D439:AG439"/>
    <mergeCell ref="D443:M443"/>
    <mergeCell ref="D441:M442"/>
    <mergeCell ref="D447:M447"/>
    <mergeCell ref="D446:M446"/>
    <mergeCell ref="D445:M445"/>
    <mergeCell ref="D444:M444"/>
    <mergeCell ref="N441:AG441"/>
    <mergeCell ref="N442:Q442"/>
    <mergeCell ref="R442:U442"/>
    <mergeCell ref="V442:Y442"/>
    <mergeCell ref="Z442:AC442"/>
    <mergeCell ref="N443:Q443"/>
    <mergeCell ref="V443:Y443"/>
    <mergeCell ref="R443:U443"/>
    <mergeCell ref="AD443:AG443"/>
    <mergeCell ref="V445:Y445"/>
    <mergeCell ref="V446:Y446"/>
    <mergeCell ref="V447:Y447"/>
    <mergeCell ref="Z443:AC443"/>
    <mergeCell ref="Z444:AC444"/>
    <mergeCell ref="Z445:AC445"/>
    <mergeCell ref="Z446:AC446"/>
    <mergeCell ref="Z447:AC447"/>
    <mergeCell ref="V444:Y444"/>
    <mergeCell ref="AD444:AG444"/>
    <mergeCell ref="AD445:AG445"/>
    <mergeCell ref="AD446:AG446"/>
    <mergeCell ref="AD447:AG447"/>
    <mergeCell ref="N447:Q447"/>
    <mergeCell ref="D412:O412"/>
    <mergeCell ref="P412:X412"/>
    <mergeCell ref="Y412:AG412"/>
    <mergeCell ref="D417:AG418"/>
    <mergeCell ref="D419:AG419"/>
    <mergeCell ref="AD442:AG442"/>
    <mergeCell ref="N446:Q446"/>
    <mergeCell ref="N445:Q445"/>
    <mergeCell ref="N444:Q444"/>
    <mergeCell ref="D426:Q426"/>
    <mergeCell ref="D425:Q425"/>
    <mergeCell ref="D424:Q424"/>
    <mergeCell ref="D423:Q423"/>
    <mergeCell ref="D422:Q422"/>
    <mergeCell ref="R426:AG426"/>
    <mergeCell ref="R422:AG422"/>
    <mergeCell ref="R423:AG423"/>
    <mergeCell ref="R424:AG424"/>
    <mergeCell ref="R425:AG425"/>
    <mergeCell ref="R444:U444"/>
    <mergeCell ref="R445:U445"/>
    <mergeCell ref="R446:U446"/>
    <mergeCell ref="D399:M399"/>
    <mergeCell ref="N399:W399"/>
    <mergeCell ref="X399:AG399"/>
    <mergeCell ref="D397:M397"/>
    <mergeCell ref="N397:W397"/>
    <mergeCell ref="X397:AG397"/>
    <mergeCell ref="D398:M398"/>
    <mergeCell ref="D411:O411"/>
    <mergeCell ref="P411:X411"/>
    <mergeCell ref="Y411:AG411"/>
    <mergeCell ref="D408:O408"/>
    <mergeCell ref="P408:X408"/>
    <mergeCell ref="Y408:AG408"/>
    <mergeCell ref="D410:O410"/>
    <mergeCell ref="P410:X410"/>
    <mergeCell ref="Y410:AG410"/>
    <mergeCell ref="D407:O407"/>
    <mergeCell ref="P407:X407"/>
    <mergeCell ref="Y407:AG407"/>
    <mergeCell ref="D404:AG404"/>
    <mergeCell ref="D406:O406"/>
    <mergeCell ref="P406:X406"/>
    <mergeCell ref="Y406:AG406"/>
    <mergeCell ref="D409:O409"/>
    <mergeCell ref="Y409:AG409"/>
    <mergeCell ref="P409:X409"/>
    <mergeCell ref="D386:O386"/>
    <mergeCell ref="Y386:AG386"/>
    <mergeCell ref="P386:X386"/>
    <mergeCell ref="D389:O389"/>
    <mergeCell ref="D388:O388"/>
    <mergeCell ref="D387:O387"/>
    <mergeCell ref="P389:X389"/>
    <mergeCell ref="P388:X388"/>
    <mergeCell ref="P387:X387"/>
    <mergeCell ref="Y387:AG387"/>
    <mergeCell ref="Y388:AG388"/>
    <mergeCell ref="Y389:AG389"/>
    <mergeCell ref="N398:W398"/>
    <mergeCell ref="X398:AG398"/>
    <mergeCell ref="D394:AG394"/>
    <mergeCell ref="D396:M396"/>
    <mergeCell ref="N396:W396"/>
    <mergeCell ref="X396:AG396"/>
    <mergeCell ref="AC363:AG363"/>
    <mergeCell ref="D372:AG372"/>
    <mergeCell ref="D374:AG374"/>
    <mergeCell ref="AA376:AG376"/>
    <mergeCell ref="T376:Z376"/>
    <mergeCell ref="M376:S376"/>
    <mergeCell ref="D376:L376"/>
    <mergeCell ref="D367:AG367"/>
    <mergeCell ref="D369:AG370"/>
    <mergeCell ref="D379:L379"/>
    <mergeCell ref="D380:L380"/>
    <mergeCell ref="D381:L381"/>
    <mergeCell ref="D377:AG377"/>
    <mergeCell ref="D378:L378"/>
    <mergeCell ref="M378:S378"/>
    <mergeCell ref="T378:Z378"/>
    <mergeCell ref="AA378:AG378"/>
    <mergeCell ref="M379:S379"/>
    <mergeCell ref="T379:Z379"/>
    <mergeCell ref="AA379:AG379"/>
    <mergeCell ref="M380:S380"/>
    <mergeCell ref="T380:Z380"/>
    <mergeCell ref="AA380:AG380"/>
    <mergeCell ref="M381:S381"/>
    <mergeCell ref="T381:Z381"/>
    <mergeCell ref="AA381:AG381"/>
    <mergeCell ref="D61:AG64"/>
    <mergeCell ref="AI1:AM1"/>
    <mergeCell ref="D74:AG75"/>
    <mergeCell ref="D79:M79"/>
    <mergeCell ref="D77:M78"/>
    <mergeCell ref="Y71:AG71"/>
    <mergeCell ref="Y70:AG70"/>
    <mergeCell ref="Y69:AG69"/>
    <mergeCell ref="Y68:AG68"/>
    <mergeCell ref="P68:X68"/>
    <mergeCell ref="P71:X71"/>
    <mergeCell ref="P70:X70"/>
    <mergeCell ref="P69:X69"/>
    <mergeCell ref="D68:O68"/>
    <mergeCell ref="D71:O71"/>
    <mergeCell ref="D70:O70"/>
    <mergeCell ref="D69:O69"/>
    <mergeCell ref="X77:AB78"/>
    <mergeCell ref="AC77:AG78"/>
    <mergeCell ref="AC79:AG79"/>
    <mergeCell ref="N79:R79"/>
    <mergeCell ref="N77:W77"/>
    <mergeCell ref="N78:R78"/>
    <mergeCell ref="S78:W78"/>
    <mergeCell ref="Z54:AG54"/>
    <mergeCell ref="R54:Y54"/>
    <mergeCell ref="J54:Q54"/>
    <mergeCell ref="C49:I49"/>
    <mergeCell ref="J48:Q51"/>
    <mergeCell ref="R48:Y51"/>
    <mergeCell ref="Z48:AG51"/>
    <mergeCell ref="Z3:AE3"/>
    <mergeCell ref="D83:AG86"/>
    <mergeCell ref="D88:AG89"/>
    <mergeCell ref="D96:AG97"/>
    <mergeCell ref="D134:N134"/>
    <mergeCell ref="O133:S133"/>
    <mergeCell ref="D121:AG122"/>
    <mergeCell ref="D124:AG125"/>
    <mergeCell ref="D129:AG131"/>
    <mergeCell ref="T134:X134"/>
    <mergeCell ref="O134:S134"/>
    <mergeCell ref="T133:X133"/>
    <mergeCell ref="Y133:AC133"/>
    <mergeCell ref="Y134:AC134"/>
    <mergeCell ref="X80:AB80"/>
    <mergeCell ref="X79:AB79"/>
    <mergeCell ref="S80:W80"/>
    <mergeCell ref="S79:W79"/>
    <mergeCell ref="AC80:AG80"/>
    <mergeCell ref="N80:R80"/>
    <mergeCell ref="D80:M80"/>
    <mergeCell ref="O174:S174"/>
    <mergeCell ref="T174:X174"/>
    <mergeCell ref="Y174:AC174"/>
    <mergeCell ref="D136:AG137"/>
    <mergeCell ref="D141:AG142"/>
    <mergeCell ref="D144:AG145"/>
    <mergeCell ref="D147:AG148"/>
    <mergeCell ref="D150:AG151"/>
    <mergeCell ref="D179:N179"/>
    <mergeCell ref="O179:S179"/>
    <mergeCell ref="T179:X179"/>
    <mergeCell ref="Y179:AC179"/>
    <mergeCell ref="D170:AG171"/>
    <mergeCell ref="D108:AG109"/>
    <mergeCell ref="D111:AG112"/>
    <mergeCell ref="D117:AG118"/>
    <mergeCell ref="D92:O92"/>
    <mergeCell ref="D185:AG186"/>
    <mergeCell ref="D177:N177"/>
    <mergeCell ref="O177:S177"/>
    <mergeCell ref="T177:X177"/>
    <mergeCell ref="Y177:AC177"/>
    <mergeCell ref="D178:N178"/>
    <mergeCell ref="O178:S178"/>
    <mergeCell ref="T178:X178"/>
    <mergeCell ref="Y178:AC178"/>
    <mergeCell ref="D175:N175"/>
    <mergeCell ref="O175:S175"/>
    <mergeCell ref="T175:X175"/>
    <mergeCell ref="Y175:AC175"/>
    <mergeCell ref="D176:N176"/>
    <mergeCell ref="O176:S176"/>
    <mergeCell ref="T176:X176"/>
    <mergeCell ref="Y176:AC176"/>
    <mergeCell ref="D195:AG198"/>
    <mergeCell ref="D199:AG200"/>
    <mergeCell ref="D191:AG191"/>
    <mergeCell ref="D206:AG208"/>
    <mergeCell ref="D202:AG202"/>
    <mergeCell ref="H305:J305"/>
    <mergeCell ref="K305:M305"/>
    <mergeCell ref="N305:P305"/>
    <mergeCell ref="Q305:S305"/>
    <mergeCell ref="T305:V305"/>
    <mergeCell ref="W305:Y305"/>
    <mergeCell ref="Z305:AB305"/>
    <mergeCell ref="AC305:AE305"/>
    <mergeCell ref="AF305:AH305"/>
    <mergeCell ref="K307:M307"/>
    <mergeCell ref="N307:P307"/>
    <mergeCell ref="Q307:S307"/>
    <mergeCell ref="T307:V307"/>
    <mergeCell ref="W307:Y307"/>
    <mergeCell ref="D256:AG256"/>
    <mergeCell ref="D260:AG261"/>
    <mergeCell ref="D268:AG270"/>
    <mergeCell ref="E272:AG273"/>
    <mergeCell ref="E275:AG276"/>
    <mergeCell ref="E278:AG278"/>
    <mergeCell ref="Z307:AB307"/>
    <mergeCell ref="AC307:AE307"/>
    <mergeCell ref="AF307:AH307"/>
    <mergeCell ref="H300:AH300"/>
    <mergeCell ref="T304:V304"/>
    <mergeCell ref="W304:Y304"/>
    <mergeCell ref="Z304:AB304"/>
    <mergeCell ref="D211:AG212"/>
    <mergeCell ref="D216:AG217"/>
    <mergeCell ref="D218:AG219"/>
    <mergeCell ref="D223:AG224"/>
    <mergeCell ref="D579:M580"/>
    <mergeCell ref="N579:W580"/>
    <mergeCell ref="X579:AG580"/>
    <mergeCell ref="D581:M581"/>
    <mergeCell ref="N581:W581"/>
    <mergeCell ref="X581:AG581"/>
    <mergeCell ref="D307:G307"/>
    <mergeCell ref="D306:G306"/>
    <mergeCell ref="H306:J306"/>
    <mergeCell ref="K306:M306"/>
    <mergeCell ref="N306:P306"/>
    <mergeCell ref="Q306:S306"/>
    <mergeCell ref="T306:V306"/>
    <mergeCell ref="D346:AG347"/>
    <mergeCell ref="D349:AG349"/>
    <mergeCell ref="D351:H352"/>
    <mergeCell ref="I351:AG351"/>
    <mergeCell ref="I352:M352"/>
    <mergeCell ref="N352:R352"/>
    <mergeCell ref="S352:W352"/>
    <mergeCell ref="X352:AB352"/>
    <mergeCell ref="AC352:AG352"/>
    <mergeCell ref="AC354:AG354"/>
    <mergeCell ref="AC353:AG353"/>
    <mergeCell ref="N354:R354"/>
    <mergeCell ref="S354:W354"/>
    <mergeCell ref="S353:W353"/>
    <mergeCell ref="X354:AB354"/>
    <mergeCell ref="D280:AG280"/>
    <mergeCell ref="D265:AG265"/>
    <mergeCell ref="D234:AG235"/>
    <mergeCell ref="D239:AG240"/>
    <mergeCell ref="D241:AG245"/>
    <mergeCell ref="D250:AG251"/>
    <mergeCell ref="D253:AG254"/>
    <mergeCell ref="X353:AB353"/>
    <mergeCell ref="D354:H354"/>
    <mergeCell ref="D353:H353"/>
    <mergeCell ref="N353:R353"/>
    <mergeCell ref="I354:M354"/>
    <mergeCell ref="I353:M353"/>
    <mergeCell ref="D364:H364"/>
    <mergeCell ref="I364:M364"/>
    <mergeCell ref="N364:R364"/>
    <mergeCell ref="S364:W364"/>
    <mergeCell ref="X364:AB364"/>
    <mergeCell ref="AC364:AG364"/>
    <mergeCell ref="D359:AG359"/>
    <mergeCell ref="D361:H362"/>
    <mergeCell ref="I361:AG361"/>
    <mergeCell ref="I362:M362"/>
    <mergeCell ref="N362:R362"/>
    <mergeCell ref="S362:W362"/>
    <mergeCell ref="X362:AB362"/>
    <mergeCell ref="AC362:AG362"/>
    <mergeCell ref="D363:H363"/>
    <mergeCell ref="I363:M363"/>
    <mergeCell ref="N363:R363"/>
    <mergeCell ref="S363:W363"/>
    <mergeCell ref="X363:AB363"/>
    <mergeCell ref="N582:W582"/>
    <mergeCell ref="X582:AG582"/>
    <mergeCell ref="D583:M583"/>
    <mergeCell ref="N583:W583"/>
    <mergeCell ref="X583:AG583"/>
    <mergeCell ref="D603:M603"/>
    <mergeCell ref="N603:W603"/>
    <mergeCell ref="X603:AG603"/>
    <mergeCell ref="D584:M584"/>
    <mergeCell ref="N584:W584"/>
    <mergeCell ref="X584:AG584"/>
    <mergeCell ref="D585:M585"/>
    <mergeCell ref="N585:W585"/>
    <mergeCell ref="X588:AG588"/>
    <mergeCell ref="N589:W589"/>
    <mergeCell ref="X589:AG589"/>
    <mergeCell ref="D602:M602"/>
    <mergeCell ref="N602:W602"/>
    <mergeCell ref="D621:AG621"/>
    <mergeCell ref="D629:I629"/>
    <mergeCell ref="J629:M629"/>
    <mergeCell ref="N629:Q629"/>
    <mergeCell ref="R629:U629"/>
    <mergeCell ref="V629:Y629"/>
    <mergeCell ref="Z629:AC629"/>
    <mergeCell ref="AD629:AG629"/>
    <mergeCell ref="V625:AG626"/>
    <mergeCell ref="J625:U626"/>
    <mergeCell ref="N590:W590"/>
    <mergeCell ref="X590:AG590"/>
    <mergeCell ref="N591:W591"/>
    <mergeCell ref="X591:AG591"/>
    <mergeCell ref="D586:M586"/>
    <mergeCell ref="D587:M587"/>
    <mergeCell ref="D588:M588"/>
    <mergeCell ref="D589:M589"/>
    <mergeCell ref="D590:M590"/>
    <mergeCell ref="D591:M591"/>
    <mergeCell ref="D623:AG623"/>
    <mergeCell ref="D625:I627"/>
    <mergeCell ref="J627:M627"/>
    <mergeCell ref="N627:Q627"/>
    <mergeCell ref="R627:U627"/>
    <mergeCell ref="V627:Y627"/>
    <mergeCell ref="Z627:AC627"/>
    <mergeCell ref="AD627:AG627"/>
    <mergeCell ref="N609:W609"/>
    <mergeCell ref="X609:AG609"/>
    <mergeCell ref="D610:M610"/>
    <mergeCell ref="N610:W610"/>
    <mergeCell ref="V634:Y634"/>
    <mergeCell ref="Z634:AC634"/>
    <mergeCell ref="AD634:AG634"/>
    <mergeCell ref="J635:M635"/>
    <mergeCell ref="N633:Q633"/>
    <mergeCell ref="R633:U633"/>
    <mergeCell ref="V633:Y633"/>
    <mergeCell ref="Z633:AC633"/>
    <mergeCell ref="AD633:AG633"/>
    <mergeCell ref="J634:M634"/>
    <mergeCell ref="D628:I628"/>
    <mergeCell ref="J628:M628"/>
    <mergeCell ref="N628:Q628"/>
    <mergeCell ref="R628:U628"/>
    <mergeCell ref="V628:Y628"/>
    <mergeCell ref="Z628:AC628"/>
    <mergeCell ref="AD628:AG628"/>
    <mergeCell ref="D657:L657"/>
    <mergeCell ref="M657:Q657"/>
    <mergeCell ref="R657:Y657"/>
    <mergeCell ref="Z657:AG657"/>
    <mergeCell ref="D649:L649"/>
    <mergeCell ref="M649:Q649"/>
    <mergeCell ref="R649:Y649"/>
    <mergeCell ref="Z649:AG649"/>
    <mergeCell ref="D650:L650"/>
    <mergeCell ref="M650:Q650"/>
    <mergeCell ref="R650:Y650"/>
    <mergeCell ref="Z650:AG650"/>
    <mergeCell ref="D640:AG640"/>
    <mergeCell ref="D645:L646"/>
    <mergeCell ref="M645:Q646"/>
    <mergeCell ref="R645:AG645"/>
    <mergeCell ref="R646:Y646"/>
    <mergeCell ref="Z646:AG646"/>
    <mergeCell ref="D642:AG642"/>
    <mergeCell ref="D643:AG643"/>
    <mergeCell ref="D647:L647"/>
    <mergeCell ref="Z655:AG655"/>
    <mergeCell ref="M647:Q647"/>
    <mergeCell ref="R647:Y647"/>
    <mergeCell ref="Z647:AG647"/>
    <mergeCell ref="D648:L648"/>
    <mergeCell ref="M648:Q648"/>
    <mergeCell ref="R648:Y648"/>
    <mergeCell ref="Z648:AG648"/>
    <mergeCell ref="C53:I53"/>
    <mergeCell ref="D656:L656"/>
    <mergeCell ref="M656:Q656"/>
    <mergeCell ref="R656:Y656"/>
    <mergeCell ref="Z656:AG656"/>
    <mergeCell ref="N586:W586"/>
    <mergeCell ref="X586:AG586"/>
    <mergeCell ref="N587:W587"/>
    <mergeCell ref="X587:AG587"/>
    <mergeCell ref="N588:W588"/>
    <mergeCell ref="D652:L653"/>
    <mergeCell ref="M652:Q653"/>
    <mergeCell ref="R652:AG652"/>
    <mergeCell ref="R653:Y653"/>
    <mergeCell ref="Z653:AG653"/>
    <mergeCell ref="D654:L654"/>
    <mergeCell ref="M654:Q654"/>
    <mergeCell ref="R654:Y654"/>
    <mergeCell ref="Z654:AG654"/>
    <mergeCell ref="D655:L655"/>
    <mergeCell ref="M655:Q655"/>
    <mergeCell ref="R655:Y655"/>
    <mergeCell ref="N635:Q635"/>
    <mergeCell ref="R635:U635"/>
    <mergeCell ref="V635:Y635"/>
    <mergeCell ref="Z635:AC635"/>
    <mergeCell ref="AD635:AG635"/>
    <mergeCell ref="D630:I630"/>
    <mergeCell ref="D631:I631"/>
    <mergeCell ref="D632:I632"/>
    <mergeCell ref="D633:I633"/>
    <mergeCell ref="D634:I634"/>
    <mergeCell ref="S474:W474"/>
    <mergeCell ref="X474:AB474"/>
    <mergeCell ref="AC474:AG474"/>
    <mergeCell ref="D635:I635"/>
    <mergeCell ref="D636:I636"/>
    <mergeCell ref="J630:M630"/>
    <mergeCell ref="N630:Q630"/>
    <mergeCell ref="R630:U630"/>
    <mergeCell ref="V630:Y630"/>
    <mergeCell ref="Z630:AC630"/>
    <mergeCell ref="AD630:AG630"/>
    <mergeCell ref="J631:M631"/>
    <mergeCell ref="N631:Q631"/>
    <mergeCell ref="R631:U631"/>
    <mergeCell ref="V631:Y631"/>
    <mergeCell ref="Z631:AC631"/>
    <mergeCell ref="AD631:AG631"/>
    <mergeCell ref="J632:M632"/>
    <mergeCell ref="N632:Q632"/>
    <mergeCell ref="R632:U632"/>
    <mergeCell ref="V632:Y632"/>
    <mergeCell ref="J636:M636"/>
    <mergeCell ref="N636:Q636"/>
    <mergeCell ref="R636:U636"/>
    <mergeCell ref="V636:Y636"/>
    <mergeCell ref="Z636:AC636"/>
    <mergeCell ref="AD636:AG636"/>
    <mergeCell ref="Z632:AC632"/>
    <mergeCell ref="AD632:AG632"/>
    <mergeCell ref="J633:M633"/>
    <mergeCell ref="N634:Q634"/>
    <mergeCell ref="R634:U634"/>
  </mergeCells>
  <conditionalFormatting sqref="AI364:AM364 AI354:AM354 AM353 AM363:AM364">
    <cfRule type="cellIs" dxfId="277" priority="349" operator="lessThan">
      <formula>0</formula>
    </cfRule>
    <cfRule type="cellIs" dxfId="276" priority="350" operator="greaterThan">
      <formula>0</formula>
    </cfRule>
    <cfRule type="cellIs" dxfId="275" priority="351" operator="lessThan">
      <formula>0</formula>
    </cfRule>
    <cfRule type="cellIs" dxfId="274" priority="352" operator="greaterThan">
      <formula>0</formula>
    </cfRule>
  </conditionalFormatting>
  <conditionalFormatting sqref="AI322:AQ339 BC339:BK339 AO353:AO354 AO378:AO384 AL584:AM613 AI303:AQ315 AS303:BA314 BC307:BK315">
    <cfRule type="cellIs" dxfId="273" priority="335" operator="lessThan">
      <formula>0</formula>
    </cfRule>
    <cfRule type="cellIs" dxfId="272" priority="336" operator="greaterThan">
      <formula>0</formula>
    </cfRule>
  </conditionalFormatting>
  <conditionalFormatting sqref="AM378 AL389:AM389 AO399:AP399 AL514:AM516 AO516:AP516 AL399:AM399 AL407:AM411 AO407:AP411 AO470:AO471 AO483:AO484 AM483:AM491 AK379:AM384 AM421:AM435 AO443:AO447 AL443:AM447 AM452:AM456 AO452:AO456 AM470:AM476 AL499:AM503 AO499:AP503 AO571:AP573 AO584:AP594 AM584:AM613 AO631:AP638 AL470:AL482">
    <cfRule type="cellIs" dxfId="271" priority="272" operator="lessThan">
      <formula>0</formula>
    </cfRule>
    <cfRule type="cellIs" dxfId="270" priority="273" operator="greaterThan">
      <formula>0</formula>
    </cfRule>
  </conditionalFormatting>
  <conditionalFormatting sqref="AO389:AP389">
    <cfRule type="cellIs" dxfId="269" priority="274" operator="greaterThan">
      <formula>0</formula>
    </cfRule>
    <cfRule type="cellIs" dxfId="268" priority="275" operator="lessThan">
      <formula>0</formula>
    </cfRule>
    <cfRule type="cellIs" dxfId="267" priority="276" operator="greaterThan">
      <formula>0</formula>
    </cfRule>
    <cfRule type="cellIs" dxfId="266" priority="353" operator="lessThan">
      <formula>0</formula>
    </cfRule>
  </conditionalFormatting>
  <conditionalFormatting sqref="AO389:AP389 AL584:AM612">
    <cfRule type="cellIs" priority="354" stopIfTrue="1" operator="greaterThan">
      <formula>0</formula>
    </cfRule>
  </conditionalFormatting>
  <conditionalFormatting sqref="AO397:AP399 AM483:AM491 AM470:AM478">
    <cfRule type="cellIs" dxfId="265" priority="263" operator="lessThan">
      <formula>0</formula>
    </cfRule>
    <cfRule type="cellIs" dxfId="264" priority="264" operator="greaterThan">
      <formula>0</formula>
    </cfRule>
    <cfRule type="cellIs" priority="265" stopIfTrue="1" operator="greaterThan">
      <formula>0</formula>
    </cfRule>
    <cfRule type="cellIs" priority="266" stopIfTrue="1" operator="greaterThan">
      <formula>0</formula>
    </cfRule>
    <cfRule type="cellIs" priority="267" stopIfTrue="1" operator="greaterThan">
      <formula>0</formula>
    </cfRule>
  </conditionalFormatting>
  <conditionalFormatting sqref="AO584:AP611">
    <cfRule type="cellIs" dxfId="263" priority="154" operator="lessThan">
      <formula>0</formula>
    </cfRule>
    <cfRule type="cellIs" dxfId="262" priority="155" operator="greaterThan">
      <formula>0</formula>
    </cfRule>
    <cfRule type="cellIs" priority="156" stopIfTrue="1" operator="greaterThan">
      <formula>0</formula>
    </cfRule>
  </conditionalFormatting>
  <pageMargins left="0.70866141732283472" right="0.23622047244094491" top="0.70866141732283472" bottom="0.70866141732283472" header="0.31496062992125984" footer="0.35433070866141736"/>
  <pageSetup paperSize="9" scale="81" orientation="portrait" blackAndWhite="1" r:id="rId1"/>
  <headerFooter>
    <oddHeader xml:space="preserve">&amp;L&amp;"Arial,tučné"&amp;10Účtovná jednotka 
Poznámky individuálnej účtovnej závierky zostavenej k 31. decembru 2013&amp;C
</oddHeader>
    <oddFooter>&amp;C&amp;P
Neoddeliteľnou súčasťou účtovnej závierky je súvaha, výkaz ziskov a strát a poznámky.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N48"/>
  <sheetViews>
    <sheetView showGridLines="0" zoomScale="85" zoomScaleNormal="85" workbookViewId="0">
      <pane xSplit="1" ySplit="4" topLeftCell="V38" activePane="bottomRight" state="frozen"/>
      <selection pane="topRight" activeCell="B1" sqref="B1"/>
      <selection pane="bottomLeft" activeCell="A5" sqref="A5"/>
      <selection pane="bottomRight" activeCell="AF47" sqref="AF47:AN47"/>
    </sheetView>
  </sheetViews>
  <sheetFormatPr defaultRowHeight="15" outlineLevelCol="1" x14ac:dyDescent="0.25"/>
  <cols>
    <col min="1" max="1" width="29.28515625" customWidth="1"/>
    <col min="2" max="10" width="11.28515625" customWidth="1"/>
    <col min="11" max="11" width="9.140625" style="412"/>
    <col min="12" max="19" width="9.140625" style="677" customWidth="1" outlineLevel="1"/>
    <col min="20" max="20" width="18.28515625" style="688" customWidth="1"/>
    <col min="21" max="21" width="9.140625" style="702"/>
    <col min="22" max="22" width="9.140625" style="677" customWidth="1" outlineLevel="1"/>
    <col min="23" max="29" width="9.140625" style="18" customWidth="1" outlineLevel="1"/>
    <col min="30" max="30" width="26.85546875" style="688" customWidth="1"/>
    <col min="31" max="31" width="9.140625" style="688"/>
    <col min="32" max="32" width="9.140625" style="676" customWidth="1" outlineLevel="1"/>
    <col min="33" max="39" width="9.140625" style="18" customWidth="1" outlineLevel="1"/>
    <col min="40" max="40" width="26.7109375" style="688" customWidth="1"/>
  </cols>
  <sheetData>
    <row r="1" spans="1:40" ht="16.5" x14ac:dyDescent="0.3">
      <c r="A1" s="1" t="s">
        <v>39</v>
      </c>
      <c r="L1" s="1312" t="s">
        <v>1139</v>
      </c>
      <c r="M1" s="1289"/>
      <c r="N1" s="1289"/>
      <c r="O1" s="1289"/>
      <c r="P1" s="1289"/>
      <c r="Q1" s="1289"/>
      <c r="R1" s="1289"/>
      <c r="S1" s="1289"/>
      <c r="T1" s="1313"/>
      <c r="V1" s="1312" t="s">
        <v>1140</v>
      </c>
      <c r="W1" s="1289"/>
      <c r="X1" s="1289"/>
      <c r="Y1" s="1289"/>
      <c r="Z1" s="1289"/>
      <c r="AA1" s="1289"/>
      <c r="AB1" s="1289"/>
      <c r="AC1" s="1289"/>
      <c r="AD1" s="1313"/>
      <c r="AF1" s="1312" t="s">
        <v>1141</v>
      </c>
      <c r="AG1" s="1289"/>
      <c r="AH1" s="1289"/>
      <c r="AI1" s="1289"/>
      <c r="AJ1" s="1289"/>
      <c r="AK1" s="1289"/>
      <c r="AL1" s="1289"/>
      <c r="AM1" s="1289"/>
      <c r="AN1" s="1313"/>
    </row>
    <row r="2" spans="1:40" ht="17.25" thickBot="1" x14ac:dyDescent="0.35">
      <c r="A2" s="2" t="s">
        <v>8</v>
      </c>
    </row>
    <row r="3" spans="1:40" ht="16.5" thickTop="1" thickBot="1" x14ac:dyDescent="0.3">
      <c r="A3" s="1308" t="s">
        <v>40</v>
      </c>
      <c r="B3" s="1310" t="s">
        <v>2</v>
      </c>
      <c r="C3" s="1315"/>
      <c r="D3" s="1315"/>
      <c r="E3" s="1315"/>
      <c r="F3" s="1315"/>
      <c r="G3" s="1315"/>
      <c r="H3" s="1315"/>
      <c r="I3" s="1315"/>
      <c r="J3" s="1311"/>
      <c r="K3" s="416"/>
    </row>
    <row r="4" spans="1:40" ht="62.25" customHeight="1" thickTop="1" thickBot="1" x14ac:dyDescent="0.3">
      <c r="A4" s="1314"/>
      <c r="B4" s="10" t="s">
        <v>41</v>
      </c>
      <c r="C4" s="10" t="s">
        <v>42</v>
      </c>
      <c r="D4" s="10" t="s">
        <v>43</v>
      </c>
      <c r="E4" s="10" t="s">
        <v>444</v>
      </c>
      <c r="F4" s="10" t="s">
        <v>44</v>
      </c>
      <c r="G4" s="10" t="s">
        <v>45</v>
      </c>
      <c r="H4" s="10" t="s">
        <v>445</v>
      </c>
      <c r="I4" s="10" t="s">
        <v>46</v>
      </c>
      <c r="J4" s="10" t="s">
        <v>14</v>
      </c>
      <c r="K4" s="408"/>
      <c r="L4" s="59" t="s">
        <v>41</v>
      </c>
      <c r="M4" s="59" t="s">
        <v>42</v>
      </c>
      <c r="N4" s="59" t="s">
        <v>43</v>
      </c>
      <c r="O4" s="59" t="s">
        <v>444</v>
      </c>
      <c r="P4" s="59" t="s">
        <v>44</v>
      </c>
      <c r="Q4" s="59" t="s">
        <v>45</v>
      </c>
      <c r="R4" s="59" t="s">
        <v>445</v>
      </c>
      <c r="S4" s="59" t="s">
        <v>46</v>
      </c>
      <c r="T4" s="59" t="s">
        <v>14</v>
      </c>
      <c r="U4" s="677"/>
      <c r="V4" s="59" t="s">
        <v>41</v>
      </c>
      <c r="W4" s="59" t="s">
        <v>42</v>
      </c>
      <c r="X4" s="59" t="s">
        <v>43</v>
      </c>
      <c r="Y4" s="59" t="s">
        <v>444</v>
      </c>
      <c r="Z4" s="59" t="s">
        <v>44</v>
      </c>
      <c r="AA4" s="59" t="s">
        <v>45</v>
      </c>
      <c r="AB4" s="59" t="s">
        <v>445</v>
      </c>
      <c r="AC4" s="59" t="s">
        <v>46</v>
      </c>
      <c r="AD4" s="59" t="s">
        <v>14</v>
      </c>
      <c r="AF4" s="59" t="s">
        <v>41</v>
      </c>
      <c r="AG4" s="59" t="s">
        <v>42</v>
      </c>
      <c r="AH4" s="59" t="s">
        <v>43</v>
      </c>
      <c r="AI4" s="59" t="s">
        <v>444</v>
      </c>
      <c r="AJ4" s="59" t="s">
        <v>44</v>
      </c>
      <c r="AK4" s="59" t="s">
        <v>45</v>
      </c>
      <c r="AL4" s="59" t="s">
        <v>445</v>
      </c>
      <c r="AM4" s="59" t="s">
        <v>46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416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678">
        <f>SUM(B6:I6)-J6</f>
        <v>0</v>
      </c>
      <c r="V6" s="723">
        <f>B6-B34</f>
        <v>0</v>
      </c>
      <c r="W6" s="723">
        <f t="shared" ref="W6:AB6" si="0">C6-C34</f>
        <v>0</v>
      </c>
      <c r="X6" s="723">
        <f t="shared" si="0"/>
        <v>0</v>
      </c>
      <c r="Y6" s="723">
        <f t="shared" si="0"/>
        <v>0</v>
      </c>
      <c r="Z6" s="723">
        <f t="shared" si="0"/>
        <v>0</v>
      </c>
      <c r="AA6" s="723">
        <f t="shared" si="0"/>
        <v>0</v>
      </c>
      <c r="AB6" s="723">
        <f t="shared" si="0"/>
        <v>0</v>
      </c>
      <c r="AC6" s="723">
        <f>I6-I34</f>
        <v>0</v>
      </c>
      <c r="AD6" s="678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678">
        <f t="shared" ref="T7:T9" si="2">SUM(B7:I7)-J7</f>
        <v>0</v>
      </c>
      <c r="W7" s="677"/>
      <c r="X7" s="677"/>
      <c r="Y7" s="677"/>
      <c r="Z7" s="677"/>
      <c r="AA7" s="677"/>
      <c r="AB7" s="677"/>
      <c r="AC7" s="677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678">
        <f t="shared" si="2"/>
        <v>0</v>
      </c>
      <c r="W8" s="677"/>
      <c r="X8" s="677"/>
      <c r="Y8" s="677"/>
      <c r="Z8" s="677"/>
      <c r="AA8" s="677"/>
      <c r="AB8" s="677"/>
      <c r="AC8" s="677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678">
        <f t="shared" si="2"/>
        <v>0</v>
      </c>
      <c r="W9" s="677"/>
      <c r="X9" s="677"/>
      <c r="Y9" s="677"/>
      <c r="Z9" s="677"/>
      <c r="AA9" s="677"/>
      <c r="AB9" s="677"/>
      <c r="AC9" s="677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691">
        <f>B6+B7-B8+B9-B10</f>
        <v>0</v>
      </c>
      <c r="M10" s="723">
        <f t="shared" ref="M10:T10" si="4">C6+C7-C8+C9-C10</f>
        <v>0</v>
      </c>
      <c r="N10" s="723">
        <f t="shared" si="4"/>
        <v>0</v>
      </c>
      <c r="O10" s="723">
        <f t="shared" si="4"/>
        <v>0</v>
      </c>
      <c r="P10" s="723">
        <f t="shared" si="4"/>
        <v>0</v>
      </c>
      <c r="Q10" s="723">
        <f t="shared" si="4"/>
        <v>0</v>
      </c>
      <c r="R10" s="723">
        <f t="shared" si="4"/>
        <v>0</v>
      </c>
      <c r="S10" s="723">
        <f t="shared" si="4"/>
        <v>0</v>
      </c>
      <c r="T10" s="723">
        <f t="shared" si="4"/>
        <v>0</v>
      </c>
      <c r="W10" s="677"/>
      <c r="X10" s="677"/>
      <c r="Y10" s="677"/>
      <c r="Z10" s="677"/>
      <c r="AA10" s="677"/>
      <c r="AB10" s="677"/>
      <c r="AC10" s="677"/>
      <c r="AF10" s="691">
        <f>B10-BS!$D$21</f>
        <v>0</v>
      </c>
      <c r="AG10" s="723">
        <f>C10-BS!$D$22</f>
        <v>0</v>
      </c>
      <c r="AH10" s="723">
        <f>D10-BS!$D$23</f>
        <v>0</v>
      </c>
      <c r="AI10" s="723">
        <f>E10-BS!$D$24</f>
        <v>0</v>
      </c>
      <c r="AJ10" s="723">
        <f>F10-BS!$D$25</f>
        <v>0</v>
      </c>
      <c r="AK10" s="723">
        <f>G10-BS!$D$26</f>
        <v>0</v>
      </c>
      <c r="AL10" s="723">
        <f>H10-BS!$D$27</f>
        <v>0</v>
      </c>
      <c r="AM10" s="723">
        <f>I10-BS!$D$28</f>
        <v>0</v>
      </c>
      <c r="AN10" s="678">
        <f>J10-BS!$D$20</f>
        <v>0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676"/>
      <c r="T11" s="678"/>
      <c r="W11" s="677"/>
      <c r="X11" s="677"/>
      <c r="Y11" s="677"/>
      <c r="Z11" s="677"/>
      <c r="AA11" s="677"/>
      <c r="AB11" s="677"/>
      <c r="AC11" s="677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676"/>
      <c r="T12" s="678">
        <f t="shared" ref="T12:T14" si="5">SUM(B12:I12)-J12</f>
        <v>0</v>
      </c>
      <c r="V12" s="723">
        <f>B12-B39</f>
        <v>0</v>
      </c>
      <c r="W12" s="723">
        <f t="shared" ref="W12:AB12" si="6">C12-C39</f>
        <v>0</v>
      </c>
      <c r="X12" s="723">
        <f t="shared" si="6"/>
        <v>0</v>
      </c>
      <c r="Y12" s="723">
        <f t="shared" si="6"/>
        <v>0</v>
      </c>
      <c r="Z12" s="723">
        <f t="shared" si="6"/>
        <v>0</v>
      </c>
      <c r="AA12" s="723">
        <f t="shared" si="6"/>
        <v>0</v>
      </c>
      <c r="AB12" s="723">
        <f t="shared" si="6"/>
        <v>0</v>
      </c>
      <c r="AC12" s="723">
        <f>I12-I39</f>
        <v>0</v>
      </c>
      <c r="AD12" s="678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676"/>
      <c r="T13" s="678">
        <f t="shared" si="5"/>
        <v>0</v>
      </c>
      <c r="W13" s="677"/>
      <c r="X13" s="677"/>
      <c r="Y13" s="677"/>
      <c r="Z13" s="677"/>
      <c r="AA13" s="677"/>
      <c r="AB13" s="677"/>
      <c r="AC13" s="677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676"/>
      <c r="T14" s="678">
        <f t="shared" si="5"/>
        <v>0</v>
      </c>
      <c r="W14" s="677"/>
      <c r="X14" s="677"/>
      <c r="Y14" s="677"/>
      <c r="Z14" s="677"/>
      <c r="AA14" s="677"/>
      <c r="AB14" s="677"/>
      <c r="AC14" s="677"/>
      <c r="AF14" s="735" t="s">
        <v>1142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 t="shared" si="8"/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691">
        <f>B12+B13-B14-B15</f>
        <v>0</v>
      </c>
      <c r="M15" s="723">
        <f t="shared" ref="M15:T15" si="9">C12+C13-C14-C15</f>
        <v>0</v>
      </c>
      <c r="N15" s="723">
        <f t="shared" si="9"/>
        <v>0</v>
      </c>
      <c r="O15" s="723">
        <f t="shared" si="9"/>
        <v>0</v>
      </c>
      <c r="P15" s="723">
        <f t="shared" si="9"/>
        <v>0</v>
      </c>
      <c r="Q15" s="723">
        <f t="shared" si="9"/>
        <v>0</v>
      </c>
      <c r="R15" s="723">
        <f t="shared" si="9"/>
        <v>0</v>
      </c>
      <c r="S15" s="723">
        <f t="shared" si="9"/>
        <v>0</v>
      </c>
      <c r="T15" s="723">
        <f t="shared" si="9"/>
        <v>0</v>
      </c>
      <c r="W15" s="677"/>
      <c r="X15" s="677"/>
      <c r="Y15" s="677"/>
      <c r="Z15" s="677"/>
      <c r="AA15" s="677"/>
      <c r="AB15" s="677"/>
      <c r="AC15" s="677"/>
      <c r="AF15" s="691">
        <f>B15+B20-BS!$E$21</f>
        <v>0</v>
      </c>
      <c r="AG15" s="723">
        <f>C15+C20-BS!$E$22</f>
        <v>0</v>
      </c>
      <c r="AH15" s="723">
        <f>D15+D20-BS!$E$23</f>
        <v>0</v>
      </c>
      <c r="AI15" s="723">
        <f>E15+E20-BS!$E$24</f>
        <v>0</v>
      </c>
      <c r="AJ15" s="723">
        <f>F15+F20-BS!$E$25</f>
        <v>0</v>
      </c>
      <c r="AK15" s="723">
        <f>G15+G20-BS!$E$26</f>
        <v>0</v>
      </c>
      <c r="AL15" s="723">
        <f>H15+H20-BS!$E$27</f>
        <v>0</v>
      </c>
      <c r="AM15" s="723">
        <f>I15+I20-BS!$E$28</f>
        <v>0</v>
      </c>
      <c r="AN15" s="678">
        <f>J15+J20-BS!$E$20</f>
        <v>0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676"/>
      <c r="T16" s="678"/>
      <c r="W16" s="677"/>
      <c r="X16" s="677"/>
      <c r="Y16" s="677"/>
      <c r="Z16" s="677"/>
      <c r="AA16" s="677"/>
      <c r="AB16" s="677"/>
      <c r="AC16" s="677"/>
      <c r="AG16" s="677"/>
      <c r="AH16" s="677"/>
      <c r="AI16" s="677"/>
      <c r="AJ16" s="677"/>
      <c r="AK16" s="677"/>
      <c r="AL16" s="677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676"/>
      <c r="T17" s="678">
        <f t="shared" ref="T17:T19" si="10">SUM(B17:I17)-J17</f>
        <v>0</v>
      </c>
      <c r="V17" s="723">
        <f>B17-B44</f>
        <v>0</v>
      </c>
      <c r="W17" s="723">
        <f t="shared" ref="W17:AB17" si="11">C17-C44</f>
        <v>0</v>
      </c>
      <c r="X17" s="723">
        <f t="shared" si="11"/>
        <v>0</v>
      </c>
      <c r="Y17" s="723">
        <f t="shared" si="11"/>
        <v>0</v>
      </c>
      <c r="Z17" s="723">
        <f t="shared" si="11"/>
        <v>0</v>
      </c>
      <c r="AA17" s="723">
        <f t="shared" si="11"/>
        <v>0</v>
      </c>
      <c r="AB17" s="723">
        <f t="shared" si="11"/>
        <v>0</v>
      </c>
      <c r="AC17" s="723">
        <f>I17-I44</f>
        <v>0</v>
      </c>
      <c r="AD17" s="678">
        <f>J17-J44</f>
        <v>0</v>
      </c>
      <c r="AG17" s="677"/>
      <c r="AH17" s="677"/>
      <c r="AI17" s="677"/>
      <c r="AJ17" s="677"/>
      <c r="AK17" s="677"/>
      <c r="AL17" s="677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676"/>
      <c r="T18" s="678">
        <f t="shared" si="10"/>
        <v>0</v>
      </c>
      <c r="W18" s="677"/>
      <c r="X18" s="677"/>
      <c r="Y18" s="677"/>
      <c r="Z18" s="677"/>
      <c r="AA18" s="677"/>
      <c r="AB18" s="677"/>
      <c r="AC18" s="677"/>
      <c r="AG18" s="677"/>
      <c r="AH18" s="677"/>
      <c r="AI18" s="677"/>
      <c r="AJ18" s="677"/>
      <c r="AK18" s="677"/>
      <c r="AL18" s="677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676"/>
      <c r="T19" s="678">
        <f t="shared" si="10"/>
        <v>0</v>
      </c>
      <c r="W19" s="677"/>
      <c r="X19" s="677"/>
      <c r="Y19" s="677"/>
      <c r="Z19" s="677"/>
      <c r="AA19" s="677"/>
      <c r="AB19" s="677"/>
      <c r="AC19" s="677"/>
      <c r="AG19" s="677"/>
      <c r="AH19" s="677"/>
      <c r="AI19" s="677"/>
      <c r="AJ19" s="677"/>
      <c r="AK19" s="677"/>
      <c r="AL19" s="677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:I20" si="13">D17+D18-D19</f>
        <v>0</v>
      </c>
      <c r="E20" s="26">
        <f t="shared" si="13"/>
        <v>0</v>
      </c>
      <c r="F20" s="26">
        <f t="shared" si="13"/>
        <v>0</v>
      </c>
      <c r="G20" s="26">
        <f t="shared" si="13"/>
        <v>0</v>
      </c>
      <c r="H20" s="26">
        <f t="shared" si="13"/>
        <v>0</v>
      </c>
      <c r="I20" s="26">
        <f t="shared" si="13"/>
        <v>0</v>
      </c>
      <c r="J20" s="17">
        <f>J17+J18-J19</f>
        <v>0</v>
      </c>
      <c r="L20" s="691">
        <f>B17+B18-B19-B20</f>
        <v>0</v>
      </c>
      <c r="M20" s="723">
        <f t="shared" ref="M20:T20" si="14">C17+C18-C19-C20</f>
        <v>0</v>
      </c>
      <c r="N20" s="723">
        <f t="shared" si="14"/>
        <v>0</v>
      </c>
      <c r="O20" s="723">
        <f t="shared" si="14"/>
        <v>0</v>
      </c>
      <c r="P20" s="723">
        <f t="shared" si="14"/>
        <v>0</v>
      </c>
      <c r="Q20" s="723">
        <f t="shared" si="14"/>
        <v>0</v>
      </c>
      <c r="R20" s="723">
        <f t="shared" si="14"/>
        <v>0</v>
      </c>
      <c r="S20" s="723">
        <f t="shared" si="14"/>
        <v>0</v>
      </c>
      <c r="T20" s="723">
        <f t="shared" si="14"/>
        <v>0</v>
      </c>
      <c r="W20" s="677"/>
      <c r="X20" s="677"/>
      <c r="Y20" s="677"/>
      <c r="Z20" s="677"/>
      <c r="AA20" s="677"/>
      <c r="AB20" s="677"/>
      <c r="AC20" s="677"/>
      <c r="AG20" s="677"/>
      <c r="AH20" s="677"/>
      <c r="AI20" s="677"/>
      <c r="AJ20" s="677"/>
      <c r="AK20" s="677"/>
      <c r="AL20" s="677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676"/>
      <c r="T21" s="678"/>
      <c r="W21" s="677"/>
      <c r="X21" s="677"/>
      <c r="Y21" s="677"/>
      <c r="Z21" s="677"/>
      <c r="AA21" s="677"/>
      <c r="AB21" s="677"/>
      <c r="AC21" s="677"/>
      <c r="AG21" s="677"/>
      <c r="AH21" s="677"/>
      <c r="AI21" s="677"/>
      <c r="AJ21" s="677"/>
      <c r="AK21" s="677"/>
      <c r="AL21" s="677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>C6-C12-C17</f>
        <v>0</v>
      </c>
      <c r="D22" s="22">
        <f t="shared" ref="D22:J22" si="15">D6-D12-D17</f>
        <v>0</v>
      </c>
      <c r="E22" s="22">
        <f t="shared" si="15"/>
        <v>0</v>
      </c>
      <c r="F22" s="22">
        <f t="shared" si="15"/>
        <v>0</v>
      </c>
      <c r="G22" s="22">
        <f t="shared" si="15"/>
        <v>0</v>
      </c>
      <c r="H22" s="22">
        <f t="shared" si="15"/>
        <v>0</v>
      </c>
      <c r="I22" s="22">
        <f t="shared" ref="I22" si="16">I6-I12-I17</f>
        <v>0</v>
      </c>
      <c r="J22" s="15">
        <f t="shared" si="15"/>
        <v>0</v>
      </c>
      <c r="L22" s="691">
        <f>B6-B12-B17-B22</f>
        <v>0</v>
      </c>
      <c r="M22" s="723">
        <f t="shared" ref="M22:S22" si="17">C6-C12-C17-C22</f>
        <v>0</v>
      </c>
      <c r="N22" s="723">
        <f t="shared" si="17"/>
        <v>0</v>
      </c>
      <c r="O22" s="723">
        <f t="shared" si="17"/>
        <v>0</v>
      </c>
      <c r="P22" s="723">
        <f t="shared" si="17"/>
        <v>0</v>
      </c>
      <c r="Q22" s="723">
        <f t="shared" si="17"/>
        <v>0</v>
      </c>
      <c r="R22" s="723">
        <f t="shared" si="17"/>
        <v>0</v>
      </c>
      <c r="S22" s="723">
        <f t="shared" si="17"/>
        <v>0</v>
      </c>
      <c r="T22" s="678">
        <f t="shared" ref="T22:T23" si="18">SUM(B22:I22)-J22</f>
        <v>0</v>
      </c>
      <c r="V22" s="723">
        <f>B22-B47</f>
        <v>0</v>
      </c>
      <c r="W22" s="723">
        <f t="shared" ref="W22:AB22" si="19">C22-C47</f>
        <v>0</v>
      </c>
      <c r="X22" s="723">
        <f t="shared" si="19"/>
        <v>0</v>
      </c>
      <c r="Y22" s="723">
        <f t="shared" si="19"/>
        <v>0</v>
      </c>
      <c r="Z22" s="723">
        <f t="shared" si="19"/>
        <v>0</v>
      </c>
      <c r="AA22" s="723">
        <f t="shared" si="19"/>
        <v>0</v>
      </c>
      <c r="AB22" s="723">
        <f t="shared" si="19"/>
        <v>0</v>
      </c>
      <c r="AC22" s="723">
        <f>I22-I47</f>
        <v>0</v>
      </c>
      <c r="AD22" s="678">
        <f>J22-J47</f>
        <v>0</v>
      </c>
      <c r="AG22" s="677"/>
      <c r="AH22" s="677"/>
      <c r="AI22" s="677"/>
      <c r="AJ22" s="677"/>
      <c r="AK22" s="677"/>
      <c r="AL22" s="677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>C10-C15-C20</f>
        <v>0</v>
      </c>
      <c r="D23" s="26">
        <f t="shared" ref="D23:J23" si="20">D10-D15-D20</f>
        <v>0</v>
      </c>
      <c r="E23" s="26">
        <f t="shared" si="20"/>
        <v>0</v>
      </c>
      <c r="F23" s="26">
        <f t="shared" si="20"/>
        <v>0</v>
      </c>
      <c r="G23" s="26">
        <f t="shared" si="20"/>
        <v>0</v>
      </c>
      <c r="H23" s="26">
        <f t="shared" si="20"/>
        <v>0</v>
      </c>
      <c r="I23" s="26">
        <f t="shared" ref="I23" si="21">I10-I15-I20</f>
        <v>0</v>
      </c>
      <c r="J23" s="17">
        <f t="shared" si="20"/>
        <v>0</v>
      </c>
      <c r="L23" s="691">
        <f>B10-B15-B20-B23</f>
        <v>0</v>
      </c>
      <c r="M23" s="723">
        <f t="shared" ref="M23:S23" si="22">C10-C15-C20-C23</f>
        <v>0</v>
      </c>
      <c r="N23" s="723">
        <f t="shared" si="22"/>
        <v>0</v>
      </c>
      <c r="O23" s="723">
        <f t="shared" si="22"/>
        <v>0</v>
      </c>
      <c r="P23" s="723">
        <f t="shared" si="22"/>
        <v>0</v>
      </c>
      <c r="Q23" s="723">
        <f t="shared" si="22"/>
        <v>0</v>
      </c>
      <c r="R23" s="723">
        <f t="shared" si="22"/>
        <v>0</v>
      </c>
      <c r="S23" s="723">
        <f t="shared" si="22"/>
        <v>0</v>
      </c>
      <c r="T23" s="678">
        <f t="shared" si="18"/>
        <v>0</v>
      </c>
      <c r="AF23" s="691">
        <f>B23-BS!$F$21</f>
        <v>0</v>
      </c>
      <c r="AG23" s="723">
        <f>C23-BS!$F$22</f>
        <v>0</v>
      </c>
      <c r="AH23" s="723">
        <f>D23-BS!$F$23</f>
        <v>0</v>
      </c>
      <c r="AI23" s="723">
        <f>E23-BS!$F$24</f>
        <v>0</v>
      </c>
      <c r="AJ23" s="723">
        <f>F23-BS!$F$25</f>
        <v>0</v>
      </c>
      <c r="AK23" s="723">
        <f>G23-BS!$F$26</f>
        <v>0</v>
      </c>
      <c r="AL23" s="723">
        <f>H23-BS!$F$27</f>
        <v>0</v>
      </c>
      <c r="AM23" s="723">
        <f>I23-BS!$F$28</f>
        <v>0</v>
      </c>
      <c r="AN23" s="678">
        <f>J23-BS!$F$20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customHeight="1" thickTop="1" thickBot="1" x14ac:dyDescent="0.3">
      <c r="A27" s="1308" t="s">
        <v>40</v>
      </c>
      <c r="B27" s="1316" t="s">
        <v>3</v>
      </c>
      <c r="C27" s="1317"/>
      <c r="D27" s="1317"/>
      <c r="E27" s="1317"/>
      <c r="F27" s="1317"/>
      <c r="G27" s="1317"/>
      <c r="H27" s="1317"/>
      <c r="I27" s="1317"/>
      <c r="J27" s="1318"/>
      <c r="K27" s="416"/>
    </row>
    <row r="28" spans="1:40" ht="62.25" customHeight="1" thickTop="1" thickBot="1" x14ac:dyDescent="0.3">
      <c r="A28" s="1309"/>
      <c r="B28" s="10" t="s">
        <v>41</v>
      </c>
      <c r="C28" s="10" t="s">
        <v>42</v>
      </c>
      <c r="D28" s="10" t="s">
        <v>43</v>
      </c>
      <c r="E28" s="10" t="s">
        <v>444</v>
      </c>
      <c r="F28" s="10" t="s">
        <v>44</v>
      </c>
      <c r="G28" s="10" t="s">
        <v>45</v>
      </c>
      <c r="H28" s="10" t="s">
        <v>445</v>
      </c>
      <c r="I28" s="10" t="s">
        <v>46</v>
      </c>
      <c r="J28" s="10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416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678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3">SUM(B31:H31)</f>
        <v>0</v>
      </c>
      <c r="T31" s="678">
        <f t="shared" ref="T31:T33" si="24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3"/>
        <v>0</v>
      </c>
      <c r="T32" s="678">
        <f t="shared" si="24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3"/>
        <v>0</v>
      </c>
      <c r="T33" s="678">
        <f t="shared" si="24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5">E30+E31-E32+E33</f>
        <v>0</v>
      </c>
      <c r="F34" s="26">
        <f t="shared" si="25"/>
        <v>0</v>
      </c>
      <c r="G34" s="26">
        <f t="shared" si="25"/>
        <v>0</v>
      </c>
      <c r="H34" s="26">
        <f t="shared" si="25"/>
        <v>0</v>
      </c>
      <c r="I34" s="26">
        <f>I30+I31-I32+I33</f>
        <v>0</v>
      </c>
      <c r="J34" s="17">
        <f>J30+J31-J32+J33</f>
        <v>0</v>
      </c>
      <c r="L34" s="691">
        <f>B30+B31-B32+B33-B34</f>
        <v>0</v>
      </c>
      <c r="M34" s="723">
        <f t="shared" ref="M34:T34" si="26">C30+C31-C32+C33-C34</f>
        <v>0</v>
      </c>
      <c r="N34" s="723">
        <f t="shared" si="26"/>
        <v>0</v>
      </c>
      <c r="O34" s="723">
        <f t="shared" si="26"/>
        <v>0</v>
      </c>
      <c r="P34" s="723">
        <f t="shared" si="26"/>
        <v>0</v>
      </c>
      <c r="Q34" s="723">
        <f t="shared" si="26"/>
        <v>0</v>
      </c>
      <c r="R34" s="723">
        <f t="shared" si="26"/>
        <v>0</v>
      </c>
      <c r="S34" s="723">
        <f t="shared" si="26"/>
        <v>0</v>
      </c>
      <c r="T34" s="723">
        <f t="shared" si="26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676"/>
      <c r="T35" s="678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676"/>
      <c r="T36" s="678">
        <f t="shared" ref="T36:T38" si="27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28">SUM(B37:H37)</f>
        <v>0</v>
      </c>
      <c r="L37" s="676"/>
      <c r="T37" s="678">
        <f t="shared" si="27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28"/>
        <v>0</v>
      </c>
      <c r="L38" s="676"/>
      <c r="T38" s="678">
        <f t="shared" si="27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29">D36+D37-D38</f>
        <v>0</v>
      </c>
      <c r="E39" s="26">
        <f t="shared" si="29"/>
        <v>0</v>
      </c>
      <c r="F39" s="26">
        <f t="shared" si="29"/>
        <v>0</v>
      </c>
      <c r="G39" s="26">
        <f t="shared" si="29"/>
        <v>0</v>
      </c>
      <c r="H39" s="26">
        <f t="shared" si="29"/>
        <v>0</v>
      </c>
      <c r="I39" s="26">
        <f t="shared" si="29"/>
        <v>0</v>
      </c>
      <c r="J39" s="17">
        <f>J36+J37-J38</f>
        <v>0</v>
      </c>
      <c r="L39" s="691">
        <f>B36+B37-B38-B39</f>
        <v>0</v>
      </c>
      <c r="M39" s="723">
        <f t="shared" ref="M39:T39" si="30">C36+C37-C38-C39</f>
        <v>0</v>
      </c>
      <c r="N39" s="723">
        <f t="shared" si="30"/>
        <v>0</v>
      </c>
      <c r="O39" s="723">
        <f t="shared" si="30"/>
        <v>0</v>
      </c>
      <c r="P39" s="723">
        <f t="shared" si="30"/>
        <v>0</v>
      </c>
      <c r="Q39" s="723">
        <f t="shared" si="30"/>
        <v>0</v>
      </c>
      <c r="R39" s="723">
        <f t="shared" si="30"/>
        <v>0</v>
      </c>
      <c r="S39" s="723">
        <f t="shared" si="30"/>
        <v>0</v>
      </c>
      <c r="T39" s="723">
        <f t="shared" si="30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676"/>
      <c r="T40" s="678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676"/>
      <c r="T41" s="678">
        <f t="shared" ref="T41:T43" si="31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2">SUM(B42:H42)</f>
        <v>0</v>
      </c>
      <c r="L42" s="676"/>
      <c r="T42" s="678">
        <f t="shared" si="31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2"/>
        <v>0</v>
      </c>
      <c r="L43" s="676"/>
      <c r="T43" s="678">
        <f t="shared" si="31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3">D41+D42-D43</f>
        <v>0</v>
      </c>
      <c r="E44" s="26">
        <f t="shared" si="33"/>
        <v>0</v>
      </c>
      <c r="F44" s="26">
        <f t="shared" si="33"/>
        <v>0</v>
      </c>
      <c r="G44" s="26">
        <f t="shared" si="33"/>
        <v>0</v>
      </c>
      <c r="H44" s="26">
        <f t="shared" si="33"/>
        <v>0</v>
      </c>
      <c r="I44" s="26">
        <f t="shared" si="33"/>
        <v>0</v>
      </c>
      <c r="J44" s="17">
        <f>J41+J42-J43</f>
        <v>0</v>
      </c>
      <c r="L44" s="691">
        <f>B41+B42-B43-B44</f>
        <v>0</v>
      </c>
      <c r="M44" s="723">
        <f t="shared" ref="M44:T44" si="34">C41+C42-C43-C44</f>
        <v>0</v>
      </c>
      <c r="N44" s="723">
        <f t="shared" si="34"/>
        <v>0</v>
      </c>
      <c r="O44" s="723">
        <f t="shared" si="34"/>
        <v>0</v>
      </c>
      <c r="P44" s="723">
        <f t="shared" si="34"/>
        <v>0</v>
      </c>
      <c r="Q44" s="723">
        <f t="shared" si="34"/>
        <v>0</v>
      </c>
      <c r="R44" s="723">
        <f t="shared" si="34"/>
        <v>0</v>
      </c>
      <c r="S44" s="723">
        <f t="shared" si="34"/>
        <v>0</v>
      </c>
      <c r="T44" s="723">
        <f t="shared" si="34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676"/>
      <c r="T45" s="678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5">C30-C36-C41</f>
        <v>0</v>
      </c>
      <c r="D46" s="22">
        <f t="shared" si="35"/>
        <v>0</v>
      </c>
      <c r="E46" s="22">
        <f t="shared" si="35"/>
        <v>0</v>
      </c>
      <c r="F46" s="22">
        <f t="shared" si="35"/>
        <v>0</v>
      </c>
      <c r="G46" s="22">
        <f t="shared" si="35"/>
        <v>0</v>
      </c>
      <c r="H46" s="22">
        <f t="shared" si="35"/>
        <v>0</v>
      </c>
      <c r="I46" s="22">
        <f t="shared" si="35"/>
        <v>0</v>
      </c>
      <c r="J46" s="15">
        <f t="shared" si="35"/>
        <v>0</v>
      </c>
      <c r="L46" s="691">
        <f>B30-B36-B41-B46</f>
        <v>0</v>
      </c>
      <c r="M46" s="723">
        <f t="shared" ref="M46:S46" si="36">C30-C36-C41-C46</f>
        <v>0</v>
      </c>
      <c r="N46" s="723">
        <f t="shared" si="36"/>
        <v>0</v>
      </c>
      <c r="O46" s="723">
        <f t="shared" si="36"/>
        <v>0</v>
      </c>
      <c r="P46" s="723">
        <f t="shared" si="36"/>
        <v>0</v>
      </c>
      <c r="Q46" s="723">
        <f t="shared" si="36"/>
        <v>0</v>
      </c>
      <c r="R46" s="723">
        <f t="shared" si="36"/>
        <v>0</v>
      </c>
      <c r="S46" s="723">
        <f t="shared" si="36"/>
        <v>0</v>
      </c>
      <c r="T46" s="678">
        <f t="shared" ref="T46:T47" si="37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38">C34-C39-C44</f>
        <v>0</v>
      </c>
      <c r="D47" s="26">
        <f t="shared" si="38"/>
        <v>0</v>
      </c>
      <c r="E47" s="26">
        <f t="shared" si="38"/>
        <v>0</v>
      </c>
      <c r="F47" s="26">
        <f t="shared" si="38"/>
        <v>0</v>
      </c>
      <c r="G47" s="26">
        <f t="shared" si="38"/>
        <v>0</v>
      </c>
      <c r="H47" s="26">
        <f t="shared" si="38"/>
        <v>0</v>
      </c>
      <c r="I47" s="26">
        <f t="shared" si="38"/>
        <v>0</v>
      </c>
      <c r="J47" s="17">
        <f t="shared" si="38"/>
        <v>0</v>
      </c>
      <c r="L47" s="691">
        <f>B34-B39-B44-B47</f>
        <v>0</v>
      </c>
      <c r="M47" s="723">
        <f t="shared" ref="M47:S47" si="39">C34-C39-C44-C47</f>
        <v>0</v>
      </c>
      <c r="N47" s="723">
        <f t="shared" si="39"/>
        <v>0</v>
      </c>
      <c r="O47" s="723">
        <f t="shared" si="39"/>
        <v>0</v>
      </c>
      <c r="P47" s="723">
        <f t="shared" si="39"/>
        <v>0</v>
      </c>
      <c r="Q47" s="723">
        <f t="shared" si="39"/>
        <v>0</v>
      </c>
      <c r="R47" s="723">
        <f t="shared" si="39"/>
        <v>0</v>
      </c>
      <c r="S47" s="723">
        <f t="shared" si="39"/>
        <v>0</v>
      </c>
      <c r="T47" s="678">
        <f t="shared" si="37"/>
        <v>0</v>
      </c>
      <c r="AF47" s="691">
        <f>B47-BS!$G$21</f>
        <v>0</v>
      </c>
      <c r="AG47" s="723">
        <f>C47-BS!$G$22</f>
        <v>0</v>
      </c>
      <c r="AH47" s="723">
        <f>D47-BS!$G$23</f>
        <v>0</v>
      </c>
      <c r="AI47" s="723">
        <f>E47-BS!$G$24</f>
        <v>0</v>
      </c>
      <c r="AJ47" s="723">
        <f>F47-BS!$G$25</f>
        <v>0</v>
      </c>
      <c r="AK47" s="723">
        <f>G47-BS!$G$26</f>
        <v>0</v>
      </c>
      <c r="AL47" s="723">
        <f>H47-BS!$G$27</f>
        <v>0</v>
      </c>
      <c r="AM47" s="723">
        <f>I47-BS!$G$28</f>
        <v>0</v>
      </c>
      <c r="AN47" s="678">
        <f>J47-BS!$G$20</f>
        <v>0</v>
      </c>
    </row>
    <row r="48" spans="1:40" ht="15.75" thickTop="1" x14ac:dyDescent="0.25"/>
  </sheetData>
  <mergeCells count="7">
    <mergeCell ref="V1:AD1"/>
    <mergeCell ref="AF1:AN1"/>
    <mergeCell ref="A3:A4"/>
    <mergeCell ref="A27:A28"/>
    <mergeCell ref="B27:J27"/>
    <mergeCell ref="B3:J3"/>
    <mergeCell ref="L1:T1"/>
  </mergeCells>
  <conditionalFormatting sqref="L6:T23 V6:AD22 AF10:AN29">
    <cfRule type="cellIs" dxfId="247" priority="57" operator="lessThan">
      <formula>0</formula>
    </cfRule>
    <cfRule type="cellIs" dxfId="246" priority="58" operator="greaterThan">
      <formula>0</formula>
    </cfRule>
  </conditionalFormatting>
  <conditionalFormatting sqref="L30:T47">
    <cfRule type="cellIs" dxfId="245" priority="55" operator="lessThan">
      <formula>0</formula>
    </cfRule>
    <cfRule type="cellIs" dxfId="244" priority="56" operator="greaterThan">
      <formula>0</formula>
    </cfRule>
  </conditionalFormatting>
  <conditionalFormatting sqref="AF30:AN47">
    <cfRule type="cellIs" dxfId="243" priority="51" operator="lessThan">
      <formula>0</formula>
    </cfRule>
    <cfRule type="cellIs" dxfId="242" priority="52" operator="greaterThan">
      <formula>0</formula>
    </cfRule>
  </conditionalFormatting>
  <conditionalFormatting sqref="L30:T47">
    <cfRule type="cellIs" dxfId="241" priority="49" operator="lessThan">
      <formula>0</formula>
    </cfRule>
    <cfRule type="cellIs" dxfId="240" priority="50" operator="greaterThan">
      <formula>0</formula>
    </cfRule>
  </conditionalFormatting>
  <conditionalFormatting sqref="L6:T23">
    <cfRule type="cellIs" dxfId="239" priority="47" operator="lessThan">
      <formula>0</formula>
    </cfRule>
    <cfRule type="cellIs" dxfId="238" priority="48" operator="greaterThan">
      <formula>0</formula>
    </cfRule>
  </conditionalFormatting>
  <conditionalFormatting sqref="L30:T47">
    <cfRule type="cellIs" dxfId="237" priority="45" operator="lessThan">
      <formula>0</formula>
    </cfRule>
    <cfRule type="cellIs" dxfId="236" priority="46" operator="greaterThan">
      <formula>0</formula>
    </cfRule>
  </conditionalFormatting>
  <conditionalFormatting sqref="L30:T47">
    <cfRule type="cellIs" dxfId="235" priority="43" operator="lessThan">
      <formula>0</formula>
    </cfRule>
    <cfRule type="cellIs" dxfId="234" priority="44" operator="greaterThan">
      <formula>0</formula>
    </cfRule>
  </conditionalFormatting>
  <conditionalFormatting sqref="M10:T10 L15:T15 L20:T20 M11:S14 L10:L14 L16:S19 L21:S23">
    <cfRule type="cellIs" dxfId="233" priority="41" operator="lessThan">
      <formula>0</formula>
    </cfRule>
    <cfRule type="cellIs" dxfId="232" priority="42" operator="greaterThan">
      <formula>0</formula>
    </cfRule>
  </conditionalFormatting>
  <conditionalFormatting sqref="T10">
    <cfRule type="cellIs" dxfId="231" priority="39" operator="lessThan">
      <formula>0</formula>
    </cfRule>
    <cfRule type="cellIs" dxfId="230" priority="40" operator="greaterThan">
      <formula>0</formula>
    </cfRule>
  </conditionalFormatting>
  <conditionalFormatting sqref="T15">
    <cfRule type="cellIs" dxfId="229" priority="37" operator="lessThan">
      <formula>0</formula>
    </cfRule>
    <cfRule type="cellIs" dxfId="228" priority="38" operator="greaterThan">
      <formula>0</formula>
    </cfRule>
  </conditionalFormatting>
  <conditionalFormatting sqref="T20">
    <cfRule type="cellIs" dxfId="227" priority="35" operator="lessThan">
      <formula>0</formula>
    </cfRule>
    <cfRule type="cellIs" dxfId="226" priority="36" operator="greaterThan">
      <formula>0</formula>
    </cfRule>
  </conditionalFormatting>
  <conditionalFormatting sqref="T10">
    <cfRule type="cellIs" dxfId="225" priority="33" operator="lessThan">
      <formula>0</formula>
    </cfRule>
    <cfRule type="cellIs" dxfId="224" priority="34" operator="greaterThan">
      <formula>0</formula>
    </cfRule>
  </conditionalFormatting>
  <conditionalFormatting sqref="T15">
    <cfRule type="cellIs" dxfId="223" priority="31" operator="lessThan">
      <formula>0</formula>
    </cfRule>
    <cfRule type="cellIs" dxfId="222" priority="32" operator="greaterThan">
      <formula>0</formula>
    </cfRule>
  </conditionalFormatting>
  <conditionalFormatting sqref="T15">
    <cfRule type="cellIs" dxfId="221" priority="29" operator="lessThan">
      <formula>0</formula>
    </cfRule>
    <cfRule type="cellIs" dxfId="220" priority="30" operator="greaterThan">
      <formula>0</formula>
    </cfRule>
  </conditionalFormatting>
  <conditionalFormatting sqref="T20">
    <cfRule type="cellIs" dxfId="219" priority="27" operator="lessThan">
      <formula>0</formula>
    </cfRule>
    <cfRule type="cellIs" dxfId="218" priority="28" operator="greaterThan">
      <formula>0</formula>
    </cfRule>
  </conditionalFormatting>
  <conditionalFormatting sqref="T20">
    <cfRule type="cellIs" dxfId="217" priority="25" operator="lessThan">
      <formula>0</formula>
    </cfRule>
    <cfRule type="cellIs" dxfId="216" priority="26" operator="greaterThan">
      <formula>0</formula>
    </cfRule>
  </conditionalFormatting>
  <conditionalFormatting sqref="T20">
    <cfRule type="cellIs" dxfId="215" priority="23" operator="lessThan">
      <formula>0</formula>
    </cfRule>
    <cfRule type="cellIs" dxfId="214" priority="24" operator="greaterThan">
      <formula>0</formula>
    </cfRule>
  </conditionalFormatting>
  <conditionalFormatting sqref="L30:T47">
    <cfRule type="cellIs" dxfId="213" priority="21" operator="lessThan">
      <formula>0</formula>
    </cfRule>
    <cfRule type="cellIs" dxfId="212" priority="22" operator="greaterThan">
      <formula>0</formula>
    </cfRule>
  </conditionalFormatting>
  <conditionalFormatting sqref="M34:T34 L39:T39 L44:T44 M35:S38 L34:L38 L40:S43 L45:S47">
    <cfRule type="cellIs" dxfId="211" priority="19" operator="lessThan">
      <formula>0</formula>
    </cfRule>
    <cfRule type="cellIs" dxfId="210" priority="20" operator="greaterThan">
      <formula>0</formula>
    </cfRule>
  </conditionalFormatting>
  <conditionalFormatting sqref="T34">
    <cfRule type="cellIs" dxfId="209" priority="17" operator="lessThan">
      <formula>0</formula>
    </cfRule>
    <cfRule type="cellIs" dxfId="208" priority="18" operator="greaterThan">
      <formula>0</formula>
    </cfRule>
  </conditionalFormatting>
  <conditionalFormatting sqref="T39">
    <cfRule type="cellIs" dxfId="207" priority="15" operator="lessThan">
      <formula>0</formula>
    </cfRule>
    <cfRule type="cellIs" dxfId="206" priority="16" operator="greaterThan">
      <formula>0</formula>
    </cfRule>
  </conditionalFormatting>
  <conditionalFormatting sqref="T44">
    <cfRule type="cellIs" dxfId="205" priority="13" operator="lessThan">
      <formula>0</formula>
    </cfRule>
    <cfRule type="cellIs" dxfId="204" priority="14" operator="greaterThan">
      <formula>0</formula>
    </cfRule>
  </conditionalFormatting>
  <conditionalFormatting sqref="T34">
    <cfRule type="cellIs" dxfId="203" priority="11" operator="lessThan">
      <formula>0</formula>
    </cfRule>
    <cfRule type="cellIs" dxfId="202" priority="12" operator="greaterThan">
      <formula>0</formula>
    </cfRule>
  </conditionalFormatting>
  <conditionalFormatting sqref="T39">
    <cfRule type="cellIs" dxfId="201" priority="9" operator="lessThan">
      <formula>0</formula>
    </cfRule>
    <cfRule type="cellIs" dxfId="200" priority="10" operator="greaterThan">
      <formula>0</formula>
    </cfRule>
  </conditionalFormatting>
  <conditionalFormatting sqref="T39">
    <cfRule type="cellIs" dxfId="199" priority="7" operator="lessThan">
      <formula>0</formula>
    </cfRule>
    <cfRule type="cellIs" dxfId="198" priority="8" operator="greaterThan">
      <formula>0</formula>
    </cfRule>
  </conditionalFormatting>
  <conditionalFormatting sqref="T44">
    <cfRule type="cellIs" dxfId="197" priority="5" operator="lessThan">
      <formula>0</formula>
    </cfRule>
    <cfRule type="cellIs" dxfId="196" priority="6" operator="greaterThan">
      <formula>0</formula>
    </cfRule>
  </conditionalFormatting>
  <conditionalFormatting sqref="T44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T44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10" t="s">
        <v>40</v>
      </c>
      <c r="B2" s="11" t="s">
        <v>36</v>
      </c>
    </row>
    <row r="3" spans="1:2" ht="23.25" customHeight="1" thickTop="1" thickBot="1" x14ac:dyDescent="0.3">
      <c r="A3" s="12" t="s">
        <v>48</v>
      </c>
      <c r="B3" s="13"/>
    </row>
    <row r="4" spans="1:2" ht="23.25" customHeight="1" thickBot="1" x14ac:dyDescent="0.3">
      <c r="A4" s="16" t="s">
        <v>49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412"/>
    <col min="12" max="19" width="9.140625" style="408" customWidth="1" outlineLevel="1"/>
    <col min="20" max="20" width="18.28515625" style="412" customWidth="1"/>
    <col min="21" max="21" width="9.140625" style="414"/>
    <col min="22" max="22" width="9.140625" style="408" customWidth="1" outlineLevel="1"/>
    <col min="23" max="29" width="9.140625" customWidth="1" outlineLevel="1"/>
    <col min="30" max="30" width="26.85546875" style="412" customWidth="1"/>
    <col min="31" max="31" width="9.140625" style="412"/>
    <col min="32" max="32" width="9.140625" style="407" customWidth="1" outlineLevel="1"/>
    <col min="33" max="39" width="9.140625" customWidth="1" outlineLevel="1"/>
    <col min="40" max="40" width="26.7109375" style="412" customWidth="1"/>
  </cols>
  <sheetData>
    <row r="1" spans="1:40" ht="16.5" x14ac:dyDescent="0.3">
      <c r="A1" s="1" t="s">
        <v>50</v>
      </c>
      <c r="L1" s="1319" t="s">
        <v>1139</v>
      </c>
      <c r="M1" s="1320"/>
      <c r="N1" s="1320"/>
      <c r="O1" s="1320"/>
      <c r="P1" s="1320"/>
      <c r="Q1" s="1320"/>
      <c r="R1" s="1320"/>
      <c r="S1" s="1320"/>
      <c r="T1" s="1321"/>
      <c r="V1" s="1319" t="s">
        <v>1140</v>
      </c>
      <c r="W1" s="1320"/>
      <c r="X1" s="1320"/>
      <c r="Y1" s="1320"/>
      <c r="Z1" s="1320"/>
      <c r="AA1" s="1320"/>
      <c r="AB1" s="1320"/>
      <c r="AC1" s="1320"/>
      <c r="AD1" s="1321"/>
      <c r="AF1" s="1319" t="s">
        <v>1141</v>
      </c>
      <c r="AG1" s="1320"/>
      <c r="AH1" s="1320"/>
      <c r="AI1" s="1320"/>
      <c r="AJ1" s="1320"/>
      <c r="AK1" s="1320"/>
      <c r="AL1" s="1320"/>
      <c r="AM1" s="1320"/>
      <c r="AN1" s="1321"/>
    </row>
    <row r="2" spans="1:40" ht="17.25" thickBot="1" x14ac:dyDescent="0.35">
      <c r="A2" s="2" t="s">
        <v>8</v>
      </c>
    </row>
    <row r="3" spans="1:40" ht="16.5" thickTop="1" thickBot="1" x14ac:dyDescent="0.3">
      <c r="A3" s="1308" t="s">
        <v>55</v>
      </c>
      <c r="B3" s="1310" t="s">
        <v>2</v>
      </c>
      <c r="C3" s="1315"/>
      <c r="D3" s="1315"/>
      <c r="E3" s="1315"/>
      <c r="F3" s="1315"/>
      <c r="G3" s="1315"/>
      <c r="H3" s="1315"/>
      <c r="I3" s="1315"/>
      <c r="J3" s="1311"/>
      <c r="K3" s="416"/>
    </row>
    <row r="4" spans="1:40" ht="60.75" customHeight="1" thickTop="1" thickBot="1" x14ac:dyDescent="0.3">
      <c r="A4" s="1314"/>
      <c r="B4" s="10" t="s">
        <v>51</v>
      </c>
      <c r="C4" s="137" t="s">
        <v>495</v>
      </c>
      <c r="D4" s="10" t="s">
        <v>52</v>
      </c>
      <c r="E4" s="137" t="s">
        <v>494</v>
      </c>
      <c r="F4" s="10" t="s">
        <v>53</v>
      </c>
      <c r="G4" s="10" t="s">
        <v>54</v>
      </c>
      <c r="H4" s="11" t="s">
        <v>446</v>
      </c>
      <c r="I4" s="10" t="s">
        <v>447</v>
      </c>
      <c r="J4" s="10" t="s">
        <v>14</v>
      </c>
      <c r="K4" s="408"/>
      <c r="L4" s="59" t="s">
        <v>51</v>
      </c>
      <c r="M4" s="459" t="s">
        <v>495</v>
      </c>
      <c r="N4" s="59" t="s">
        <v>52</v>
      </c>
      <c r="O4" s="459" t="s">
        <v>494</v>
      </c>
      <c r="P4" s="59" t="s">
        <v>53</v>
      </c>
      <c r="Q4" s="59" t="s">
        <v>54</v>
      </c>
      <c r="R4" s="459" t="s">
        <v>446</v>
      </c>
      <c r="S4" s="59" t="s">
        <v>447</v>
      </c>
      <c r="T4" s="59" t="s">
        <v>14</v>
      </c>
      <c r="U4" s="408"/>
      <c r="V4" s="59" t="s">
        <v>51</v>
      </c>
      <c r="W4" s="459" t="s">
        <v>495</v>
      </c>
      <c r="X4" s="59" t="s">
        <v>52</v>
      </c>
      <c r="Y4" s="459" t="s">
        <v>494</v>
      </c>
      <c r="Z4" s="59" t="s">
        <v>53</v>
      </c>
      <c r="AA4" s="59" t="s">
        <v>54</v>
      </c>
      <c r="AB4" s="459" t="s">
        <v>446</v>
      </c>
      <c r="AC4" s="59" t="s">
        <v>447</v>
      </c>
      <c r="AD4" s="59" t="s">
        <v>14</v>
      </c>
      <c r="AE4" s="408"/>
      <c r="AF4" s="59" t="s">
        <v>51</v>
      </c>
      <c r="AG4" s="459" t="s">
        <v>495</v>
      </c>
      <c r="AH4" s="59" t="s">
        <v>52</v>
      </c>
      <c r="AI4" s="459" t="s">
        <v>494</v>
      </c>
      <c r="AJ4" s="59" t="s">
        <v>53</v>
      </c>
      <c r="AK4" s="59" t="s">
        <v>54</v>
      </c>
      <c r="AL4" s="459" t="s">
        <v>446</v>
      </c>
      <c r="AM4" s="59" t="s">
        <v>447</v>
      </c>
      <c r="AN4" s="59" t="s">
        <v>14</v>
      </c>
    </row>
    <row r="5" spans="1:40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2"/>
      <c r="J5" s="43"/>
      <c r="K5" s="416"/>
    </row>
    <row r="6" spans="1:40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22"/>
      <c r="J6" s="15">
        <f>SUM(B6:H6)</f>
        <v>0</v>
      </c>
      <c r="T6" s="413">
        <f>SUM(B6:I6)-J6</f>
        <v>0</v>
      </c>
      <c r="V6" s="409">
        <f>B6-B34</f>
        <v>0</v>
      </c>
      <c r="W6" s="409">
        <f t="shared" ref="W6:AB6" si="0">C6-C34</f>
        <v>0</v>
      </c>
      <c r="X6" s="409">
        <f t="shared" si="0"/>
        <v>0</v>
      </c>
      <c r="Y6" s="409">
        <f t="shared" si="0"/>
        <v>0</v>
      </c>
      <c r="Z6" s="409">
        <f t="shared" si="0"/>
        <v>0</v>
      </c>
      <c r="AA6" s="409">
        <f t="shared" si="0"/>
        <v>0</v>
      </c>
      <c r="AB6" s="409">
        <f t="shared" si="0"/>
        <v>0</v>
      </c>
      <c r="AC6" s="409">
        <f>I6-I34</f>
        <v>0</v>
      </c>
      <c r="AD6" s="413">
        <f>J6-J34</f>
        <v>0</v>
      </c>
    </row>
    <row r="7" spans="1:40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22"/>
      <c r="J7" s="15">
        <f t="shared" ref="J7:J9" si="1">SUM(B7:H7)</f>
        <v>0</v>
      </c>
      <c r="T7" s="413">
        <f t="shared" ref="T7:T9" si="2">SUM(B7:I7)-J7</f>
        <v>0</v>
      </c>
      <c r="W7" s="408"/>
      <c r="X7" s="408"/>
      <c r="Y7" s="408"/>
      <c r="Z7" s="408"/>
      <c r="AA7" s="408"/>
      <c r="AB7" s="408"/>
      <c r="AC7" s="408"/>
    </row>
    <row r="8" spans="1:40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22"/>
      <c r="J8" s="15">
        <f t="shared" si="1"/>
        <v>0</v>
      </c>
      <c r="T8" s="413">
        <f t="shared" si="2"/>
        <v>0</v>
      </c>
      <c r="W8" s="408"/>
      <c r="X8" s="408"/>
      <c r="Y8" s="408"/>
      <c r="Z8" s="408"/>
      <c r="AA8" s="408"/>
      <c r="AB8" s="408"/>
      <c r="AC8" s="408"/>
    </row>
    <row r="9" spans="1:40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22"/>
      <c r="J9" s="15">
        <f t="shared" si="1"/>
        <v>0</v>
      </c>
      <c r="T9" s="413">
        <f t="shared" si="2"/>
        <v>0</v>
      </c>
      <c r="W9" s="408"/>
      <c r="X9" s="408"/>
      <c r="Y9" s="408"/>
      <c r="Z9" s="408"/>
      <c r="AA9" s="408"/>
      <c r="AB9" s="408"/>
      <c r="AC9" s="408"/>
    </row>
    <row r="10" spans="1:40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26">
        <f>I6+I7-I8+I9</f>
        <v>0</v>
      </c>
      <c r="J10" s="17">
        <f>J6+J7-J8+J9</f>
        <v>0</v>
      </c>
      <c r="L10" s="410">
        <f>B6+B7-B8+B9-B10</f>
        <v>0</v>
      </c>
      <c r="M10" s="409">
        <f t="shared" ref="M10:T10" si="4">C6+C7-C8+C9-C10</f>
        <v>0</v>
      </c>
      <c r="N10" s="409">
        <f t="shared" si="4"/>
        <v>0</v>
      </c>
      <c r="O10" s="409">
        <f t="shared" si="4"/>
        <v>0</v>
      </c>
      <c r="P10" s="409">
        <f t="shared" si="4"/>
        <v>0</v>
      </c>
      <c r="Q10" s="409">
        <f t="shared" si="4"/>
        <v>0</v>
      </c>
      <c r="R10" s="409">
        <f t="shared" si="4"/>
        <v>0</v>
      </c>
      <c r="S10" s="409">
        <f t="shared" si="4"/>
        <v>0</v>
      </c>
      <c r="T10" s="409">
        <f t="shared" si="4"/>
        <v>0</v>
      </c>
      <c r="W10" s="408"/>
      <c r="X10" s="408"/>
      <c r="Y10" s="408"/>
      <c r="Z10" s="408"/>
      <c r="AA10" s="408"/>
      <c r="AB10" s="408"/>
      <c r="AC10" s="408"/>
      <c r="AF10" s="410">
        <f>B10-BS!$D$31</f>
        <v>0</v>
      </c>
      <c r="AG10" s="409">
        <f>C10-BS!$D$32</f>
        <v>0</v>
      </c>
      <c r="AH10" s="409">
        <f>D10-BS!$D$33</f>
        <v>0</v>
      </c>
      <c r="AI10" s="409">
        <f>E10-BS!$D$34</f>
        <v>0</v>
      </c>
      <c r="AJ10" s="409">
        <f>F10-BS!$D$35</f>
        <v>0</v>
      </c>
      <c r="AK10" s="409">
        <f>G10-BS!$D$36</f>
        <v>0</v>
      </c>
      <c r="AL10" s="409">
        <f>H10-BS!$D$37</f>
        <v>0</v>
      </c>
      <c r="AM10" s="409">
        <f>I10-BS!$D$38</f>
        <v>0</v>
      </c>
      <c r="AN10" s="413">
        <f>J10-BS!$D$30</f>
        <v>0</v>
      </c>
    </row>
    <row r="11" spans="1:40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2"/>
      <c r="J11" s="43"/>
      <c r="L11" s="407"/>
      <c r="T11" s="413"/>
      <c r="W11" s="408"/>
      <c r="X11" s="408"/>
      <c r="Y11" s="408"/>
      <c r="Z11" s="408"/>
      <c r="AA11" s="408"/>
      <c r="AB11" s="408"/>
      <c r="AC11" s="408"/>
    </row>
    <row r="12" spans="1:40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22"/>
      <c r="J12" s="15">
        <f>SUM(B12:H12)</f>
        <v>0</v>
      </c>
      <c r="L12" s="407"/>
      <c r="T12" s="413">
        <f t="shared" ref="T12:T14" si="5">SUM(B12:I12)-J12</f>
        <v>0</v>
      </c>
      <c r="V12" s="409">
        <f>B12-B39</f>
        <v>0</v>
      </c>
      <c r="W12" s="409">
        <f t="shared" ref="W12:AB12" si="6">C12-C39</f>
        <v>0</v>
      </c>
      <c r="X12" s="409">
        <f t="shared" si="6"/>
        <v>0</v>
      </c>
      <c r="Y12" s="409">
        <f t="shared" si="6"/>
        <v>0</v>
      </c>
      <c r="Z12" s="409">
        <f>F12-F39</f>
        <v>0</v>
      </c>
      <c r="AA12" s="409">
        <f t="shared" si="6"/>
        <v>0</v>
      </c>
      <c r="AB12" s="409">
        <f t="shared" si="6"/>
        <v>0</v>
      </c>
      <c r="AC12" s="409">
        <f>I12-I39</f>
        <v>0</v>
      </c>
      <c r="AD12" s="413">
        <f>J12-J39</f>
        <v>0</v>
      </c>
    </row>
    <row r="13" spans="1:40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22"/>
      <c r="J13" s="15">
        <f t="shared" ref="J13:J14" si="7">SUM(B13:H13)</f>
        <v>0</v>
      </c>
      <c r="L13" s="407"/>
      <c r="T13" s="413">
        <f t="shared" si="5"/>
        <v>0</v>
      </c>
      <c r="W13" s="408"/>
      <c r="X13" s="408"/>
      <c r="Y13" s="408"/>
      <c r="Z13" s="408"/>
      <c r="AA13" s="408"/>
      <c r="AB13" s="408"/>
      <c r="AC13" s="408"/>
    </row>
    <row r="14" spans="1:40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22"/>
      <c r="J14" s="15">
        <f t="shared" si="7"/>
        <v>0</v>
      </c>
      <c r="L14" s="407"/>
      <c r="T14" s="413">
        <f t="shared" si="5"/>
        <v>0</v>
      </c>
      <c r="W14" s="408"/>
      <c r="X14" s="408"/>
      <c r="Y14" s="408"/>
      <c r="Z14" s="408"/>
      <c r="AA14" s="408"/>
      <c r="AB14" s="408"/>
      <c r="AC14" s="408"/>
      <c r="AF14" s="415" t="s">
        <v>1142</v>
      </c>
    </row>
    <row r="15" spans="1:40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I15" si="8">D12+D13-D14</f>
        <v>0</v>
      </c>
      <c r="E15" s="26">
        <f t="shared" si="8"/>
        <v>0</v>
      </c>
      <c r="F15" s="26">
        <f t="shared" si="8"/>
        <v>0</v>
      </c>
      <c r="G15" s="26">
        <f>G12+G13-G14</f>
        <v>0</v>
      </c>
      <c r="H15" s="26">
        <f t="shared" si="8"/>
        <v>0</v>
      </c>
      <c r="I15" s="26">
        <f t="shared" si="8"/>
        <v>0</v>
      </c>
      <c r="J15" s="17">
        <f>J12+J13-J14</f>
        <v>0</v>
      </c>
      <c r="L15" s="410">
        <f>B12+B13-B14-B15</f>
        <v>0</v>
      </c>
      <c r="M15" s="409">
        <f t="shared" ref="M15:T15" si="9">C12+C13-C14-C15</f>
        <v>0</v>
      </c>
      <c r="N15" s="409">
        <f t="shared" si="9"/>
        <v>0</v>
      </c>
      <c r="O15" s="409">
        <f t="shared" si="9"/>
        <v>0</v>
      </c>
      <c r="P15" s="409">
        <f t="shared" si="9"/>
        <v>0</v>
      </c>
      <c r="Q15" s="409">
        <f t="shared" si="9"/>
        <v>0</v>
      </c>
      <c r="R15" s="409">
        <f t="shared" si="9"/>
        <v>0</v>
      </c>
      <c r="S15" s="409">
        <f t="shared" si="9"/>
        <v>0</v>
      </c>
      <c r="T15" s="409">
        <f t="shared" si="9"/>
        <v>0</v>
      </c>
      <c r="W15" s="408"/>
      <c r="X15" s="408"/>
      <c r="Y15" s="408"/>
      <c r="Z15" s="408"/>
      <c r="AA15" s="408"/>
      <c r="AB15" s="408"/>
      <c r="AC15" s="408"/>
      <c r="AF15" s="410">
        <f>B15+B20-BS!$E$31</f>
        <v>0</v>
      </c>
      <c r="AG15" s="409">
        <f>C15+C20-BS!$E$32</f>
        <v>0</v>
      </c>
      <c r="AH15" s="409">
        <f>D15+D20-BS!$E$33</f>
        <v>0</v>
      </c>
      <c r="AI15" s="409">
        <f>E15+E20-BS!$E$34</f>
        <v>0</v>
      </c>
      <c r="AJ15" s="409">
        <f>F15+F20-BS!$E$35</f>
        <v>0</v>
      </c>
      <c r="AK15" s="409">
        <f>G15+G20-BS!$E$36</f>
        <v>0</v>
      </c>
      <c r="AL15" s="409">
        <f>H15+H20-BS!$E$37</f>
        <v>0</v>
      </c>
      <c r="AM15" s="409">
        <f>I15+I20-BS!$E$38</f>
        <v>0</v>
      </c>
      <c r="AN15" s="413">
        <f>J15+J20-BS!$E$30</f>
        <v>0</v>
      </c>
    </row>
    <row r="16" spans="1:40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2"/>
      <c r="J16" s="43"/>
      <c r="L16" s="407"/>
      <c r="T16" s="413"/>
      <c r="W16" s="408"/>
      <c r="X16" s="408"/>
      <c r="Y16" s="408"/>
      <c r="Z16" s="408"/>
      <c r="AA16" s="408"/>
      <c r="AB16" s="408"/>
      <c r="AC16" s="408"/>
      <c r="AG16" s="408"/>
      <c r="AH16" s="408"/>
      <c r="AI16" s="408"/>
      <c r="AJ16" s="408"/>
      <c r="AK16" s="408"/>
      <c r="AL16" s="408"/>
    </row>
    <row r="17" spans="1:40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22"/>
      <c r="J17" s="15">
        <f>SUM(B17:H17)</f>
        <v>0</v>
      </c>
      <c r="L17" s="407"/>
      <c r="T17" s="413">
        <f t="shared" ref="T17:T19" si="10">SUM(B17:I17)-J17</f>
        <v>0</v>
      </c>
      <c r="V17" s="409">
        <f>B17-B44</f>
        <v>0</v>
      </c>
      <c r="W17" s="409">
        <f t="shared" ref="W17:AB17" si="11">C17-C44</f>
        <v>0</v>
      </c>
      <c r="X17" s="409">
        <f t="shared" si="11"/>
        <v>0</v>
      </c>
      <c r="Y17" s="409">
        <f t="shared" si="11"/>
        <v>0</v>
      </c>
      <c r="Z17" s="409">
        <f t="shared" si="11"/>
        <v>0</v>
      </c>
      <c r="AA17" s="409">
        <f t="shared" si="11"/>
        <v>0</v>
      </c>
      <c r="AB17" s="409">
        <f t="shared" si="11"/>
        <v>0</v>
      </c>
      <c r="AC17" s="409">
        <f>I17-I44</f>
        <v>0</v>
      </c>
      <c r="AD17" s="413">
        <f>J17-J44</f>
        <v>0</v>
      </c>
      <c r="AG17" s="408"/>
      <c r="AH17" s="408"/>
      <c r="AI17" s="408"/>
      <c r="AJ17" s="408"/>
      <c r="AK17" s="408"/>
      <c r="AL17" s="408"/>
    </row>
    <row r="18" spans="1:40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22"/>
      <c r="J18" s="15">
        <f t="shared" ref="J18:J19" si="12">SUM(B18:H18)</f>
        <v>0</v>
      </c>
      <c r="L18" s="407"/>
      <c r="T18" s="413">
        <f t="shared" si="10"/>
        <v>0</v>
      </c>
      <c r="W18" s="408"/>
      <c r="X18" s="408"/>
      <c r="Y18" s="408"/>
      <c r="Z18" s="408"/>
      <c r="AA18" s="408"/>
      <c r="AB18" s="408"/>
      <c r="AC18" s="408"/>
      <c r="AG18" s="408"/>
      <c r="AH18" s="408"/>
      <c r="AI18" s="408"/>
      <c r="AJ18" s="408"/>
      <c r="AK18" s="408"/>
      <c r="AL18" s="408"/>
    </row>
    <row r="19" spans="1:40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22"/>
      <c r="J19" s="15">
        <f t="shared" si="12"/>
        <v>0</v>
      </c>
      <c r="L19" s="407"/>
      <c r="T19" s="413">
        <f t="shared" si="10"/>
        <v>0</v>
      </c>
      <c r="W19" s="408"/>
      <c r="X19" s="408"/>
      <c r="Y19" s="408"/>
      <c r="Z19" s="408"/>
      <c r="AA19" s="408"/>
      <c r="AB19" s="408"/>
      <c r="AC19" s="408"/>
      <c r="AG19" s="408"/>
      <c r="AH19" s="408"/>
      <c r="AI19" s="408"/>
      <c r="AJ19" s="408"/>
      <c r="AK19" s="408"/>
      <c r="AL19" s="408"/>
    </row>
    <row r="20" spans="1:40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3">D17+D18-D19</f>
        <v>0</v>
      </c>
      <c r="E20" s="26">
        <f t="shared" ref="E20" si="14">E17+E18-E19</f>
        <v>0</v>
      </c>
      <c r="F20" s="26">
        <f t="shared" ref="F20" si="15">F17+F18-F19</f>
        <v>0</v>
      </c>
      <c r="G20" s="26">
        <f t="shared" ref="G20" si="16">G17+G18-G19</f>
        <v>0</v>
      </c>
      <c r="H20" s="26">
        <f t="shared" ref="H20" si="17">H17+H18-H19</f>
        <v>0</v>
      </c>
      <c r="I20" s="26">
        <f t="shared" ref="I20" si="18">I17+I18-I19</f>
        <v>0</v>
      </c>
      <c r="J20" s="17">
        <f>J17+J18-J19</f>
        <v>0</v>
      </c>
      <c r="L20" s="410">
        <f>B17+B18-B19-B20</f>
        <v>0</v>
      </c>
      <c r="M20" s="409">
        <f t="shared" ref="M20:T20" si="19">C17+C18-C19-C20</f>
        <v>0</v>
      </c>
      <c r="N20" s="409">
        <f t="shared" si="19"/>
        <v>0</v>
      </c>
      <c r="O20" s="409">
        <f t="shared" si="19"/>
        <v>0</v>
      </c>
      <c r="P20" s="409">
        <f t="shared" si="19"/>
        <v>0</v>
      </c>
      <c r="Q20" s="409">
        <f t="shared" si="19"/>
        <v>0</v>
      </c>
      <c r="R20" s="409">
        <f t="shared" si="19"/>
        <v>0</v>
      </c>
      <c r="S20" s="409">
        <f t="shared" si="19"/>
        <v>0</v>
      </c>
      <c r="T20" s="409">
        <f t="shared" si="19"/>
        <v>0</v>
      </c>
      <c r="W20" s="408"/>
      <c r="X20" s="408"/>
      <c r="Y20" s="408"/>
      <c r="Z20" s="408"/>
      <c r="AA20" s="408"/>
      <c r="AB20" s="408"/>
      <c r="AC20" s="408"/>
      <c r="AG20" s="408"/>
      <c r="AH20" s="408"/>
      <c r="AI20" s="408"/>
      <c r="AJ20" s="408"/>
      <c r="AK20" s="408"/>
      <c r="AL20" s="408"/>
    </row>
    <row r="21" spans="1:40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2"/>
      <c r="J21" s="43"/>
      <c r="L21" s="407"/>
      <c r="T21" s="413"/>
      <c r="W21" s="408"/>
      <c r="X21" s="408"/>
      <c r="Y21" s="408"/>
      <c r="Z21" s="408"/>
      <c r="AA21" s="408"/>
      <c r="AB21" s="408"/>
      <c r="AC21" s="408"/>
      <c r="AG21" s="408"/>
      <c r="AH21" s="408"/>
      <c r="AI21" s="408"/>
      <c r="AJ21" s="408"/>
      <c r="AK21" s="408"/>
      <c r="AL21" s="408"/>
    </row>
    <row r="22" spans="1:40" ht="15" customHeight="1" thickTop="1" thickBot="1" x14ac:dyDescent="0.3">
      <c r="A22" s="44" t="s">
        <v>32</v>
      </c>
      <c r="B22" s="22">
        <f>B6-B12-B17</f>
        <v>0</v>
      </c>
      <c r="C22" s="22">
        <f t="shared" ref="C22:J22" si="20">C6-C12-C17</f>
        <v>0</v>
      </c>
      <c r="D22" s="22">
        <f t="shared" si="20"/>
        <v>0</v>
      </c>
      <c r="E22" s="22">
        <f t="shared" si="20"/>
        <v>0</v>
      </c>
      <c r="F22" s="22">
        <f t="shared" si="20"/>
        <v>0</v>
      </c>
      <c r="G22" s="22">
        <f t="shared" si="20"/>
        <v>0</v>
      </c>
      <c r="H22" s="22">
        <f t="shared" si="20"/>
        <v>0</v>
      </c>
      <c r="I22" s="22">
        <f t="shared" si="20"/>
        <v>0</v>
      </c>
      <c r="J22" s="15">
        <f t="shared" si="20"/>
        <v>0</v>
      </c>
      <c r="L22" s="410">
        <f>B6-B12-B17-B22</f>
        <v>0</v>
      </c>
      <c r="M22" s="409">
        <f t="shared" ref="M22:S22" si="21">C6-C12-C17-C22</f>
        <v>0</v>
      </c>
      <c r="N22" s="409">
        <f t="shared" si="21"/>
        <v>0</v>
      </c>
      <c r="O22" s="409">
        <f t="shared" si="21"/>
        <v>0</v>
      </c>
      <c r="P22" s="409">
        <f t="shared" si="21"/>
        <v>0</v>
      </c>
      <c r="Q22" s="409">
        <f t="shared" si="21"/>
        <v>0</v>
      </c>
      <c r="R22" s="409">
        <f t="shared" si="21"/>
        <v>0</v>
      </c>
      <c r="S22" s="409">
        <f t="shared" si="21"/>
        <v>0</v>
      </c>
      <c r="T22" s="413">
        <f t="shared" ref="T22:T23" si="22">SUM(B22:I22)-J22</f>
        <v>0</v>
      </c>
      <c r="V22" s="409">
        <f>B22-B47</f>
        <v>0</v>
      </c>
      <c r="W22" s="409">
        <f t="shared" ref="W22:AB22" si="23">C22-C47</f>
        <v>0</v>
      </c>
      <c r="X22" s="409">
        <f t="shared" si="23"/>
        <v>0</v>
      </c>
      <c r="Y22" s="409">
        <f t="shared" si="23"/>
        <v>0</v>
      </c>
      <c r="Z22" s="409">
        <f t="shared" si="23"/>
        <v>0</v>
      </c>
      <c r="AA22" s="409">
        <f t="shared" si="23"/>
        <v>0</v>
      </c>
      <c r="AB22" s="409">
        <f t="shared" si="23"/>
        <v>0</v>
      </c>
      <c r="AC22" s="409">
        <f>I22-I47</f>
        <v>0</v>
      </c>
      <c r="AD22" s="413">
        <f>J22-J47</f>
        <v>0</v>
      </c>
      <c r="AG22" s="408"/>
      <c r="AH22" s="408"/>
      <c r="AI22" s="408"/>
      <c r="AJ22" s="408"/>
      <c r="AK22" s="408"/>
      <c r="AL22" s="408"/>
    </row>
    <row r="23" spans="1:40" ht="15" customHeight="1" thickBot="1" x14ac:dyDescent="0.3">
      <c r="A23" s="25" t="s">
        <v>30</v>
      </c>
      <c r="B23" s="26">
        <f>B10-B15-B20</f>
        <v>0</v>
      </c>
      <c r="C23" s="26">
        <f t="shared" ref="C23:J23" si="24">C10-C15-C20</f>
        <v>0</v>
      </c>
      <c r="D23" s="26">
        <f t="shared" si="24"/>
        <v>0</v>
      </c>
      <c r="E23" s="26">
        <f t="shared" si="24"/>
        <v>0</v>
      </c>
      <c r="F23" s="26">
        <f t="shared" si="24"/>
        <v>0</v>
      </c>
      <c r="G23" s="26">
        <f t="shared" si="24"/>
        <v>0</v>
      </c>
      <c r="H23" s="26">
        <f t="shared" si="24"/>
        <v>0</v>
      </c>
      <c r="I23" s="26">
        <f t="shared" si="24"/>
        <v>0</v>
      </c>
      <c r="J23" s="17">
        <f t="shared" si="24"/>
        <v>0</v>
      </c>
      <c r="L23" s="410">
        <f>B10-B15-B20-B23</f>
        <v>0</v>
      </c>
      <c r="M23" s="409">
        <f t="shared" ref="M23:S23" si="25">C10-C15-C20-C23</f>
        <v>0</v>
      </c>
      <c r="N23" s="409">
        <f t="shared" si="25"/>
        <v>0</v>
      </c>
      <c r="O23" s="409">
        <f t="shared" si="25"/>
        <v>0</v>
      </c>
      <c r="P23" s="409">
        <f t="shared" si="25"/>
        <v>0</v>
      </c>
      <c r="Q23" s="409">
        <f t="shared" si="25"/>
        <v>0</v>
      </c>
      <c r="R23" s="409">
        <f t="shared" si="25"/>
        <v>0</v>
      </c>
      <c r="S23" s="409">
        <f t="shared" si="25"/>
        <v>0</v>
      </c>
      <c r="T23" s="413">
        <f t="shared" si="22"/>
        <v>0</v>
      </c>
      <c r="AF23" s="410">
        <f>B23-BS!$F$31</f>
        <v>0</v>
      </c>
      <c r="AG23" s="409">
        <f>C23-BS!$F$32</f>
        <v>0</v>
      </c>
      <c r="AH23" s="409">
        <f>D23-BS!$F$33</f>
        <v>0</v>
      </c>
      <c r="AI23" s="409">
        <f>E23-BS!$F$34</f>
        <v>0</v>
      </c>
      <c r="AJ23" s="409">
        <f>F23-BS!$F$35</f>
        <v>0</v>
      </c>
      <c r="AK23" s="409">
        <f>G23-BS!$F$36</f>
        <v>0</v>
      </c>
      <c r="AL23" s="409">
        <f>H23-BS!$F$37</f>
        <v>0</v>
      </c>
      <c r="AM23" s="409">
        <f>I23-BS!$F$38</f>
        <v>0</v>
      </c>
      <c r="AN23" s="413">
        <f>J23-BS!$F$30</f>
        <v>0</v>
      </c>
    </row>
    <row r="24" spans="1:40" ht="15.75" thickTop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</row>
    <row r="25" spans="1:40" x14ac:dyDescent="0.25">
      <c r="A25" s="20"/>
      <c r="B25" s="20"/>
      <c r="C25" s="20"/>
      <c r="D25" s="20"/>
      <c r="E25" s="20"/>
      <c r="F25" s="20"/>
      <c r="G25" s="20"/>
      <c r="H25" s="20"/>
      <c r="I25" s="20"/>
      <c r="J25" s="20"/>
    </row>
    <row r="26" spans="1:40" ht="15.75" thickBot="1" x14ac:dyDescent="0.3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</row>
    <row r="27" spans="1:40" ht="16.5" thickTop="1" thickBot="1" x14ac:dyDescent="0.3">
      <c r="A27" s="1308" t="s">
        <v>55</v>
      </c>
      <c r="B27" s="1310" t="s">
        <v>3</v>
      </c>
      <c r="C27" s="1315"/>
      <c r="D27" s="1315"/>
      <c r="E27" s="1315"/>
      <c r="F27" s="1315"/>
      <c r="G27" s="1315"/>
      <c r="H27" s="1315"/>
      <c r="I27" s="1315"/>
      <c r="J27" s="1311"/>
      <c r="K27" s="416"/>
    </row>
    <row r="28" spans="1:40" ht="60.75" customHeight="1" thickTop="1" thickBot="1" x14ac:dyDescent="0.3">
      <c r="A28" s="1314"/>
      <c r="B28" s="136" t="s">
        <v>51</v>
      </c>
      <c r="C28" s="137" t="s">
        <v>495</v>
      </c>
      <c r="D28" s="136" t="s">
        <v>52</v>
      </c>
      <c r="E28" s="137" t="s">
        <v>494</v>
      </c>
      <c r="F28" s="136" t="s">
        <v>53</v>
      </c>
      <c r="G28" s="136" t="s">
        <v>54</v>
      </c>
      <c r="H28" s="137" t="s">
        <v>446</v>
      </c>
      <c r="I28" s="136" t="s">
        <v>447</v>
      </c>
      <c r="J28" s="136" t="s">
        <v>14</v>
      </c>
    </row>
    <row r="29" spans="1:40" ht="15" customHeight="1" thickTop="1" thickBot="1" x14ac:dyDescent="0.3">
      <c r="A29" s="41" t="s">
        <v>25</v>
      </c>
      <c r="B29" s="42"/>
      <c r="C29" s="42"/>
      <c r="D29" s="42"/>
      <c r="E29" s="42"/>
      <c r="F29" s="42"/>
      <c r="G29" s="42"/>
      <c r="H29" s="42"/>
      <c r="I29" s="42"/>
      <c r="J29" s="43"/>
      <c r="K29" s="416"/>
    </row>
    <row r="30" spans="1:40" ht="15" customHeight="1" thickTop="1" thickBot="1" x14ac:dyDescent="0.3">
      <c r="A30" s="44" t="s">
        <v>26</v>
      </c>
      <c r="B30" s="22"/>
      <c r="C30" s="22"/>
      <c r="D30" s="22"/>
      <c r="E30" s="22"/>
      <c r="F30" s="45"/>
      <c r="G30" s="22"/>
      <c r="H30" s="22"/>
      <c r="I30" s="22"/>
      <c r="J30" s="15">
        <f>SUM(B30:H30)</f>
        <v>0</v>
      </c>
      <c r="T30" s="413">
        <f>SUM(B30:I30)-J30</f>
        <v>0</v>
      </c>
    </row>
    <row r="31" spans="1:40" ht="15" customHeight="1" thickBot="1" x14ac:dyDescent="0.3">
      <c r="A31" s="14" t="s">
        <v>27</v>
      </c>
      <c r="B31" s="22"/>
      <c r="C31" s="22"/>
      <c r="D31" s="22"/>
      <c r="E31" s="22"/>
      <c r="F31" s="46"/>
      <c r="G31" s="22"/>
      <c r="H31" s="22"/>
      <c r="I31" s="22"/>
      <c r="J31" s="15">
        <f t="shared" ref="J31:J33" si="26">SUM(B31:H31)</f>
        <v>0</v>
      </c>
      <c r="T31" s="413">
        <f t="shared" ref="T31:T33" si="27">SUM(B31:I31)-J31</f>
        <v>0</v>
      </c>
    </row>
    <row r="32" spans="1:40" ht="15" customHeight="1" thickBot="1" x14ac:dyDescent="0.3">
      <c r="A32" s="14" t="s">
        <v>28</v>
      </c>
      <c r="B32" s="22"/>
      <c r="C32" s="22"/>
      <c r="D32" s="22"/>
      <c r="E32" s="22"/>
      <c r="F32" s="46"/>
      <c r="G32" s="22"/>
      <c r="H32" s="22"/>
      <c r="I32" s="22"/>
      <c r="J32" s="15">
        <f t="shared" si="26"/>
        <v>0</v>
      </c>
      <c r="T32" s="413">
        <f t="shared" si="27"/>
        <v>0</v>
      </c>
    </row>
    <row r="33" spans="1:40" ht="15" customHeight="1" thickBot="1" x14ac:dyDescent="0.3">
      <c r="A33" s="14" t="s">
        <v>29</v>
      </c>
      <c r="B33" s="22"/>
      <c r="C33" s="22"/>
      <c r="D33" s="22"/>
      <c r="E33" s="22"/>
      <c r="F33" s="46"/>
      <c r="G33" s="22"/>
      <c r="H33" s="22"/>
      <c r="I33" s="22"/>
      <c r="J33" s="15">
        <f t="shared" si="26"/>
        <v>0</v>
      </c>
      <c r="T33" s="413">
        <f t="shared" si="27"/>
        <v>0</v>
      </c>
    </row>
    <row r="34" spans="1:40" ht="15" customHeight="1" thickBot="1" x14ac:dyDescent="0.3">
      <c r="A34" s="25" t="s">
        <v>30</v>
      </c>
      <c r="B34" s="26">
        <f>B30+B31-B32+B33</f>
        <v>0</v>
      </c>
      <c r="C34" s="26">
        <f>C30+C31-C32+C33</f>
        <v>0</v>
      </c>
      <c r="D34" s="26">
        <f>D30+D31-D32+D33</f>
        <v>0</v>
      </c>
      <c r="E34" s="26">
        <f t="shared" ref="E34:H34" si="28">E30+E31-E32+E33</f>
        <v>0</v>
      </c>
      <c r="F34" s="26">
        <f t="shared" si="28"/>
        <v>0</v>
      </c>
      <c r="G34" s="26">
        <f t="shared" si="28"/>
        <v>0</v>
      </c>
      <c r="H34" s="26">
        <f t="shared" si="28"/>
        <v>0</v>
      </c>
      <c r="I34" s="26">
        <f>I30+I31-I32+I33</f>
        <v>0</v>
      </c>
      <c r="J34" s="17">
        <f>J30+J31-J32+J33</f>
        <v>0</v>
      </c>
      <c r="L34" s="410">
        <f>B30+B31-B32+B33-B34</f>
        <v>0</v>
      </c>
      <c r="M34" s="409">
        <f t="shared" ref="M34:T34" si="29">C30+C31-C32+C33-C34</f>
        <v>0</v>
      </c>
      <c r="N34" s="409">
        <f t="shared" si="29"/>
        <v>0</v>
      </c>
      <c r="O34" s="409">
        <f t="shared" si="29"/>
        <v>0</v>
      </c>
      <c r="P34" s="409">
        <f t="shared" si="29"/>
        <v>0</v>
      </c>
      <c r="Q34" s="409">
        <f t="shared" si="29"/>
        <v>0</v>
      </c>
      <c r="R34" s="409">
        <f t="shared" si="29"/>
        <v>0</v>
      </c>
      <c r="S34" s="409">
        <f t="shared" si="29"/>
        <v>0</v>
      </c>
      <c r="T34" s="409">
        <f t="shared" si="29"/>
        <v>0</v>
      </c>
    </row>
    <row r="35" spans="1:40" ht="15" customHeight="1" thickTop="1" thickBot="1" x14ac:dyDescent="0.3">
      <c r="A35" s="41" t="s">
        <v>31</v>
      </c>
      <c r="B35" s="42"/>
      <c r="C35" s="42"/>
      <c r="D35" s="42"/>
      <c r="E35" s="42"/>
      <c r="F35" s="42"/>
      <c r="G35" s="42"/>
      <c r="H35" s="42"/>
      <c r="I35" s="42"/>
      <c r="J35" s="43"/>
      <c r="L35" s="407"/>
      <c r="T35" s="413"/>
    </row>
    <row r="36" spans="1:40" ht="15" customHeight="1" thickTop="1" thickBot="1" x14ac:dyDescent="0.3">
      <c r="A36" s="44" t="s">
        <v>32</v>
      </c>
      <c r="B36" s="22"/>
      <c r="C36" s="22"/>
      <c r="D36" s="22"/>
      <c r="E36" s="22"/>
      <c r="F36" s="22"/>
      <c r="G36" s="22"/>
      <c r="H36" s="22"/>
      <c r="I36" s="22"/>
      <c r="J36" s="15">
        <f>SUM(B36:H36)</f>
        <v>0</v>
      </c>
      <c r="L36" s="407"/>
      <c r="T36" s="413">
        <f t="shared" ref="T36:T38" si="30">SUM(B36:I36)-J36</f>
        <v>0</v>
      </c>
    </row>
    <row r="37" spans="1:40" ht="15" customHeight="1" thickBot="1" x14ac:dyDescent="0.3">
      <c r="A37" s="14" t="s">
        <v>27</v>
      </c>
      <c r="B37" s="22"/>
      <c r="C37" s="22"/>
      <c r="D37" s="22"/>
      <c r="E37" s="22"/>
      <c r="F37" s="22"/>
      <c r="G37" s="22"/>
      <c r="H37" s="22"/>
      <c r="I37" s="22"/>
      <c r="J37" s="15">
        <f t="shared" ref="J37:J38" si="31">SUM(B37:H37)</f>
        <v>0</v>
      </c>
      <c r="L37" s="407"/>
      <c r="T37" s="413">
        <f t="shared" si="30"/>
        <v>0</v>
      </c>
    </row>
    <row r="38" spans="1:40" ht="15" customHeight="1" thickBot="1" x14ac:dyDescent="0.3">
      <c r="A38" s="14" t="s">
        <v>28</v>
      </c>
      <c r="B38" s="22"/>
      <c r="C38" s="22"/>
      <c r="D38" s="22"/>
      <c r="E38" s="22"/>
      <c r="F38" s="22"/>
      <c r="G38" s="22"/>
      <c r="H38" s="22"/>
      <c r="I38" s="22"/>
      <c r="J38" s="15">
        <f t="shared" si="31"/>
        <v>0</v>
      </c>
      <c r="L38" s="407"/>
      <c r="T38" s="413">
        <f t="shared" si="30"/>
        <v>0</v>
      </c>
    </row>
    <row r="39" spans="1:40" ht="15" customHeight="1" thickBot="1" x14ac:dyDescent="0.3">
      <c r="A39" s="25" t="s">
        <v>30</v>
      </c>
      <c r="B39" s="26">
        <f>B36+B37-B38</f>
        <v>0</v>
      </c>
      <c r="C39" s="26">
        <f>C36+C37-C38</f>
        <v>0</v>
      </c>
      <c r="D39" s="26">
        <f t="shared" ref="D39:I39" si="32">D36+D37-D38</f>
        <v>0</v>
      </c>
      <c r="E39" s="26">
        <f t="shared" si="32"/>
        <v>0</v>
      </c>
      <c r="F39" s="26">
        <f t="shared" si="32"/>
        <v>0</v>
      </c>
      <c r="G39" s="26">
        <f t="shared" si="32"/>
        <v>0</v>
      </c>
      <c r="H39" s="26">
        <f t="shared" si="32"/>
        <v>0</v>
      </c>
      <c r="I39" s="26">
        <f t="shared" si="32"/>
        <v>0</v>
      </c>
      <c r="J39" s="17">
        <f>J36+J37-J38</f>
        <v>0</v>
      </c>
      <c r="L39" s="410">
        <f>B36+B37-B38-B39</f>
        <v>0</v>
      </c>
      <c r="M39" s="409">
        <f t="shared" ref="M39:T39" si="33">C36+C37-C38-C39</f>
        <v>0</v>
      </c>
      <c r="N39" s="409">
        <f t="shared" si="33"/>
        <v>0</v>
      </c>
      <c r="O39" s="409">
        <f t="shared" si="33"/>
        <v>0</v>
      </c>
      <c r="P39" s="409">
        <f t="shared" si="33"/>
        <v>0</v>
      </c>
      <c r="Q39" s="409">
        <f t="shared" si="33"/>
        <v>0</v>
      </c>
      <c r="R39" s="409">
        <f t="shared" si="33"/>
        <v>0</v>
      </c>
      <c r="S39" s="409">
        <f t="shared" si="33"/>
        <v>0</v>
      </c>
      <c r="T39" s="409">
        <f t="shared" si="33"/>
        <v>0</v>
      </c>
    </row>
    <row r="40" spans="1:40" ht="15" customHeight="1" thickTop="1" thickBot="1" x14ac:dyDescent="0.3">
      <c r="A40" s="41" t="s">
        <v>33</v>
      </c>
      <c r="B40" s="42"/>
      <c r="C40" s="42"/>
      <c r="D40" s="42"/>
      <c r="E40" s="42"/>
      <c r="F40" s="42"/>
      <c r="G40" s="42"/>
      <c r="H40" s="42"/>
      <c r="I40" s="42"/>
      <c r="J40" s="43"/>
      <c r="L40" s="407"/>
      <c r="T40" s="413"/>
    </row>
    <row r="41" spans="1:40" ht="15" customHeight="1" thickTop="1" thickBot="1" x14ac:dyDescent="0.3">
      <c r="A41" s="44" t="s">
        <v>32</v>
      </c>
      <c r="B41" s="22"/>
      <c r="C41" s="22"/>
      <c r="D41" s="22"/>
      <c r="E41" s="22"/>
      <c r="F41" s="22"/>
      <c r="G41" s="22"/>
      <c r="H41" s="22"/>
      <c r="I41" s="22"/>
      <c r="J41" s="15">
        <f>SUM(B41:H41)</f>
        <v>0</v>
      </c>
      <c r="L41" s="407"/>
      <c r="T41" s="413">
        <f t="shared" ref="T41:T43" si="34">SUM(B41:I41)-J41</f>
        <v>0</v>
      </c>
    </row>
    <row r="42" spans="1:40" ht="15" customHeight="1" thickBot="1" x14ac:dyDescent="0.3">
      <c r="A42" s="14" t="s">
        <v>27</v>
      </c>
      <c r="B42" s="22"/>
      <c r="C42" s="22"/>
      <c r="D42" s="22"/>
      <c r="E42" s="22"/>
      <c r="F42" s="22"/>
      <c r="G42" s="22"/>
      <c r="H42" s="22"/>
      <c r="I42" s="22"/>
      <c r="J42" s="15">
        <f t="shared" ref="J42:J43" si="35">SUM(B42:H42)</f>
        <v>0</v>
      </c>
      <c r="L42" s="407"/>
      <c r="T42" s="413">
        <f t="shared" si="34"/>
        <v>0</v>
      </c>
    </row>
    <row r="43" spans="1:40" ht="15" customHeight="1" thickBot="1" x14ac:dyDescent="0.3">
      <c r="A43" s="14" t="s">
        <v>28</v>
      </c>
      <c r="B43" s="22"/>
      <c r="C43" s="22"/>
      <c r="D43" s="22"/>
      <c r="E43" s="22"/>
      <c r="F43" s="22"/>
      <c r="G43" s="22"/>
      <c r="H43" s="22"/>
      <c r="I43" s="22"/>
      <c r="J43" s="15">
        <f t="shared" si="35"/>
        <v>0</v>
      </c>
      <c r="L43" s="407"/>
      <c r="T43" s="413">
        <f t="shared" si="34"/>
        <v>0</v>
      </c>
    </row>
    <row r="44" spans="1:40" ht="15" customHeight="1" thickBot="1" x14ac:dyDescent="0.3">
      <c r="A44" s="25" t="s">
        <v>30</v>
      </c>
      <c r="B44" s="26">
        <f>B41+B42-B43</f>
        <v>0</v>
      </c>
      <c r="C44" s="26">
        <f>C41+C42-C43</f>
        <v>0</v>
      </c>
      <c r="D44" s="26">
        <f t="shared" ref="D44:I44" si="36">D41+D42-D43</f>
        <v>0</v>
      </c>
      <c r="E44" s="26">
        <f t="shared" si="36"/>
        <v>0</v>
      </c>
      <c r="F44" s="26">
        <f t="shared" si="36"/>
        <v>0</v>
      </c>
      <c r="G44" s="26">
        <f t="shared" si="36"/>
        <v>0</v>
      </c>
      <c r="H44" s="26">
        <f t="shared" si="36"/>
        <v>0</v>
      </c>
      <c r="I44" s="26">
        <f t="shared" si="36"/>
        <v>0</v>
      </c>
      <c r="J44" s="17">
        <f>J41+J42-J43</f>
        <v>0</v>
      </c>
      <c r="L44" s="410">
        <f>B41+B42-B43-B44</f>
        <v>0</v>
      </c>
      <c r="M44" s="409">
        <f t="shared" ref="M44:T44" si="37">C41+C42-C43-C44</f>
        <v>0</v>
      </c>
      <c r="N44" s="409">
        <f t="shared" si="37"/>
        <v>0</v>
      </c>
      <c r="O44" s="409">
        <f t="shared" si="37"/>
        <v>0</v>
      </c>
      <c r="P44" s="409">
        <f t="shared" si="37"/>
        <v>0</v>
      </c>
      <c r="Q44" s="409">
        <f t="shared" si="37"/>
        <v>0</v>
      </c>
      <c r="R44" s="409">
        <f t="shared" si="37"/>
        <v>0</v>
      </c>
      <c r="S44" s="409">
        <f t="shared" si="37"/>
        <v>0</v>
      </c>
      <c r="T44" s="409">
        <f t="shared" si="37"/>
        <v>0</v>
      </c>
    </row>
    <row r="45" spans="1:40" ht="15" customHeight="1" thickTop="1" thickBot="1" x14ac:dyDescent="0.3">
      <c r="A45" s="41" t="s">
        <v>34</v>
      </c>
      <c r="B45" s="42"/>
      <c r="C45" s="42"/>
      <c r="D45" s="42"/>
      <c r="E45" s="42"/>
      <c r="F45" s="42"/>
      <c r="G45" s="42"/>
      <c r="H45" s="42"/>
      <c r="I45" s="42"/>
      <c r="J45" s="43"/>
      <c r="L45" s="407"/>
      <c r="T45" s="413"/>
    </row>
    <row r="46" spans="1:40" ht="15" customHeight="1" thickTop="1" thickBot="1" x14ac:dyDescent="0.3">
      <c r="A46" s="44" t="s">
        <v>32</v>
      </c>
      <c r="B46" s="22">
        <f>B30-B36-B41</f>
        <v>0</v>
      </c>
      <c r="C46" s="22">
        <f t="shared" ref="C46:J46" si="38">C30-C36-C41</f>
        <v>0</v>
      </c>
      <c r="D46" s="22">
        <f t="shared" si="38"/>
        <v>0</v>
      </c>
      <c r="E46" s="22">
        <f t="shared" si="38"/>
        <v>0</v>
      </c>
      <c r="F46" s="22">
        <f t="shared" si="38"/>
        <v>0</v>
      </c>
      <c r="G46" s="22">
        <f t="shared" si="38"/>
        <v>0</v>
      </c>
      <c r="H46" s="22">
        <f t="shared" si="38"/>
        <v>0</v>
      </c>
      <c r="I46" s="22">
        <f t="shared" si="38"/>
        <v>0</v>
      </c>
      <c r="J46" s="15">
        <f t="shared" si="38"/>
        <v>0</v>
      </c>
      <c r="L46" s="410">
        <f>B30-B36-B41-B46</f>
        <v>0</v>
      </c>
      <c r="M46" s="409">
        <f t="shared" ref="M46:S46" si="39">C30-C36-C41-C46</f>
        <v>0</v>
      </c>
      <c r="N46" s="409">
        <f t="shared" si="39"/>
        <v>0</v>
      </c>
      <c r="O46" s="409">
        <f t="shared" si="39"/>
        <v>0</v>
      </c>
      <c r="P46" s="409">
        <f t="shared" si="39"/>
        <v>0</v>
      </c>
      <c r="Q46" s="409">
        <f t="shared" si="39"/>
        <v>0</v>
      </c>
      <c r="R46" s="409">
        <f t="shared" si="39"/>
        <v>0</v>
      </c>
      <c r="S46" s="409">
        <f t="shared" si="39"/>
        <v>0</v>
      </c>
      <c r="T46" s="413">
        <f t="shared" ref="T46:T47" si="40">SUM(B46:I46)-J46</f>
        <v>0</v>
      </c>
    </row>
    <row r="47" spans="1:40" ht="15" customHeight="1" thickBot="1" x14ac:dyDescent="0.3">
      <c r="A47" s="25" t="s">
        <v>30</v>
      </c>
      <c r="B47" s="26">
        <f>B34-B39-B44</f>
        <v>0</v>
      </c>
      <c r="C47" s="26">
        <f t="shared" ref="C47:J47" si="41">C34-C39-C44</f>
        <v>0</v>
      </c>
      <c r="D47" s="26">
        <f t="shared" si="41"/>
        <v>0</v>
      </c>
      <c r="E47" s="26">
        <f t="shared" si="41"/>
        <v>0</v>
      </c>
      <c r="F47" s="26">
        <f t="shared" si="41"/>
        <v>0</v>
      </c>
      <c r="G47" s="26">
        <f t="shared" si="41"/>
        <v>0</v>
      </c>
      <c r="H47" s="26">
        <f t="shared" si="41"/>
        <v>0</v>
      </c>
      <c r="I47" s="26">
        <f t="shared" si="41"/>
        <v>0</v>
      </c>
      <c r="J47" s="17">
        <f t="shared" si="41"/>
        <v>0</v>
      </c>
      <c r="L47" s="410">
        <f>B34-B39-B44-B47</f>
        <v>0</v>
      </c>
      <c r="M47" s="409">
        <f t="shared" ref="M47:S47" si="42">C34-C39-C44-C47</f>
        <v>0</v>
      </c>
      <c r="N47" s="409">
        <f t="shared" si="42"/>
        <v>0</v>
      </c>
      <c r="O47" s="409">
        <f t="shared" si="42"/>
        <v>0</v>
      </c>
      <c r="P47" s="409">
        <f t="shared" si="42"/>
        <v>0</v>
      </c>
      <c r="Q47" s="409">
        <f t="shared" si="42"/>
        <v>0</v>
      </c>
      <c r="R47" s="409">
        <f t="shared" si="42"/>
        <v>0</v>
      </c>
      <c r="S47" s="409">
        <f t="shared" si="42"/>
        <v>0</v>
      </c>
      <c r="T47" s="413">
        <f t="shared" si="40"/>
        <v>0</v>
      </c>
      <c r="AF47" s="410">
        <f>B47-BS!$G$31</f>
        <v>0</v>
      </c>
      <c r="AG47" s="409">
        <f>C47-BS!$G$32</f>
        <v>0</v>
      </c>
      <c r="AH47" s="409">
        <f>D47-BS!$G$33</f>
        <v>0</v>
      </c>
      <c r="AI47" s="409">
        <f>E47-BS!$G$34</f>
        <v>0</v>
      </c>
      <c r="AJ47" s="409">
        <f>F47-BS!$G$35</f>
        <v>0</v>
      </c>
      <c r="AK47" s="409">
        <f>G47-BS!$G$36</f>
        <v>0</v>
      </c>
      <c r="AL47" s="409">
        <f>H47-BS!$G$37</f>
        <v>0</v>
      </c>
      <c r="AM47" s="409">
        <f>I47-BS!$G$38</f>
        <v>0</v>
      </c>
      <c r="AN47" s="413">
        <f>J47-BS!$G$30</f>
        <v>0</v>
      </c>
    </row>
    <row r="48" spans="1:40" ht="15.75" thickTop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</row>
    <row r="49" spans="1:10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</row>
    <row r="50" spans="1:10" x14ac:dyDescent="0.25">
      <c r="A50" s="18"/>
      <c r="B50" s="18"/>
      <c r="C50" s="18"/>
      <c r="D50" s="18"/>
      <c r="E50" s="18"/>
      <c r="F50" s="18"/>
      <c r="G50" s="18"/>
      <c r="H50" s="18"/>
      <c r="I50" s="18"/>
      <c r="J50" s="18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191" priority="61" operator="lessThan">
      <formula>0</formula>
    </cfRule>
    <cfRule type="cellIs" dxfId="190" priority="62" operator="greaterThan">
      <formula>0</formula>
    </cfRule>
  </conditionalFormatting>
  <conditionalFormatting sqref="L30:T47">
    <cfRule type="cellIs" dxfId="189" priority="59" operator="lessThan">
      <formula>0</formula>
    </cfRule>
    <cfRule type="cellIs" dxfId="188" priority="60" operator="greaterThan">
      <formula>0</formula>
    </cfRule>
  </conditionalFormatting>
  <conditionalFormatting sqref="AF30:AN47">
    <cfRule type="cellIs" dxfId="187" priority="57" operator="lessThan">
      <formula>0</formula>
    </cfRule>
    <cfRule type="cellIs" dxfId="186" priority="58" operator="greaterThan">
      <formula>0</formula>
    </cfRule>
  </conditionalFormatting>
  <conditionalFormatting sqref="L30:T47">
    <cfRule type="cellIs" dxfId="185" priority="55" operator="lessThan">
      <formula>0</formula>
    </cfRule>
    <cfRule type="cellIs" dxfId="184" priority="56" operator="greaterThan">
      <formula>0</formula>
    </cfRule>
  </conditionalFormatting>
  <conditionalFormatting sqref="L6:T23">
    <cfRule type="cellIs" dxfId="183" priority="53" operator="lessThan">
      <formula>0</formula>
    </cfRule>
    <cfRule type="cellIs" dxfId="182" priority="54" operator="greaterThan">
      <formula>0</formula>
    </cfRule>
  </conditionalFormatting>
  <conditionalFormatting sqref="L30:T47">
    <cfRule type="cellIs" dxfId="181" priority="51" operator="lessThan">
      <formula>0</formula>
    </cfRule>
    <cfRule type="cellIs" dxfId="180" priority="52" operator="greaterThan">
      <formula>0</formula>
    </cfRule>
  </conditionalFormatting>
  <conditionalFormatting sqref="L30:T47">
    <cfRule type="cellIs" dxfId="179" priority="49" operator="lessThan">
      <formula>0</formula>
    </cfRule>
    <cfRule type="cellIs" dxfId="178" priority="50" operator="greaterThan">
      <formula>0</formula>
    </cfRule>
  </conditionalFormatting>
  <conditionalFormatting sqref="L6:T23">
    <cfRule type="cellIs" dxfId="177" priority="47" operator="lessThan">
      <formula>0</formula>
    </cfRule>
    <cfRule type="cellIs" dxfId="176" priority="48" operator="greaterThan">
      <formula>0</formula>
    </cfRule>
  </conditionalFormatting>
  <conditionalFormatting sqref="L30:T47">
    <cfRule type="cellIs" dxfId="175" priority="45" operator="lessThan">
      <formula>0</formula>
    </cfRule>
    <cfRule type="cellIs" dxfId="174" priority="46" operator="greaterThan">
      <formula>0</formula>
    </cfRule>
  </conditionalFormatting>
  <conditionalFormatting sqref="L30:T47">
    <cfRule type="cellIs" dxfId="173" priority="43" operator="lessThan">
      <formula>0</formula>
    </cfRule>
    <cfRule type="cellIs" dxfId="172" priority="44" operator="greaterThan">
      <formula>0</formula>
    </cfRule>
  </conditionalFormatting>
  <conditionalFormatting sqref="M10:T10 L15:T15 L20:T20 M11:S14 L10:L14 L16:S19 L21:S23">
    <cfRule type="cellIs" dxfId="171" priority="41" operator="lessThan">
      <formula>0</formula>
    </cfRule>
    <cfRule type="cellIs" dxfId="170" priority="42" operator="greaterThan">
      <formula>0</formula>
    </cfRule>
  </conditionalFormatting>
  <conditionalFormatting sqref="T10">
    <cfRule type="cellIs" dxfId="169" priority="39" operator="lessThan">
      <formula>0</formula>
    </cfRule>
    <cfRule type="cellIs" dxfId="168" priority="40" operator="greaterThan">
      <formula>0</formula>
    </cfRule>
  </conditionalFormatting>
  <conditionalFormatting sqref="T15">
    <cfRule type="cellIs" dxfId="167" priority="37" operator="lessThan">
      <formula>0</formula>
    </cfRule>
    <cfRule type="cellIs" dxfId="166" priority="38" operator="greaterThan">
      <formula>0</formula>
    </cfRule>
  </conditionalFormatting>
  <conditionalFormatting sqref="T20">
    <cfRule type="cellIs" dxfId="165" priority="35" operator="lessThan">
      <formula>0</formula>
    </cfRule>
    <cfRule type="cellIs" dxfId="164" priority="36" operator="greaterThan">
      <formula>0</formula>
    </cfRule>
  </conditionalFormatting>
  <conditionalFormatting sqref="T10">
    <cfRule type="cellIs" dxfId="163" priority="33" operator="lessThan">
      <formula>0</formula>
    </cfRule>
    <cfRule type="cellIs" dxfId="162" priority="34" operator="greaterThan">
      <formula>0</formula>
    </cfRule>
  </conditionalFormatting>
  <conditionalFormatting sqref="T15">
    <cfRule type="cellIs" dxfId="161" priority="31" operator="lessThan">
      <formula>0</formula>
    </cfRule>
    <cfRule type="cellIs" dxfId="160" priority="32" operator="greaterThan">
      <formula>0</formula>
    </cfRule>
  </conditionalFormatting>
  <conditionalFormatting sqref="T15">
    <cfRule type="cellIs" dxfId="159" priority="29" operator="lessThan">
      <formula>0</formula>
    </cfRule>
    <cfRule type="cellIs" dxfId="158" priority="30" operator="greaterThan">
      <formula>0</formula>
    </cfRule>
  </conditionalFormatting>
  <conditionalFormatting sqref="T20">
    <cfRule type="cellIs" dxfId="157" priority="27" operator="lessThan">
      <formula>0</formula>
    </cfRule>
    <cfRule type="cellIs" dxfId="156" priority="28" operator="greaterThan">
      <formula>0</formula>
    </cfRule>
  </conditionalFormatting>
  <conditionalFormatting sqref="T20">
    <cfRule type="cellIs" dxfId="155" priority="25" operator="lessThan">
      <formula>0</formula>
    </cfRule>
    <cfRule type="cellIs" dxfId="154" priority="26" operator="greaterThan">
      <formula>0</formula>
    </cfRule>
  </conditionalFormatting>
  <conditionalFormatting sqref="T20">
    <cfRule type="cellIs" dxfId="153" priority="23" operator="lessThan">
      <formula>0</formula>
    </cfRule>
    <cfRule type="cellIs" dxfId="152" priority="24" operator="greaterThan">
      <formula>0</formula>
    </cfRule>
  </conditionalFormatting>
  <conditionalFormatting sqref="L30:T47">
    <cfRule type="cellIs" dxfId="151" priority="21" operator="lessThan">
      <formula>0</formula>
    </cfRule>
    <cfRule type="cellIs" dxfId="150" priority="22" operator="greaterThan">
      <formula>0</formula>
    </cfRule>
  </conditionalFormatting>
  <conditionalFormatting sqref="M34:T34 L39:T39 L44:T44 M35:S38 L34:L38 L40:S43 L45:S47">
    <cfRule type="cellIs" dxfId="149" priority="19" operator="lessThan">
      <formula>0</formula>
    </cfRule>
    <cfRule type="cellIs" dxfId="148" priority="20" operator="greaterThan">
      <formula>0</formula>
    </cfRule>
  </conditionalFormatting>
  <conditionalFormatting sqref="T34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T39">
    <cfRule type="cellIs" dxfId="145" priority="15" operator="lessThan">
      <formula>0</formula>
    </cfRule>
    <cfRule type="cellIs" dxfId="144" priority="16" operator="greaterThan">
      <formula>0</formula>
    </cfRule>
  </conditionalFormatting>
  <conditionalFormatting sqref="T44">
    <cfRule type="cellIs" dxfId="143" priority="13" operator="lessThan">
      <formula>0</formula>
    </cfRule>
    <cfRule type="cellIs" dxfId="142" priority="14" operator="greaterThan">
      <formula>0</formula>
    </cfRule>
  </conditionalFormatting>
  <conditionalFormatting sqref="T34">
    <cfRule type="cellIs" dxfId="141" priority="11" operator="lessThan">
      <formula>0</formula>
    </cfRule>
    <cfRule type="cellIs" dxfId="140" priority="12" operator="greaterThan">
      <formula>0</formula>
    </cfRule>
  </conditionalFormatting>
  <conditionalFormatting sqref="T39">
    <cfRule type="cellIs" dxfId="139" priority="9" operator="lessThan">
      <formula>0</formula>
    </cfRule>
    <cfRule type="cellIs" dxfId="138" priority="10" operator="greaterThan">
      <formula>0</formula>
    </cfRule>
  </conditionalFormatting>
  <conditionalFormatting sqref="T39">
    <cfRule type="cellIs" dxfId="137" priority="7" operator="lessThan">
      <formula>0</formula>
    </cfRule>
    <cfRule type="cellIs" dxfId="136" priority="8" operator="greaterThan">
      <formula>0</formula>
    </cfRule>
  </conditionalFormatting>
  <conditionalFormatting sqref="T44">
    <cfRule type="cellIs" dxfId="135" priority="5" operator="lessThan">
      <formula>0</formula>
    </cfRule>
    <cfRule type="cellIs" dxfId="134" priority="6" operator="greaterThan">
      <formula>0</formula>
    </cfRule>
  </conditionalFormatting>
  <conditionalFormatting sqref="T44">
    <cfRule type="cellIs" dxfId="133" priority="3" operator="lessThan">
      <formula>0</formula>
    </cfRule>
    <cfRule type="cellIs" dxfId="132" priority="4" operator="greaterThan">
      <formula>0</formula>
    </cfRule>
  </conditionalFormatting>
  <conditionalFormatting sqref="T44">
    <cfRule type="cellIs" dxfId="131" priority="1" operator="lessThan">
      <formula>0</formula>
    </cfRule>
    <cfRule type="cellIs" dxfId="1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657" t="s">
        <v>55</v>
      </c>
      <c r="B2" s="11" t="s">
        <v>36</v>
      </c>
    </row>
    <row r="3" spans="1:2" ht="23.25" customHeight="1" thickTop="1" thickBot="1" x14ac:dyDescent="0.3">
      <c r="A3" s="12" t="s">
        <v>57</v>
      </c>
      <c r="B3" s="13"/>
    </row>
    <row r="4" spans="1:2" ht="23.25" customHeight="1" thickBot="1" x14ac:dyDescent="0.3">
      <c r="A4" s="16" t="s">
        <v>58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thickTop="1" thickBot="1" x14ac:dyDescent="0.3">
      <c r="A2" s="1308" t="s">
        <v>60</v>
      </c>
      <c r="B2" s="1322" t="s">
        <v>2</v>
      </c>
      <c r="C2" s="1323"/>
      <c r="D2" s="1323"/>
      <c r="E2" s="1323"/>
      <c r="F2" s="1324"/>
    </row>
    <row r="3" spans="1:6" ht="70.5" customHeight="1" thickBot="1" x14ac:dyDescent="0.3">
      <c r="A3" s="1314"/>
      <c r="B3" s="57" t="s">
        <v>61</v>
      </c>
      <c r="C3" s="57" t="s">
        <v>62</v>
      </c>
      <c r="D3" s="40" t="s">
        <v>448</v>
      </c>
      <c r="E3" s="57" t="s">
        <v>449</v>
      </c>
      <c r="F3" s="57" t="s">
        <v>64</v>
      </c>
    </row>
    <row r="4" spans="1:6" ht="16.5" thickTop="1" thickBot="1" x14ac:dyDescent="0.3">
      <c r="A4" s="138" t="s">
        <v>65</v>
      </c>
      <c r="B4" s="53"/>
      <c r="C4" s="53"/>
      <c r="D4" s="53"/>
      <c r="E4" s="53"/>
      <c r="F4" s="54"/>
    </row>
    <row r="5" spans="1:6" ht="16.5" thickTop="1" thickBot="1" x14ac:dyDescent="0.3">
      <c r="A5" s="139"/>
      <c r="B5" s="55"/>
      <c r="C5" s="55"/>
      <c r="D5" s="22"/>
      <c r="E5" s="22"/>
      <c r="F5" s="15"/>
    </row>
    <row r="6" spans="1:6" ht="15.75" thickBot="1" x14ac:dyDescent="0.3">
      <c r="A6" s="139"/>
      <c r="B6" s="55"/>
      <c r="C6" s="55"/>
      <c r="D6" s="22"/>
      <c r="E6" s="22"/>
      <c r="F6" s="15"/>
    </row>
    <row r="7" spans="1:6" ht="15.75" thickBot="1" x14ac:dyDescent="0.3">
      <c r="A7" s="140"/>
      <c r="B7" s="56"/>
      <c r="C7" s="56"/>
      <c r="D7" s="26"/>
      <c r="E7" s="26"/>
      <c r="F7" s="17"/>
    </row>
    <row r="8" spans="1:6" ht="16.5" thickTop="1" thickBot="1" x14ac:dyDescent="0.3">
      <c r="A8" s="138" t="s">
        <v>66</v>
      </c>
      <c r="B8" s="53"/>
      <c r="C8" s="53"/>
      <c r="D8" s="53"/>
      <c r="E8" s="53"/>
      <c r="F8" s="54"/>
    </row>
    <row r="9" spans="1:6" ht="16.5" thickTop="1" thickBot="1" x14ac:dyDescent="0.3">
      <c r="A9" s="139"/>
      <c r="B9" s="55"/>
      <c r="C9" s="55"/>
      <c r="D9" s="22"/>
      <c r="E9" s="22"/>
      <c r="F9" s="15"/>
    </row>
    <row r="10" spans="1:6" ht="15.75" thickBot="1" x14ac:dyDescent="0.3">
      <c r="A10" s="139"/>
      <c r="B10" s="55"/>
      <c r="C10" s="55"/>
      <c r="D10" s="22"/>
      <c r="E10" s="22"/>
      <c r="F10" s="15"/>
    </row>
    <row r="11" spans="1:6" ht="15.75" thickBot="1" x14ac:dyDescent="0.3">
      <c r="A11" s="140"/>
      <c r="B11" s="56"/>
      <c r="C11" s="56"/>
      <c r="D11" s="26"/>
      <c r="E11" s="26"/>
      <c r="F11" s="17"/>
    </row>
    <row r="12" spans="1:6" ht="16.5" thickTop="1" thickBot="1" x14ac:dyDescent="0.3">
      <c r="A12" s="138" t="s">
        <v>67</v>
      </c>
      <c r="B12" s="53"/>
      <c r="C12" s="53"/>
      <c r="D12" s="53"/>
      <c r="E12" s="53"/>
      <c r="F12" s="54"/>
    </row>
    <row r="13" spans="1:6" ht="16.5" thickTop="1" thickBot="1" x14ac:dyDescent="0.3">
      <c r="A13" s="139"/>
      <c r="B13" s="55"/>
      <c r="C13" s="55"/>
      <c r="D13" s="22"/>
      <c r="E13" s="22"/>
      <c r="F13" s="15"/>
    </row>
    <row r="14" spans="1:6" thickBot="1" x14ac:dyDescent="0.4">
      <c r="A14" s="139"/>
      <c r="B14" s="55"/>
      <c r="C14" s="55"/>
      <c r="D14" s="22"/>
      <c r="E14" s="22"/>
      <c r="F14" s="15"/>
    </row>
    <row r="15" spans="1:6" thickBot="1" x14ac:dyDescent="0.4">
      <c r="A15" s="140"/>
      <c r="B15" s="56"/>
      <c r="C15" s="56"/>
      <c r="D15" s="26"/>
      <c r="E15" s="26"/>
      <c r="F15" s="17"/>
    </row>
    <row r="16" spans="1:6" ht="16.5" thickTop="1" thickBot="1" x14ac:dyDescent="0.3">
      <c r="A16" s="138" t="s">
        <v>68</v>
      </c>
      <c r="B16" s="53"/>
      <c r="C16" s="53"/>
      <c r="D16" s="53"/>
      <c r="E16" s="53"/>
      <c r="F16" s="54"/>
    </row>
    <row r="17" spans="1:6" ht="15.6" thickTop="1" thickBot="1" x14ac:dyDescent="0.4">
      <c r="A17" s="141"/>
      <c r="B17" s="55"/>
      <c r="C17" s="55"/>
      <c r="D17" s="22"/>
      <c r="E17" s="22"/>
      <c r="F17" s="15"/>
    </row>
    <row r="18" spans="1:6" thickBot="1" x14ac:dyDescent="0.4">
      <c r="A18" s="86"/>
      <c r="B18" s="56"/>
      <c r="C18" s="56"/>
      <c r="D18" s="173"/>
      <c r="E18" s="47"/>
      <c r="F18" s="174"/>
    </row>
    <row r="19" spans="1:6" ht="24" thickTop="1" thickBot="1" x14ac:dyDescent="0.3">
      <c r="A19" s="25" t="s">
        <v>69</v>
      </c>
      <c r="B19" s="34" t="s">
        <v>18</v>
      </c>
      <c r="C19" s="34" t="s">
        <v>18</v>
      </c>
      <c r="D19" s="34" t="s">
        <v>18</v>
      </c>
      <c r="E19" s="34" t="s">
        <v>18</v>
      </c>
      <c r="F19" s="17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412"/>
    <col min="9" max="9" width="9.140625" style="407" customWidth="1" outlineLevel="1"/>
    <col min="10" max="11" width="9.140625" customWidth="1" outlineLevel="1"/>
    <col min="12" max="12" width="17" customWidth="1" outlineLevel="1"/>
    <col min="13" max="13" width="19.7109375" style="412" customWidth="1"/>
  </cols>
  <sheetData>
    <row r="1" spans="1:13" ht="17.25" thickBot="1" x14ac:dyDescent="0.35">
      <c r="A1" s="1" t="s">
        <v>70</v>
      </c>
      <c r="I1" s="1325" t="s">
        <v>1139</v>
      </c>
      <c r="J1" s="1326"/>
      <c r="K1" s="1326"/>
      <c r="L1" s="1326"/>
      <c r="M1" s="1327"/>
    </row>
    <row r="2" spans="1:13" ht="74.25" customHeight="1" thickTop="1" thickBot="1" x14ac:dyDescent="0.3">
      <c r="A2" s="59" t="s">
        <v>452</v>
      </c>
      <c r="B2" s="59" t="s">
        <v>71</v>
      </c>
      <c r="C2" s="38" t="s">
        <v>450</v>
      </c>
      <c r="D2" s="59" t="s">
        <v>72</v>
      </c>
      <c r="E2" s="59" t="s">
        <v>73</v>
      </c>
      <c r="F2" s="38" t="s">
        <v>451</v>
      </c>
      <c r="G2" s="59" t="s">
        <v>79</v>
      </c>
      <c r="H2" s="408"/>
      <c r="I2" s="59" t="s">
        <v>450</v>
      </c>
      <c r="J2" s="59" t="s">
        <v>72</v>
      </c>
      <c r="K2" s="59" t="s">
        <v>73</v>
      </c>
      <c r="L2" s="177" t="s">
        <v>451</v>
      </c>
      <c r="M2" s="59" t="s">
        <v>79</v>
      </c>
    </row>
    <row r="3" spans="1:13" ht="27" customHeight="1" thickTop="1" thickBot="1" x14ac:dyDescent="0.3">
      <c r="A3" s="14" t="s">
        <v>74</v>
      </c>
      <c r="B3" s="62"/>
      <c r="C3" s="22"/>
      <c r="D3" s="22"/>
      <c r="E3" s="22"/>
      <c r="F3" s="22"/>
      <c r="G3" s="15">
        <f>SUM(C3:F3)</f>
        <v>0</v>
      </c>
      <c r="J3" s="408"/>
      <c r="K3" s="408"/>
      <c r="L3" s="408"/>
      <c r="M3" s="413">
        <f>SUM(C3:F3)-G3</f>
        <v>0</v>
      </c>
    </row>
    <row r="4" spans="1:13" ht="27" customHeight="1" thickBot="1" x14ac:dyDescent="0.3">
      <c r="A4" s="14" t="s">
        <v>75</v>
      </c>
      <c r="B4" s="62"/>
      <c r="C4" s="22"/>
      <c r="D4" s="22"/>
      <c r="E4" s="22"/>
      <c r="F4" s="22"/>
      <c r="G4" s="15">
        <f>SUM(C4:F4)</f>
        <v>0</v>
      </c>
      <c r="J4" s="408"/>
      <c r="K4" s="408"/>
      <c r="L4" s="408"/>
      <c r="M4" s="413">
        <f t="shared" ref="M4" si="0">SUM(C4:F4)-G4</f>
        <v>0</v>
      </c>
    </row>
    <row r="5" spans="1:13" ht="27" customHeight="1" thickBot="1" x14ac:dyDescent="0.3">
      <c r="A5" s="14" t="s">
        <v>76</v>
      </c>
      <c r="B5" s="62"/>
      <c r="C5" s="22"/>
      <c r="D5" s="22"/>
      <c r="E5" s="22"/>
      <c r="F5" s="22"/>
      <c r="G5" s="15">
        <f>SUM(C5:F5)</f>
        <v>0</v>
      </c>
      <c r="J5" s="408"/>
      <c r="K5" s="408"/>
      <c r="L5" s="408"/>
      <c r="M5" s="413">
        <f>SUM(C5:F5)-G5</f>
        <v>0</v>
      </c>
    </row>
    <row r="6" spans="1:13" ht="27" customHeight="1" thickBot="1" x14ac:dyDescent="0.3">
      <c r="A6" s="14" t="s">
        <v>77</v>
      </c>
      <c r="B6" s="62"/>
      <c r="C6" s="22"/>
      <c r="D6" s="22"/>
      <c r="E6" s="22"/>
      <c r="F6" s="22"/>
      <c r="G6" s="15">
        <f>SUM(C6:F6)</f>
        <v>0</v>
      </c>
      <c r="J6" s="408"/>
      <c r="K6" s="408"/>
      <c r="L6" s="408"/>
      <c r="M6" s="413">
        <f>SUM(C6:F6)-G6</f>
        <v>0</v>
      </c>
    </row>
    <row r="7" spans="1:13" ht="27" customHeight="1" thickBot="1" x14ac:dyDescent="0.3">
      <c r="A7" s="25" t="s">
        <v>78</v>
      </c>
      <c r="B7" s="61" t="s">
        <v>18</v>
      </c>
      <c r="C7" s="58">
        <f>SUM(C3:C6)</f>
        <v>0</v>
      </c>
      <c r="D7" s="58">
        <f>SUM(D3:D6)</f>
        <v>0</v>
      </c>
      <c r="E7" s="58">
        <f>SUM(E3:E6)</f>
        <v>0</v>
      </c>
      <c r="F7" s="58">
        <f>SUM(F3:F6)</f>
        <v>0</v>
      </c>
      <c r="G7" s="60">
        <f>SUM(G3:G6)</f>
        <v>0</v>
      </c>
      <c r="I7" s="410">
        <f>SUM(C3:C6)-C7</f>
        <v>0</v>
      </c>
      <c r="J7" s="409">
        <f>SUM(D3:D6)-D7</f>
        <v>0</v>
      </c>
      <c r="K7" s="409">
        <f>SUM(E3:E6)-E7</f>
        <v>0</v>
      </c>
      <c r="L7" s="409">
        <f>SUM(F3:F6)-F7</f>
        <v>0</v>
      </c>
      <c r="M7" s="413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129" priority="5" operator="lessThan">
      <formula>0</formula>
    </cfRule>
    <cfRule type="cellIs" dxfId="128" priority="6" operator="greaterThan">
      <formula>0</formula>
    </cfRule>
    <cfRule type="cellIs" dxfId="127" priority="7" operator="lessThan">
      <formula>0</formula>
    </cfRule>
    <cfRule type="cellIs" dxfId="126" priority="8" operator="greaterThan">
      <formula>0</formula>
    </cfRule>
  </conditionalFormatting>
  <conditionalFormatting sqref="I3:M7">
    <cfRule type="cellIs" dxfId="125" priority="1" operator="lessThan">
      <formula>0</formula>
    </cfRule>
    <cfRule type="cellIs" dxfId="124" priority="2" operator="greaterThan">
      <formula>0</formula>
    </cfRule>
    <cfRule type="cellIs" dxfId="123" priority="3" operator="lessThan">
      <formula>0</formula>
    </cfRule>
    <cfRule type="cellIs" dxfId="1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412" customWidth="1"/>
    <col min="8" max="8" width="9.140625" style="407" customWidth="1" outlineLevel="1"/>
    <col min="9" max="11" width="9.140625" customWidth="1" outlineLevel="1"/>
    <col min="12" max="12" width="23.5703125" style="412" customWidth="1"/>
  </cols>
  <sheetData>
    <row r="1" spans="1:12" ht="17.25" thickBot="1" x14ac:dyDescent="0.35">
      <c r="A1" s="1" t="s">
        <v>80</v>
      </c>
      <c r="H1" s="1319" t="s">
        <v>1139</v>
      </c>
      <c r="I1" s="1320"/>
      <c r="J1" s="1320"/>
      <c r="K1" s="1320"/>
      <c r="L1" s="1321"/>
    </row>
    <row r="2" spans="1:12" ht="58.5" customHeight="1" thickTop="1" thickBot="1" x14ac:dyDescent="0.3">
      <c r="A2" s="59" t="s">
        <v>81</v>
      </c>
      <c r="B2" s="38" t="s">
        <v>450</v>
      </c>
      <c r="C2" s="59" t="s">
        <v>72</v>
      </c>
      <c r="D2" s="59" t="s">
        <v>73</v>
      </c>
      <c r="E2" s="59" t="s">
        <v>453</v>
      </c>
      <c r="F2" s="38" t="s">
        <v>30</v>
      </c>
      <c r="G2" s="408"/>
      <c r="H2" s="59" t="s">
        <v>450</v>
      </c>
      <c r="I2" s="59" t="s">
        <v>72</v>
      </c>
      <c r="J2" s="59" t="s">
        <v>73</v>
      </c>
      <c r="K2" s="59" t="s">
        <v>453</v>
      </c>
      <c r="L2" s="59" t="s">
        <v>30</v>
      </c>
    </row>
    <row r="3" spans="1:12" ht="27" customHeight="1" thickTop="1" thickBot="1" x14ac:dyDescent="0.3">
      <c r="A3" s="14" t="s">
        <v>74</v>
      </c>
      <c r="B3" s="22"/>
      <c r="C3" s="22"/>
      <c r="D3" s="22"/>
      <c r="E3" s="22"/>
      <c r="F3" s="15">
        <f>SUM(B3:E3)</f>
        <v>0</v>
      </c>
      <c r="I3" s="408"/>
      <c r="J3" s="408"/>
      <c r="K3" s="408"/>
      <c r="L3" s="413">
        <f>SUM(B3:E3)-F3</f>
        <v>0</v>
      </c>
    </row>
    <row r="4" spans="1:12" ht="27" customHeight="1" thickBot="1" x14ac:dyDescent="0.3">
      <c r="A4" s="14" t="s">
        <v>82</v>
      </c>
      <c r="B4" s="22"/>
      <c r="C4" s="22"/>
      <c r="D4" s="22"/>
      <c r="E4" s="22"/>
      <c r="F4" s="15">
        <f>SUM(B4:E4)</f>
        <v>0</v>
      </c>
      <c r="I4" s="408"/>
      <c r="J4" s="408"/>
      <c r="K4" s="408"/>
      <c r="L4" s="413">
        <f>SUM(B4:E4)-F4</f>
        <v>0</v>
      </c>
    </row>
    <row r="5" spans="1:12" ht="27" customHeight="1" thickBot="1" x14ac:dyDescent="0.3">
      <c r="A5" s="14" t="s">
        <v>83</v>
      </c>
      <c r="B5" s="22"/>
      <c r="C5" s="22"/>
      <c r="D5" s="22"/>
      <c r="E5" s="22"/>
      <c r="F5" s="15">
        <f>SUM(B5:E5)</f>
        <v>0</v>
      </c>
      <c r="I5" s="408"/>
      <c r="J5" s="408"/>
      <c r="K5" s="408"/>
      <c r="L5" s="413">
        <f t="shared" ref="L5:L6" si="0">SUM(B5:E5)-F5</f>
        <v>0</v>
      </c>
    </row>
    <row r="6" spans="1:12" ht="27" customHeight="1" thickBot="1" x14ac:dyDescent="0.3">
      <c r="A6" s="14" t="s">
        <v>77</v>
      </c>
      <c r="B6" s="22"/>
      <c r="C6" s="22"/>
      <c r="D6" s="22"/>
      <c r="E6" s="22"/>
      <c r="F6" s="15">
        <f>SUM(B6:E6)</f>
        <v>0</v>
      </c>
      <c r="I6" s="408"/>
      <c r="J6" s="408"/>
      <c r="K6" s="408"/>
      <c r="L6" s="413">
        <f t="shared" si="0"/>
        <v>0</v>
      </c>
    </row>
    <row r="7" spans="1:12" ht="27" customHeight="1" thickBot="1" x14ac:dyDescent="0.3">
      <c r="A7" s="25" t="s">
        <v>84</v>
      </c>
      <c r="B7" s="58">
        <f>SUM(B3:B6)</f>
        <v>0</v>
      </c>
      <c r="C7" s="58">
        <f>SUM(C3:C6)</f>
        <v>0</v>
      </c>
      <c r="D7" s="58">
        <f>SUM(D3:D6)</f>
        <v>0</v>
      </c>
      <c r="E7" s="58">
        <f>SUM(E3:E6)</f>
        <v>0</v>
      </c>
      <c r="F7" s="60">
        <f>SUM(F3:F6)</f>
        <v>0</v>
      </c>
      <c r="H7" s="410">
        <f>SUM(B3:B6)-B7</f>
        <v>0</v>
      </c>
      <c r="I7" s="409">
        <f>SUM(C3:C6)-C7</f>
        <v>0</v>
      </c>
      <c r="J7" s="409">
        <f>SUM(D3:D6)-D7</f>
        <v>0</v>
      </c>
      <c r="K7" s="409">
        <f>SUM(E3:E6)-E7</f>
        <v>0</v>
      </c>
      <c r="L7" s="413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121" priority="1" operator="lessThan">
      <formula>0</formula>
    </cfRule>
    <cfRule type="cellIs" dxfId="120" priority="2" operator="greaterThan">
      <formula>0</formula>
    </cfRule>
    <cfRule type="cellIs" dxfId="119" priority="3" operator="lessThan">
      <formula>0</formula>
    </cfRule>
    <cfRule type="cellIs" dxfId="118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412" customWidth="1"/>
    <col min="8" max="8" width="13.42578125" style="408" customWidth="1" outlineLevel="1"/>
    <col min="9" max="10" width="13.42578125" customWidth="1" outlineLevel="1"/>
    <col min="11" max="11" width="21.140625" customWidth="1" outlineLevel="1"/>
    <col min="12" max="12" width="24.7109375" style="412" customWidth="1"/>
    <col min="14" max="14" width="22" style="414" customWidth="1"/>
    <col min="22" max="22" width="9.140625" style="408"/>
  </cols>
  <sheetData>
    <row r="1" spans="1:22" ht="16.5" x14ac:dyDescent="0.3">
      <c r="A1" s="1" t="s">
        <v>85</v>
      </c>
      <c r="H1" s="1319" t="s">
        <v>1139</v>
      </c>
      <c r="I1" s="1320"/>
      <c r="J1" s="1320"/>
      <c r="K1" s="1320"/>
      <c r="L1" s="1321"/>
      <c r="N1" s="422" t="s">
        <v>1141</v>
      </c>
      <c r="O1" s="417"/>
      <c r="P1" s="417"/>
      <c r="Q1" s="417"/>
      <c r="R1" s="417"/>
      <c r="S1" s="417"/>
      <c r="T1" s="417"/>
      <c r="U1" s="417"/>
      <c r="V1" s="417"/>
    </row>
    <row r="2" spans="1:22" ht="17.25" thickBot="1" x14ac:dyDescent="0.35">
      <c r="A2" s="2" t="s">
        <v>8</v>
      </c>
    </row>
    <row r="3" spans="1:22" ht="16.5" thickTop="1" thickBot="1" x14ac:dyDescent="0.3">
      <c r="A3" s="1308" t="s">
        <v>86</v>
      </c>
      <c r="B3" s="1310" t="s">
        <v>2</v>
      </c>
      <c r="C3" s="1315"/>
      <c r="D3" s="1315"/>
      <c r="E3" s="1315"/>
      <c r="F3" s="1311"/>
    </row>
    <row r="4" spans="1:22" ht="60" customHeight="1" thickTop="1" thickBot="1" x14ac:dyDescent="0.3">
      <c r="A4" s="1309"/>
      <c r="B4" s="662" t="s">
        <v>87</v>
      </c>
      <c r="C4" s="21" t="s">
        <v>455</v>
      </c>
      <c r="D4" s="662" t="s">
        <v>1464</v>
      </c>
      <c r="E4" s="21" t="s">
        <v>457</v>
      </c>
      <c r="F4" s="662" t="s">
        <v>89</v>
      </c>
      <c r="G4" s="408"/>
      <c r="H4" s="59" t="s">
        <v>87</v>
      </c>
      <c r="I4" s="459" t="s">
        <v>456</v>
      </c>
      <c r="J4" s="59" t="s">
        <v>459</v>
      </c>
      <c r="K4" s="459" t="s">
        <v>457</v>
      </c>
      <c r="L4" s="59" t="s">
        <v>89</v>
      </c>
      <c r="N4" s="59" t="s">
        <v>89</v>
      </c>
    </row>
    <row r="5" spans="1:22" ht="23.25" customHeight="1" thickTop="1" thickBot="1" x14ac:dyDescent="0.3">
      <c r="A5" s="14" t="s">
        <v>90</v>
      </c>
      <c r="B5" s="22"/>
      <c r="C5" s="22"/>
      <c r="D5" s="22"/>
      <c r="E5" s="22"/>
      <c r="F5" s="15">
        <f>SUM(B5:E5)</f>
        <v>0</v>
      </c>
      <c r="I5" s="408"/>
      <c r="J5" s="408"/>
      <c r="K5" s="408"/>
      <c r="L5" s="413">
        <f>SUM(B5:E5)-F5</f>
        <v>0</v>
      </c>
      <c r="N5" s="421">
        <f>F5-BS!E41</f>
        <v>0</v>
      </c>
    </row>
    <row r="6" spans="1:22" ht="23.25" customHeight="1" thickBot="1" x14ac:dyDescent="0.3">
      <c r="A6" s="14" t="s">
        <v>98</v>
      </c>
      <c r="B6" s="22"/>
      <c r="C6" s="22"/>
      <c r="D6" s="22"/>
      <c r="E6" s="22"/>
      <c r="F6" s="15">
        <f t="shared" ref="F6:F11" si="0">SUM(B6:E6)</f>
        <v>0</v>
      </c>
      <c r="I6" s="408"/>
      <c r="J6" s="408"/>
      <c r="K6" s="408"/>
      <c r="L6" s="413">
        <f t="shared" ref="L6:L11" si="1">SUM(B6:E6)-F6</f>
        <v>0</v>
      </c>
      <c r="N6" s="421">
        <f>F6-BS!E42</f>
        <v>0</v>
      </c>
    </row>
    <row r="7" spans="1:22" ht="23.25" customHeight="1" thickBot="1" x14ac:dyDescent="0.3">
      <c r="A7" s="14" t="s">
        <v>91</v>
      </c>
      <c r="B7" s="22"/>
      <c r="C7" s="22"/>
      <c r="D7" s="22"/>
      <c r="E7" s="22"/>
      <c r="F7" s="15">
        <f t="shared" si="0"/>
        <v>0</v>
      </c>
      <c r="I7" s="408"/>
      <c r="J7" s="408"/>
      <c r="K7" s="408"/>
      <c r="L7" s="413">
        <f t="shared" si="1"/>
        <v>0</v>
      </c>
      <c r="N7" s="421">
        <f>F7-BS!E43</f>
        <v>0</v>
      </c>
    </row>
    <row r="8" spans="1:22" ht="23.25" customHeight="1" thickBot="1" x14ac:dyDescent="0.3">
      <c r="A8" s="14" t="s">
        <v>92</v>
      </c>
      <c r="B8" s="22"/>
      <c r="C8" s="22"/>
      <c r="D8" s="22"/>
      <c r="E8" s="22"/>
      <c r="F8" s="15">
        <f t="shared" si="0"/>
        <v>0</v>
      </c>
      <c r="I8" s="408"/>
      <c r="J8" s="408"/>
      <c r="K8" s="408"/>
      <c r="L8" s="413">
        <f t="shared" si="1"/>
        <v>0</v>
      </c>
      <c r="N8" s="421">
        <f>F8-BS!E44</f>
        <v>0</v>
      </c>
    </row>
    <row r="9" spans="1:22" ht="23.25" customHeight="1" thickBot="1" x14ac:dyDescent="0.3">
      <c r="A9" s="14" t="s">
        <v>93</v>
      </c>
      <c r="B9" s="22"/>
      <c r="C9" s="22"/>
      <c r="D9" s="22"/>
      <c r="E9" s="22"/>
      <c r="F9" s="15">
        <f t="shared" si="0"/>
        <v>0</v>
      </c>
      <c r="L9" s="413">
        <f t="shared" si="1"/>
        <v>0</v>
      </c>
      <c r="N9" s="421">
        <f>F9-BS!E45</f>
        <v>0</v>
      </c>
    </row>
    <row r="10" spans="1:22" ht="23.25" customHeight="1" thickBot="1" x14ac:dyDescent="0.3">
      <c r="A10" s="14" t="s">
        <v>94</v>
      </c>
      <c r="B10" s="22"/>
      <c r="C10" s="22"/>
      <c r="D10" s="22"/>
      <c r="E10" s="22"/>
      <c r="F10" s="15">
        <f t="shared" si="0"/>
        <v>0</v>
      </c>
      <c r="L10" s="413">
        <f t="shared" si="1"/>
        <v>0</v>
      </c>
      <c r="N10" s="460"/>
    </row>
    <row r="11" spans="1:22" ht="23.25" customHeight="1" thickBot="1" x14ac:dyDescent="0.3">
      <c r="A11" s="14" t="s">
        <v>458</v>
      </c>
      <c r="B11" s="22"/>
      <c r="C11" s="22"/>
      <c r="D11" s="22"/>
      <c r="E11" s="22"/>
      <c r="F11" s="15">
        <f t="shared" si="0"/>
        <v>0</v>
      </c>
      <c r="L11" s="413">
        <f t="shared" si="1"/>
        <v>0</v>
      </c>
      <c r="N11" s="421">
        <f>F11-BS!E46</f>
        <v>0</v>
      </c>
    </row>
    <row r="12" spans="1:22" ht="23.25" customHeight="1" thickBot="1" x14ac:dyDescent="0.3">
      <c r="A12" s="25" t="s">
        <v>95</v>
      </c>
      <c r="B12" s="58">
        <f>SUM(B5:B11)</f>
        <v>0</v>
      </c>
      <c r="C12" s="58">
        <f t="shared" ref="C12:E12" si="2">SUM(C5:C11)</f>
        <v>0</v>
      </c>
      <c r="D12" s="58">
        <f>SUM(D5:D11)</f>
        <v>0</v>
      </c>
      <c r="E12" s="58">
        <f t="shared" si="2"/>
        <v>0</v>
      </c>
      <c r="F12" s="60">
        <f>SUM(F5:F11)</f>
        <v>0</v>
      </c>
      <c r="H12" s="409">
        <f>SUM(B5:B11)-B12</f>
        <v>0</v>
      </c>
      <c r="I12" s="409">
        <f t="shared" ref="I12:L12" si="3">SUM(C5:C11)-C12</f>
        <v>0</v>
      </c>
      <c r="J12" s="409">
        <f t="shared" si="3"/>
        <v>0</v>
      </c>
      <c r="K12" s="409">
        <f t="shared" si="3"/>
        <v>0</v>
      </c>
      <c r="L12" s="413">
        <f t="shared" si="3"/>
        <v>0</v>
      </c>
      <c r="N12" s="421">
        <f>F12-BS!E40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117" priority="3" operator="lessThan">
      <formula>0</formula>
    </cfRule>
    <cfRule type="cellIs" dxfId="116" priority="4" operator="greaterThan">
      <formula>0</formula>
    </cfRule>
    <cfRule type="cellIs" dxfId="115" priority="5" operator="lessThan">
      <formula>0</formula>
    </cfRule>
    <cfRule type="cellIs" dxfId="114" priority="6" operator="greaterThan">
      <formula>0</formula>
    </cfRule>
  </conditionalFormatting>
  <conditionalFormatting sqref="N5:N12">
    <cfRule type="cellIs" dxfId="113" priority="1" operator="lessThan">
      <formula>0</formula>
    </cfRule>
    <cfRule type="cellIs" dxfId="1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6.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10" t="s">
        <v>94</v>
      </c>
      <c r="B4" s="11" t="s">
        <v>63</v>
      </c>
    </row>
    <row r="5" spans="1:2" ht="24" thickTop="1" thickBot="1" x14ac:dyDescent="0.3">
      <c r="A5" s="12" t="s">
        <v>96</v>
      </c>
      <c r="B5" s="13"/>
    </row>
    <row r="6" spans="1:2" ht="24.75" customHeight="1" thickBot="1" x14ac:dyDescent="0.3">
      <c r="A6" s="16" t="s">
        <v>97</v>
      </c>
      <c r="B6" s="17"/>
    </row>
    <row r="7" spans="1:2" ht="15.75" thickTop="1" x14ac:dyDescent="0.25">
      <c r="A7" s="63"/>
      <c r="B7" s="18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661" t="s">
        <v>86</v>
      </c>
      <c r="B2" s="664" t="s">
        <v>36</v>
      </c>
    </row>
    <row r="3" spans="1:2" ht="24" customHeight="1" thickTop="1" thickBot="1" x14ac:dyDescent="0.3">
      <c r="A3" s="12" t="s">
        <v>100</v>
      </c>
      <c r="B3" s="13"/>
    </row>
    <row r="4" spans="1:2" ht="24" customHeight="1" thickBot="1" x14ac:dyDescent="0.3">
      <c r="A4" s="16" t="s">
        <v>101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2" zoomScaleNormal="100" workbookViewId="0">
      <selection activeCell="E20" sqref="E20"/>
    </sheetView>
  </sheetViews>
  <sheetFormatPr defaultColWidth="9.140625" defaultRowHeight="11.25" x14ac:dyDescent="0.2"/>
  <cols>
    <col min="1" max="1" width="6.85546875" style="178" customWidth="1"/>
    <col min="2" max="2" width="53.5703125" style="178" customWidth="1"/>
    <col min="3" max="3" width="5.85546875" style="178" customWidth="1"/>
    <col min="4" max="4" width="13.42578125" style="178" bestFit="1" customWidth="1"/>
    <col min="5" max="5" width="14.28515625" style="178" bestFit="1" customWidth="1"/>
    <col min="6" max="6" width="13.42578125" style="178" customWidth="1"/>
    <col min="7" max="7" width="15.140625" style="178" customWidth="1"/>
    <col min="8" max="8" width="10" style="178" bestFit="1" customWidth="1"/>
    <col min="9" max="11" width="9.140625" style="178"/>
    <col min="12" max="12" width="9.140625" style="178" customWidth="1"/>
    <col min="13" max="17" width="9.140625" style="178" hidden="1" customWidth="1"/>
    <col min="18" max="16384" width="9.140625" style="178"/>
  </cols>
  <sheetData>
    <row r="1" spans="1:17" ht="12.75" hidden="1" x14ac:dyDescent="0.2">
      <c r="M1" s="179" t="s">
        <v>496</v>
      </c>
    </row>
    <row r="2" spans="1:17" s="186" customFormat="1" ht="12" customHeight="1" x14ac:dyDescent="0.2">
      <c r="A2" s="180" t="s">
        <v>497</v>
      </c>
      <c r="B2" s="181">
        <f>'[2]Import - Prelim'!B1</f>
        <v>0</v>
      </c>
      <c r="C2" s="182"/>
      <c r="D2" s="183"/>
      <c r="E2" s="184"/>
      <c r="F2" s="184"/>
      <c r="G2" s="185"/>
      <c r="K2" s="179"/>
      <c r="L2" s="179"/>
      <c r="M2" s="179" t="s">
        <v>499</v>
      </c>
      <c r="N2" s="179"/>
      <c r="O2" s="179"/>
      <c r="P2" s="179"/>
      <c r="Q2" s="179"/>
    </row>
    <row r="3" spans="1:17" ht="12" customHeight="1" x14ac:dyDescent="0.2">
      <c r="A3" s="180" t="s">
        <v>500</v>
      </c>
      <c r="B3" s="181" t="s">
        <v>501</v>
      </c>
      <c r="D3" s="183"/>
      <c r="E3" s="184"/>
      <c r="F3" s="184"/>
      <c r="K3" s="179"/>
      <c r="L3" s="187" t="s">
        <v>502</v>
      </c>
      <c r="M3" s="188" t="s">
        <v>498</v>
      </c>
      <c r="N3" s="188" t="s">
        <v>503</v>
      </c>
      <c r="O3" s="188" t="s">
        <v>504</v>
      </c>
      <c r="P3" s="188" t="s">
        <v>505</v>
      </c>
      <c r="Q3" s="188" t="s">
        <v>506</v>
      </c>
    </row>
    <row r="4" spans="1:17" ht="12" customHeight="1" x14ac:dyDescent="0.2">
      <c r="C4" s="447" t="s">
        <v>501</v>
      </c>
      <c r="D4" s="183"/>
      <c r="E4" s="184"/>
      <c r="F4" s="184"/>
      <c r="K4" s="179"/>
      <c r="L4" s="187"/>
      <c r="M4" s="179"/>
      <c r="N4" s="179"/>
      <c r="O4" s="179"/>
      <c r="P4" s="179"/>
      <c r="Q4" s="187" t="s">
        <v>502</v>
      </c>
    </row>
    <row r="5" spans="1:17" ht="13.5" customHeight="1" x14ac:dyDescent="0.2">
      <c r="A5" s="189"/>
      <c r="B5" s="190"/>
      <c r="C5" s="190"/>
      <c r="D5" s="190"/>
      <c r="E5" s="190"/>
      <c r="F5" s="190"/>
      <c r="G5" s="190"/>
      <c r="K5" s="179"/>
      <c r="L5" s="179"/>
      <c r="M5" s="191">
        <v>0.1</v>
      </c>
      <c r="N5" s="192">
        <v>0.01</v>
      </c>
      <c r="O5" s="191">
        <v>0.05</v>
      </c>
      <c r="P5" s="193">
        <v>5.0000000000000001E-3</v>
      </c>
      <c r="Q5" s="194" t="e">
        <f>IF(#REF!=$M$3,M5,IF(#REF!=$N$3,N5,IF(#REF!=$O$3,O5,IF(#REF!=$P$3,P5,""))))</f>
        <v>#REF!</v>
      </c>
    </row>
    <row r="6" spans="1:17" ht="12" customHeight="1" x14ac:dyDescent="0.2">
      <c r="C6" s="195" t="s">
        <v>507</v>
      </c>
      <c r="D6" s="196"/>
      <c r="E6" s="182"/>
      <c r="K6" s="179"/>
      <c r="L6" s="179"/>
      <c r="M6" s="191">
        <v>0.09</v>
      </c>
      <c r="N6" s="192">
        <v>8.9999999999999993E-3</v>
      </c>
      <c r="O6" s="191">
        <v>0.04</v>
      </c>
      <c r="P6" s="193">
        <v>4.0000000000000001E-3</v>
      </c>
      <c r="Q6" s="194" t="e">
        <f>IF(#REF!=$M$3,M6,IF(#REF!=$N$3,N6,IF(#REF!=$O$3,O6,IF(#REF!=$P$3,P6,""))))</f>
        <v>#REF!</v>
      </c>
    </row>
    <row r="7" spans="1:17" s="201" customFormat="1" ht="12" customHeight="1" x14ac:dyDescent="0.2">
      <c r="A7" s="197" t="s">
        <v>508</v>
      </c>
      <c r="B7" s="198" t="s">
        <v>509</v>
      </c>
      <c r="C7" s="197" t="s">
        <v>510</v>
      </c>
      <c r="D7" s="199" t="s">
        <v>511</v>
      </c>
      <c r="E7" s="199"/>
      <c r="F7" s="199"/>
      <c r="G7" s="200" t="s">
        <v>512</v>
      </c>
      <c r="K7" s="179"/>
      <c r="L7" s="179"/>
      <c r="M7" s="191">
        <v>0.08</v>
      </c>
      <c r="N7" s="192">
        <v>8.0000000000000002E-3</v>
      </c>
      <c r="O7" s="191">
        <v>0.03</v>
      </c>
      <c r="P7" s="193">
        <v>3.0000000000000001E-3</v>
      </c>
      <c r="Q7" s="194" t="e">
        <f>IF(#REF!=$M$3,M7,IF(#REF!=$N$3,N7,IF(#REF!=$O$3,O7,IF(#REF!=$P$3,P7,""))))</f>
        <v>#REF!</v>
      </c>
    </row>
    <row r="8" spans="1:17" s="204" customFormat="1" ht="12" customHeight="1" x14ac:dyDescent="0.2">
      <c r="A8" s="202" t="s">
        <v>513</v>
      </c>
      <c r="B8" s="203"/>
      <c r="C8" s="202" t="s">
        <v>514</v>
      </c>
      <c r="D8" s="197" t="s">
        <v>515</v>
      </c>
      <c r="E8" s="197" t="s">
        <v>516</v>
      </c>
      <c r="F8" s="197" t="s">
        <v>517</v>
      </c>
      <c r="G8" s="197" t="s">
        <v>517</v>
      </c>
      <c r="K8" s="179"/>
      <c r="L8" s="179"/>
      <c r="M8" s="191">
        <v>7.0000000000000007E-2</v>
      </c>
      <c r="N8" s="192">
        <v>7.0000000000000001E-3</v>
      </c>
      <c r="O8" s="191">
        <v>0.02</v>
      </c>
      <c r="P8" s="193">
        <v>2.5000000000000001E-3</v>
      </c>
      <c r="Q8" s="194" t="e">
        <f>IF(#REF!=$M$3,M8,IF(#REF!=$N$3,N8,IF(#REF!=$O$3,O8,IF(#REF!=$P$3,P8,""))))</f>
        <v>#REF!</v>
      </c>
    </row>
    <row r="9" spans="1:17" s="201" customFormat="1" ht="12" customHeight="1" x14ac:dyDescent="0.2">
      <c r="A9" s="205" t="s">
        <v>518</v>
      </c>
      <c r="B9" s="206" t="s">
        <v>519</v>
      </c>
      <c r="C9" s="205" t="s">
        <v>520</v>
      </c>
      <c r="D9" s="205">
        <v>1</v>
      </c>
      <c r="E9" s="205">
        <v>2</v>
      </c>
      <c r="F9" s="205">
        <v>3</v>
      </c>
      <c r="G9" s="205">
        <v>4</v>
      </c>
      <c r="K9" s="179"/>
      <c r="L9" s="179"/>
      <c r="M9" s="191">
        <v>0.06</v>
      </c>
      <c r="N9" s="192">
        <v>6.0000000000000001E-3</v>
      </c>
      <c r="O9" s="191">
        <v>0.01</v>
      </c>
      <c r="P9" s="179"/>
      <c r="Q9" s="194" t="e">
        <f>IF(#REF!=$M$3,M9,IF(#REF!=$N$3,N9,IF(#REF!=$O$3,O9,IF(#REF!=$P$3,P9,""))))</f>
        <v>#REF!</v>
      </c>
    </row>
    <row r="10" spans="1:17" s="212" customFormat="1" ht="12" customHeight="1" x14ac:dyDescent="0.2">
      <c r="A10" s="207"/>
      <c r="B10" s="208" t="s">
        <v>521</v>
      </c>
      <c r="C10" s="209" t="s">
        <v>522</v>
      </c>
      <c r="D10" s="210">
        <f>D11+D39+D70</f>
        <v>0</v>
      </c>
      <c r="E10" s="210">
        <f>E11+E39+E70</f>
        <v>0</v>
      </c>
      <c r="F10" s="210">
        <f>F11+F39+F70</f>
        <v>0</v>
      </c>
      <c r="G10" s="210">
        <f>G11+G39+G70</f>
        <v>0</v>
      </c>
      <c r="K10" s="179"/>
      <c r="L10" s="179"/>
      <c r="M10" s="191">
        <v>0.05</v>
      </c>
      <c r="N10" s="192">
        <v>5.0000000000000001E-3</v>
      </c>
      <c r="O10" s="179"/>
      <c r="P10" s="179"/>
      <c r="Q10" s="194" t="e">
        <f>IF(#REF!=$M$3,M10,IF(#REF!=$N$3,N10,IF(#REF!=$O$3,O10,IF(#REF!=$P$3,P10,""))))</f>
        <v>#REF!</v>
      </c>
    </row>
    <row r="11" spans="1:17" s="212" customFormat="1" ht="12" customHeight="1" x14ac:dyDescent="0.25">
      <c r="A11" s="213" t="s">
        <v>523</v>
      </c>
      <c r="B11" s="214" t="s">
        <v>524</v>
      </c>
      <c r="C11" s="209" t="s">
        <v>525</v>
      </c>
      <c r="D11" s="210">
        <f>D12+D20+D30</f>
        <v>0</v>
      </c>
      <c r="E11" s="210">
        <f>E12+E20+E30</f>
        <v>0</v>
      </c>
      <c r="F11" s="210">
        <f>F12+F20+F30</f>
        <v>0</v>
      </c>
      <c r="G11" s="210">
        <f>G12+G20+G30</f>
        <v>0</v>
      </c>
    </row>
    <row r="12" spans="1:17" s="212" customFormat="1" ht="12" customHeight="1" x14ac:dyDescent="0.25">
      <c r="A12" s="215" t="s">
        <v>526</v>
      </c>
      <c r="B12" s="215" t="s">
        <v>527</v>
      </c>
      <c r="C12" s="209" t="s">
        <v>528</v>
      </c>
      <c r="D12" s="210">
        <f>SUM(D13:D19)</f>
        <v>0</v>
      </c>
      <c r="E12" s="210">
        <f>SUM(E13:E19)</f>
        <v>0</v>
      </c>
      <c r="F12" s="210">
        <f>SUM(F13:F19)</f>
        <v>0</v>
      </c>
      <c r="G12" s="210">
        <f>SUM(G13:G19)</f>
        <v>0</v>
      </c>
    </row>
    <row r="13" spans="1:17" s="186" customFormat="1" ht="12" customHeight="1" x14ac:dyDescent="0.25">
      <c r="A13" s="216" t="s">
        <v>529</v>
      </c>
      <c r="B13" s="217" t="s">
        <v>530</v>
      </c>
      <c r="C13" s="218" t="s">
        <v>531</v>
      </c>
      <c r="D13" s="219"/>
      <c r="E13" s="219"/>
      <c r="F13" s="219">
        <f t="shared" ref="F13:F19" si="0">D13-E13</f>
        <v>0</v>
      </c>
      <c r="G13" s="219"/>
      <c r="H13" s="220"/>
    </row>
    <row r="14" spans="1:17" s="186" customFormat="1" ht="12" customHeight="1" x14ac:dyDescent="0.25">
      <c r="A14" s="216" t="s">
        <v>532</v>
      </c>
      <c r="B14" s="217" t="s">
        <v>533</v>
      </c>
      <c r="C14" s="218" t="s">
        <v>534</v>
      </c>
      <c r="D14" s="219"/>
      <c r="E14" s="219"/>
      <c r="F14" s="219">
        <f t="shared" si="0"/>
        <v>0</v>
      </c>
      <c r="G14" s="221"/>
    </row>
    <row r="15" spans="1:17" s="186" customFormat="1" ht="12" customHeight="1" x14ac:dyDescent="0.25">
      <c r="A15" s="216" t="s">
        <v>535</v>
      </c>
      <c r="B15" s="217" t="s">
        <v>536</v>
      </c>
      <c r="C15" s="218" t="s">
        <v>537</v>
      </c>
      <c r="D15" s="219"/>
      <c r="E15" s="219"/>
      <c r="F15" s="219">
        <f t="shared" si="0"/>
        <v>0</v>
      </c>
      <c r="G15" s="219"/>
    </row>
    <row r="16" spans="1:17" s="186" customFormat="1" ht="12" customHeight="1" x14ac:dyDescent="0.25">
      <c r="A16" s="216" t="s">
        <v>538</v>
      </c>
      <c r="B16" s="217" t="s">
        <v>539</v>
      </c>
      <c r="C16" s="218" t="s">
        <v>540</v>
      </c>
      <c r="D16" s="219"/>
      <c r="E16" s="219"/>
      <c r="F16" s="219">
        <f t="shared" si="0"/>
        <v>0</v>
      </c>
      <c r="G16" s="219"/>
    </row>
    <row r="17" spans="1:7" s="186" customFormat="1" ht="12" customHeight="1" x14ac:dyDescent="0.25">
      <c r="A17" s="216" t="s">
        <v>541</v>
      </c>
      <c r="B17" s="222" t="s">
        <v>542</v>
      </c>
      <c r="C17" s="218" t="s">
        <v>543</v>
      </c>
      <c r="D17" s="219"/>
      <c r="E17" s="219"/>
      <c r="F17" s="219">
        <f t="shared" si="0"/>
        <v>0</v>
      </c>
      <c r="G17" s="219"/>
    </row>
    <row r="18" spans="1:7" s="186" customFormat="1" ht="12" customHeight="1" x14ac:dyDescent="0.25">
      <c r="A18" s="216" t="s">
        <v>544</v>
      </c>
      <c r="B18" s="217" t="s">
        <v>545</v>
      </c>
      <c r="C18" s="218" t="s">
        <v>546</v>
      </c>
      <c r="D18" s="219"/>
      <c r="E18" s="219"/>
      <c r="F18" s="219">
        <f t="shared" si="0"/>
        <v>0</v>
      </c>
      <c r="G18" s="219"/>
    </row>
    <row r="19" spans="1:7" s="186" customFormat="1" ht="12" customHeight="1" x14ac:dyDescent="0.25">
      <c r="A19" s="216" t="s">
        <v>547</v>
      </c>
      <c r="B19" s="217" t="s">
        <v>548</v>
      </c>
      <c r="C19" s="218" t="s">
        <v>549</v>
      </c>
      <c r="D19" s="219"/>
      <c r="E19" s="219"/>
      <c r="F19" s="219">
        <f t="shared" si="0"/>
        <v>0</v>
      </c>
      <c r="G19" s="219"/>
    </row>
    <row r="20" spans="1:7" s="212" customFormat="1" ht="12" customHeight="1" x14ac:dyDescent="0.25">
      <c r="A20" s="223" t="s">
        <v>550</v>
      </c>
      <c r="B20" s="215" t="s">
        <v>551</v>
      </c>
      <c r="C20" s="209" t="s">
        <v>552</v>
      </c>
      <c r="D20" s="210">
        <f>SUM(D21:D29)</f>
        <v>0</v>
      </c>
      <c r="E20" s="210">
        <f>SUM(E21:E29)</f>
        <v>0</v>
      </c>
      <c r="F20" s="210">
        <f>SUM(F21:F29)</f>
        <v>0</v>
      </c>
      <c r="G20" s="210">
        <f>SUM(G21:G29)</f>
        <v>0</v>
      </c>
    </row>
    <row r="21" spans="1:7" s="186" customFormat="1" ht="12" customHeight="1" x14ac:dyDescent="0.25">
      <c r="A21" s="224" t="s">
        <v>553</v>
      </c>
      <c r="B21" s="217" t="s">
        <v>554</v>
      </c>
      <c r="C21" s="218" t="s">
        <v>555</v>
      </c>
      <c r="D21" s="219"/>
      <c r="E21" s="219"/>
      <c r="F21" s="219">
        <f t="shared" ref="F21:F29" si="1">D21-E21</f>
        <v>0</v>
      </c>
      <c r="G21" s="226"/>
    </row>
    <row r="22" spans="1:7" s="186" customFormat="1" ht="12" customHeight="1" x14ac:dyDescent="0.25">
      <c r="A22" s="216" t="s">
        <v>532</v>
      </c>
      <c r="B22" s="217" t="s">
        <v>556</v>
      </c>
      <c r="C22" s="218" t="s">
        <v>557</v>
      </c>
      <c r="D22" s="219"/>
      <c r="E22" s="219"/>
      <c r="F22" s="219">
        <f t="shared" si="1"/>
        <v>0</v>
      </c>
      <c r="G22" s="226"/>
    </row>
    <row r="23" spans="1:7" s="186" customFormat="1" ht="12" customHeight="1" x14ac:dyDescent="0.25">
      <c r="A23" s="216" t="s">
        <v>535</v>
      </c>
      <c r="B23" s="217" t="s">
        <v>558</v>
      </c>
      <c r="C23" s="218" t="s">
        <v>559</v>
      </c>
      <c r="D23" s="219"/>
      <c r="E23" s="226"/>
      <c r="F23" s="219">
        <f t="shared" si="1"/>
        <v>0</v>
      </c>
      <c r="G23" s="226"/>
    </row>
    <row r="24" spans="1:7" s="186" customFormat="1" ht="12" customHeight="1" x14ac:dyDescent="0.35">
      <c r="A24" s="216" t="s">
        <v>538</v>
      </c>
      <c r="B24" s="217" t="s">
        <v>560</v>
      </c>
      <c r="C24" s="218" t="s">
        <v>561</v>
      </c>
      <c r="D24" s="219"/>
      <c r="E24" s="219"/>
      <c r="F24" s="219">
        <f t="shared" si="1"/>
        <v>0</v>
      </c>
      <c r="G24" s="226"/>
    </row>
    <row r="25" spans="1:7" s="186" customFormat="1" ht="12" customHeight="1" x14ac:dyDescent="0.35">
      <c r="A25" s="216" t="s">
        <v>541</v>
      </c>
      <c r="B25" s="217" t="s">
        <v>562</v>
      </c>
      <c r="C25" s="218" t="s">
        <v>563</v>
      </c>
      <c r="D25" s="219"/>
      <c r="E25" s="219"/>
      <c r="F25" s="219">
        <f>D25-E25</f>
        <v>0</v>
      </c>
      <c r="G25" s="226"/>
    </row>
    <row r="26" spans="1:7" s="186" customFormat="1" ht="12" customHeight="1" x14ac:dyDescent="0.35">
      <c r="A26" s="216" t="s">
        <v>544</v>
      </c>
      <c r="B26" s="222" t="s">
        <v>564</v>
      </c>
      <c r="C26" s="218" t="s">
        <v>565</v>
      </c>
      <c r="D26" s="226"/>
      <c r="E26" s="226"/>
      <c r="F26" s="219">
        <f>D26-E26</f>
        <v>0</v>
      </c>
      <c r="G26" s="226"/>
    </row>
    <row r="27" spans="1:7" s="186" customFormat="1" ht="12" customHeight="1" x14ac:dyDescent="0.35">
      <c r="A27" s="216" t="s">
        <v>547</v>
      </c>
      <c r="B27" s="217" t="s">
        <v>566</v>
      </c>
      <c r="C27" s="218" t="s">
        <v>567</v>
      </c>
      <c r="D27" s="219"/>
      <c r="E27" s="219"/>
      <c r="F27" s="219">
        <f t="shared" si="1"/>
        <v>0</v>
      </c>
      <c r="G27" s="226"/>
    </row>
    <row r="28" spans="1:7" s="186" customFormat="1" ht="12" customHeight="1" x14ac:dyDescent="0.35">
      <c r="A28" s="216" t="s">
        <v>568</v>
      </c>
      <c r="B28" s="217" t="s">
        <v>569</v>
      </c>
      <c r="C28" s="218" t="s">
        <v>570</v>
      </c>
      <c r="D28" s="219"/>
      <c r="E28" s="219"/>
      <c r="F28" s="219">
        <f t="shared" si="1"/>
        <v>0</v>
      </c>
      <c r="G28" s="226"/>
    </row>
    <row r="29" spans="1:7" s="186" customFormat="1" ht="12" customHeight="1" x14ac:dyDescent="0.35">
      <c r="A29" s="216" t="s">
        <v>571</v>
      </c>
      <c r="B29" s="217" t="s">
        <v>572</v>
      </c>
      <c r="C29" s="218" t="s">
        <v>573</v>
      </c>
      <c r="D29" s="219"/>
      <c r="E29" s="219"/>
      <c r="F29" s="219">
        <f t="shared" si="1"/>
        <v>0</v>
      </c>
      <c r="G29" s="226"/>
    </row>
    <row r="30" spans="1:7" s="212" customFormat="1" ht="12" customHeight="1" x14ac:dyDescent="0.35">
      <c r="A30" s="223" t="s">
        <v>574</v>
      </c>
      <c r="B30" s="215" t="s">
        <v>575</v>
      </c>
      <c r="C30" s="209" t="s">
        <v>576</v>
      </c>
      <c r="D30" s="210">
        <f>SUM(D31:D38)</f>
        <v>0</v>
      </c>
      <c r="E30" s="210">
        <f>SUM(E31:E38)</f>
        <v>0</v>
      </c>
      <c r="F30" s="210">
        <f>SUM(F31:F38)</f>
        <v>0</v>
      </c>
      <c r="G30" s="210">
        <f>SUM(G31:G38)</f>
        <v>0</v>
      </c>
    </row>
    <row r="31" spans="1:7" s="186" customFormat="1" ht="12" customHeight="1" x14ac:dyDescent="0.25">
      <c r="A31" s="224" t="s">
        <v>577</v>
      </c>
      <c r="B31" s="217" t="s">
        <v>578</v>
      </c>
      <c r="C31" s="218" t="s">
        <v>579</v>
      </c>
      <c r="D31" s="219"/>
      <c r="E31" s="219"/>
      <c r="F31" s="219">
        <f t="shared" ref="F31:F38" si="2">D31-E31</f>
        <v>0</v>
      </c>
      <c r="G31" s="219"/>
    </row>
    <row r="32" spans="1:7" s="186" customFormat="1" ht="12" customHeight="1" x14ac:dyDescent="0.25">
      <c r="A32" s="216" t="s">
        <v>532</v>
      </c>
      <c r="B32" s="217" t="s">
        <v>580</v>
      </c>
      <c r="C32" s="218" t="s">
        <v>581</v>
      </c>
      <c r="D32" s="219"/>
      <c r="E32" s="219"/>
      <c r="F32" s="219">
        <f t="shared" si="2"/>
        <v>0</v>
      </c>
      <c r="G32" s="219"/>
    </row>
    <row r="33" spans="1:7" s="186" customFormat="1" ht="12" customHeight="1" x14ac:dyDescent="0.25">
      <c r="A33" s="216" t="s">
        <v>535</v>
      </c>
      <c r="B33" s="217" t="s">
        <v>582</v>
      </c>
      <c r="C33" s="218" t="s">
        <v>583</v>
      </c>
      <c r="D33" s="219"/>
      <c r="E33" s="219"/>
      <c r="F33" s="219">
        <f t="shared" si="2"/>
        <v>0</v>
      </c>
      <c r="G33" s="219"/>
    </row>
    <row r="34" spans="1:7" s="186" customFormat="1" ht="12" customHeight="1" x14ac:dyDescent="0.25">
      <c r="A34" s="216" t="s">
        <v>538</v>
      </c>
      <c r="B34" s="217" t="s">
        <v>584</v>
      </c>
      <c r="C34" s="218" t="s">
        <v>585</v>
      </c>
      <c r="D34" s="219"/>
      <c r="E34" s="219"/>
      <c r="F34" s="219">
        <f t="shared" si="2"/>
        <v>0</v>
      </c>
      <c r="G34" s="219"/>
    </row>
    <row r="35" spans="1:7" s="186" customFormat="1" ht="12" customHeight="1" x14ac:dyDescent="0.25">
      <c r="A35" s="216" t="s">
        <v>541</v>
      </c>
      <c r="B35" s="222" t="s">
        <v>586</v>
      </c>
      <c r="C35" s="218" t="s">
        <v>587</v>
      </c>
      <c r="D35" s="219"/>
      <c r="E35" s="219"/>
      <c r="F35" s="219">
        <f t="shared" si="2"/>
        <v>0</v>
      </c>
      <c r="G35" s="219"/>
    </row>
    <row r="36" spans="1:7" s="186" customFormat="1" ht="12" customHeight="1" x14ac:dyDescent="0.25">
      <c r="A36" s="216" t="s">
        <v>544</v>
      </c>
      <c r="B36" s="222" t="s">
        <v>588</v>
      </c>
      <c r="C36" s="218" t="s">
        <v>589</v>
      </c>
      <c r="D36" s="219"/>
      <c r="E36" s="219"/>
      <c r="F36" s="219">
        <f t="shared" si="2"/>
        <v>0</v>
      </c>
      <c r="G36" s="219"/>
    </row>
    <row r="37" spans="1:7" s="186" customFormat="1" ht="12" customHeight="1" x14ac:dyDescent="0.25">
      <c r="A37" s="216" t="s">
        <v>547</v>
      </c>
      <c r="B37" s="217" t="s">
        <v>590</v>
      </c>
      <c r="C37" s="218" t="s">
        <v>591</v>
      </c>
      <c r="D37" s="219"/>
      <c r="E37" s="219"/>
      <c r="F37" s="219">
        <f t="shared" si="2"/>
        <v>0</v>
      </c>
      <c r="G37" s="219"/>
    </row>
    <row r="38" spans="1:7" s="186" customFormat="1" ht="12" customHeight="1" x14ac:dyDescent="0.25">
      <c r="A38" s="216" t="s">
        <v>568</v>
      </c>
      <c r="B38" s="217" t="s">
        <v>592</v>
      </c>
      <c r="C38" s="218" t="s">
        <v>593</v>
      </c>
      <c r="D38" s="219"/>
      <c r="E38" s="219"/>
      <c r="F38" s="219">
        <f t="shared" si="2"/>
        <v>0</v>
      </c>
      <c r="G38" s="219"/>
    </row>
    <row r="39" spans="1:7" s="212" customFormat="1" ht="12" customHeight="1" x14ac:dyDescent="0.25">
      <c r="A39" s="223" t="s">
        <v>594</v>
      </c>
      <c r="B39" s="214" t="s">
        <v>595</v>
      </c>
      <c r="C39" s="209" t="s">
        <v>596</v>
      </c>
      <c r="D39" s="210">
        <f>D40+D47+D55+D64</f>
        <v>0</v>
      </c>
      <c r="E39" s="210">
        <f>E40+E47+E55+E64</f>
        <v>0</v>
      </c>
      <c r="F39" s="210">
        <f>F40+F47+F55+F64</f>
        <v>0</v>
      </c>
      <c r="G39" s="210">
        <f>G40+G47+G55+G64</f>
        <v>0</v>
      </c>
    </row>
    <row r="40" spans="1:7" s="212" customFormat="1" ht="12" customHeight="1" x14ac:dyDescent="0.25">
      <c r="A40" s="215" t="s">
        <v>597</v>
      </c>
      <c r="B40" s="215" t="s">
        <v>598</v>
      </c>
      <c r="C40" s="209" t="s">
        <v>599</v>
      </c>
      <c r="D40" s="210">
        <f>SUM(D41:D46)</f>
        <v>0</v>
      </c>
      <c r="E40" s="210">
        <f>SUM(E41:E46)</f>
        <v>0</v>
      </c>
      <c r="F40" s="210">
        <f>SUM(F41:F46)</f>
        <v>0</v>
      </c>
      <c r="G40" s="210">
        <f>SUM(G41:G46)</f>
        <v>0</v>
      </c>
    </row>
    <row r="41" spans="1:7" s="186" customFormat="1" ht="12" customHeight="1" x14ac:dyDescent="0.25">
      <c r="A41" s="224" t="s">
        <v>600</v>
      </c>
      <c r="B41" s="217" t="s">
        <v>601</v>
      </c>
      <c r="C41" s="218" t="s">
        <v>602</v>
      </c>
      <c r="D41" s="219"/>
      <c r="E41" s="219"/>
      <c r="F41" s="219">
        <f t="shared" ref="F41:F46" si="3">D41-E41</f>
        <v>0</v>
      </c>
      <c r="G41" s="219"/>
    </row>
    <row r="42" spans="1:7" s="186" customFormat="1" ht="12" customHeight="1" x14ac:dyDescent="0.25">
      <c r="A42" s="216" t="s">
        <v>532</v>
      </c>
      <c r="B42" s="222" t="s">
        <v>603</v>
      </c>
      <c r="C42" s="218" t="s">
        <v>604</v>
      </c>
      <c r="D42" s="219"/>
      <c r="E42" s="219"/>
      <c r="F42" s="219">
        <f t="shared" si="3"/>
        <v>0</v>
      </c>
      <c r="G42" s="219"/>
    </row>
    <row r="43" spans="1:7" s="186" customFormat="1" ht="12" customHeight="1" x14ac:dyDescent="0.25">
      <c r="A43" s="216" t="s">
        <v>535</v>
      </c>
      <c r="B43" s="217" t="s">
        <v>605</v>
      </c>
      <c r="C43" s="218" t="s">
        <v>606</v>
      </c>
      <c r="D43" s="219"/>
      <c r="E43" s="219"/>
      <c r="F43" s="219">
        <f t="shared" si="3"/>
        <v>0</v>
      </c>
      <c r="G43" s="219"/>
    </row>
    <row r="44" spans="1:7" s="186" customFormat="1" ht="12" customHeight="1" x14ac:dyDescent="0.25">
      <c r="A44" s="216" t="s">
        <v>538</v>
      </c>
      <c r="B44" s="217" t="s">
        <v>607</v>
      </c>
      <c r="C44" s="218" t="s">
        <v>608</v>
      </c>
      <c r="D44" s="219"/>
      <c r="E44" s="219"/>
      <c r="F44" s="219">
        <f t="shared" si="3"/>
        <v>0</v>
      </c>
      <c r="G44" s="219"/>
    </row>
    <row r="45" spans="1:7" s="186" customFormat="1" ht="12" customHeight="1" x14ac:dyDescent="0.25">
      <c r="A45" s="216" t="s">
        <v>541</v>
      </c>
      <c r="B45" s="222" t="s">
        <v>609</v>
      </c>
      <c r="C45" s="218" t="s">
        <v>610</v>
      </c>
      <c r="D45" s="219"/>
      <c r="E45" s="219"/>
      <c r="F45" s="219">
        <f t="shared" si="3"/>
        <v>0</v>
      </c>
      <c r="G45" s="219"/>
    </row>
    <row r="46" spans="1:7" s="186" customFormat="1" ht="12" customHeight="1" x14ac:dyDescent="0.25">
      <c r="A46" s="216" t="s">
        <v>544</v>
      </c>
      <c r="B46" s="217" t="s">
        <v>611</v>
      </c>
      <c r="C46" s="218" t="s">
        <v>612</v>
      </c>
      <c r="D46" s="227"/>
      <c r="E46" s="227"/>
      <c r="F46" s="227">
        <f t="shared" si="3"/>
        <v>0</v>
      </c>
      <c r="G46" s="219"/>
    </row>
    <row r="47" spans="1:7" s="212" customFormat="1" ht="12" customHeight="1" x14ac:dyDescent="0.25">
      <c r="A47" s="223" t="s">
        <v>613</v>
      </c>
      <c r="B47" s="215" t="s">
        <v>614</v>
      </c>
      <c r="C47" s="209" t="s">
        <v>615</v>
      </c>
      <c r="D47" s="210">
        <f>SUM(D48:D54)</f>
        <v>0</v>
      </c>
      <c r="E47" s="210">
        <f>SUM(E48:E54)</f>
        <v>0</v>
      </c>
      <c r="F47" s="210">
        <f>SUM(F48:F54)</f>
        <v>0</v>
      </c>
      <c r="G47" s="210">
        <f>SUM(G48:G54)</f>
        <v>0</v>
      </c>
    </row>
    <row r="48" spans="1:7" s="186" customFormat="1" ht="12" customHeight="1" x14ac:dyDescent="0.25">
      <c r="A48" s="224" t="s">
        <v>616</v>
      </c>
      <c r="B48" s="222" t="s">
        <v>617</v>
      </c>
      <c r="C48" s="218" t="s">
        <v>618</v>
      </c>
      <c r="D48" s="228"/>
      <c r="E48" s="228"/>
      <c r="F48" s="228">
        <f t="shared" ref="F48:F52" si="4">D48-E48</f>
        <v>0</v>
      </c>
      <c r="G48" s="228"/>
    </row>
    <row r="49" spans="1:7" s="186" customFormat="1" ht="12" customHeight="1" x14ac:dyDescent="0.25">
      <c r="A49" s="230" t="s">
        <v>532</v>
      </c>
      <c r="B49" s="231" t="s">
        <v>619</v>
      </c>
      <c r="C49" s="232" t="s">
        <v>620</v>
      </c>
      <c r="D49" s="228"/>
      <c r="E49" s="226"/>
      <c r="F49" s="226">
        <f t="shared" si="4"/>
        <v>0</v>
      </c>
      <c r="G49" s="228"/>
    </row>
    <row r="50" spans="1:7" s="186" customFormat="1" ht="12" customHeight="1" x14ac:dyDescent="0.25">
      <c r="A50" s="216" t="s">
        <v>535</v>
      </c>
      <c r="B50" s="217" t="s">
        <v>621</v>
      </c>
      <c r="C50" s="218" t="s">
        <v>622</v>
      </c>
      <c r="D50" s="228"/>
      <c r="E50" s="228"/>
      <c r="F50" s="228">
        <f t="shared" si="4"/>
        <v>0</v>
      </c>
      <c r="G50" s="228"/>
    </row>
    <row r="51" spans="1:7" s="186" customFormat="1" ht="12" customHeight="1" x14ac:dyDescent="0.25">
      <c r="A51" s="216" t="s">
        <v>538</v>
      </c>
      <c r="B51" s="217" t="s">
        <v>623</v>
      </c>
      <c r="C51" s="218" t="s">
        <v>624</v>
      </c>
      <c r="D51" s="228"/>
      <c r="E51" s="228"/>
      <c r="F51" s="228">
        <f t="shared" si="4"/>
        <v>0</v>
      </c>
      <c r="G51" s="228"/>
    </row>
    <row r="52" spans="1:7" s="186" customFormat="1" ht="12" customHeight="1" x14ac:dyDescent="0.25">
      <c r="A52" s="216" t="s">
        <v>541</v>
      </c>
      <c r="B52" s="222" t="s">
        <v>625</v>
      </c>
      <c r="C52" s="218" t="s">
        <v>626</v>
      </c>
      <c r="D52" s="228"/>
      <c r="E52" s="228"/>
      <c r="F52" s="228">
        <f t="shared" si="4"/>
        <v>0</v>
      </c>
      <c r="G52" s="228"/>
    </row>
    <row r="53" spans="1:7" s="186" customFormat="1" ht="12" customHeight="1" x14ac:dyDescent="0.25">
      <c r="A53" s="216" t="s">
        <v>544</v>
      </c>
      <c r="B53" s="222" t="s">
        <v>627</v>
      </c>
      <c r="C53" s="218" t="s">
        <v>628</v>
      </c>
      <c r="D53" s="228"/>
      <c r="E53" s="233"/>
      <c r="F53" s="233">
        <f>D53-E53</f>
        <v>0</v>
      </c>
      <c r="G53" s="228"/>
    </row>
    <row r="54" spans="1:7" s="186" customFormat="1" ht="12" customHeight="1" x14ac:dyDescent="0.25">
      <c r="A54" s="216" t="s">
        <v>547</v>
      </c>
      <c r="B54" s="217" t="s">
        <v>629</v>
      </c>
      <c r="C54" s="218" t="s">
        <v>630</v>
      </c>
      <c r="D54" s="228"/>
      <c r="E54" s="233"/>
      <c r="F54" s="233">
        <f>D54-E54</f>
        <v>0</v>
      </c>
      <c r="G54" s="228"/>
    </row>
    <row r="55" spans="1:7" s="212" customFormat="1" ht="12" customHeight="1" x14ac:dyDescent="0.25">
      <c r="A55" s="223" t="s">
        <v>631</v>
      </c>
      <c r="B55" s="215" t="s">
        <v>632</v>
      </c>
      <c r="C55" s="209" t="s">
        <v>633</v>
      </c>
      <c r="D55" s="210">
        <f>SUM(D56:D63)</f>
        <v>0</v>
      </c>
      <c r="E55" s="210">
        <f>SUM(E56:E63)</f>
        <v>0</v>
      </c>
      <c r="F55" s="210">
        <f>SUM(F56:F63)</f>
        <v>0</v>
      </c>
      <c r="G55" s="210">
        <f>SUM(G56:G63)</f>
        <v>0</v>
      </c>
    </row>
    <row r="56" spans="1:7" s="186" customFormat="1" ht="12" customHeight="1" x14ac:dyDescent="0.25">
      <c r="A56" s="224" t="s">
        <v>634</v>
      </c>
      <c r="B56" s="222" t="s">
        <v>635</v>
      </c>
      <c r="C56" s="218" t="s">
        <v>636</v>
      </c>
      <c r="D56" s="228"/>
      <c r="E56" s="228"/>
      <c r="F56" s="228">
        <f t="shared" ref="F56:F63" si="5">D56-E56</f>
        <v>0</v>
      </c>
      <c r="G56" s="228"/>
    </row>
    <row r="57" spans="1:7" s="186" customFormat="1" ht="12" customHeight="1" x14ac:dyDescent="0.25">
      <c r="A57" s="230" t="s">
        <v>532</v>
      </c>
      <c r="B57" s="231" t="s">
        <v>619</v>
      </c>
      <c r="C57" s="232" t="s">
        <v>637</v>
      </c>
      <c r="D57" s="228"/>
      <c r="E57" s="226"/>
      <c r="F57" s="226">
        <f t="shared" si="5"/>
        <v>0</v>
      </c>
      <c r="G57" s="228"/>
    </row>
    <row r="58" spans="1:7" s="186" customFormat="1" ht="12" customHeight="1" x14ac:dyDescent="0.25">
      <c r="A58" s="216" t="s">
        <v>535</v>
      </c>
      <c r="B58" s="217" t="s">
        <v>638</v>
      </c>
      <c r="C58" s="218" t="s">
        <v>639</v>
      </c>
      <c r="D58" s="228"/>
      <c r="E58" s="228"/>
      <c r="F58" s="228">
        <f t="shared" si="5"/>
        <v>0</v>
      </c>
      <c r="G58" s="228"/>
    </row>
    <row r="59" spans="1:7" s="186" customFormat="1" ht="12" customHeight="1" x14ac:dyDescent="0.25">
      <c r="A59" s="216" t="s">
        <v>538</v>
      </c>
      <c r="B59" s="217" t="s">
        <v>623</v>
      </c>
      <c r="C59" s="218" t="s">
        <v>640</v>
      </c>
      <c r="D59" s="228"/>
      <c r="E59" s="228"/>
      <c r="F59" s="228">
        <f t="shared" si="5"/>
        <v>0</v>
      </c>
      <c r="G59" s="228"/>
    </row>
    <row r="60" spans="1:7" s="186" customFormat="1" ht="12" customHeight="1" x14ac:dyDescent="0.25">
      <c r="A60" s="216" t="s">
        <v>541</v>
      </c>
      <c r="B60" s="222" t="s">
        <v>641</v>
      </c>
      <c r="C60" s="218" t="s">
        <v>642</v>
      </c>
      <c r="D60" s="228"/>
      <c r="E60" s="228"/>
      <c r="F60" s="228">
        <f t="shared" si="5"/>
        <v>0</v>
      </c>
      <c r="G60" s="228"/>
    </row>
    <row r="61" spans="1:7" s="186" customFormat="1" ht="12" customHeight="1" x14ac:dyDescent="0.25">
      <c r="A61" s="216" t="s">
        <v>544</v>
      </c>
      <c r="B61" s="217" t="s">
        <v>643</v>
      </c>
      <c r="C61" s="218" t="s">
        <v>644</v>
      </c>
      <c r="D61" s="228"/>
      <c r="E61" s="228"/>
      <c r="F61" s="228">
        <f t="shared" si="5"/>
        <v>0</v>
      </c>
      <c r="G61" s="228"/>
    </row>
    <row r="62" spans="1:7" s="186" customFormat="1" ht="12" customHeight="1" x14ac:dyDescent="0.25">
      <c r="A62" s="216" t="s">
        <v>547</v>
      </c>
      <c r="B62" s="217" t="s">
        <v>645</v>
      </c>
      <c r="C62" s="218" t="s">
        <v>646</v>
      </c>
      <c r="D62" s="228"/>
      <c r="E62" s="228"/>
      <c r="F62" s="228">
        <f t="shared" si="5"/>
        <v>0</v>
      </c>
      <c r="G62" s="228"/>
    </row>
    <row r="63" spans="1:7" s="186" customFormat="1" ht="12" customHeight="1" x14ac:dyDescent="0.25">
      <c r="A63" s="216" t="s">
        <v>568</v>
      </c>
      <c r="B63" s="216" t="s">
        <v>647</v>
      </c>
      <c r="C63" s="218" t="s">
        <v>648</v>
      </c>
      <c r="D63" s="228"/>
      <c r="E63" s="228"/>
      <c r="F63" s="228">
        <f t="shared" si="5"/>
        <v>0</v>
      </c>
      <c r="G63" s="228"/>
    </row>
    <row r="64" spans="1:7" s="212" customFormat="1" ht="12" customHeight="1" x14ac:dyDescent="0.25">
      <c r="A64" s="223" t="s">
        <v>649</v>
      </c>
      <c r="B64" s="215" t="s">
        <v>650</v>
      </c>
      <c r="C64" s="209" t="s">
        <v>651</v>
      </c>
      <c r="D64" s="210">
        <f>SUM(D65:D69)</f>
        <v>0</v>
      </c>
      <c r="E64" s="210">
        <f>SUM(E65:E69)</f>
        <v>0</v>
      </c>
      <c r="F64" s="210">
        <f>SUM(F65:F69)</f>
        <v>0</v>
      </c>
      <c r="G64" s="210">
        <f>SUM(G65:G69)</f>
        <v>0</v>
      </c>
    </row>
    <row r="65" spans="1:7" s="212" customFormat="1" ht="12" customHeight="1" x14ac:dyDescent="0.25">
      <c r="A65" s="224" t="s">
        <v>652</v>
      </c>
      <c r="B65" s="217" t="s">
        <v>653</v>
      </c>
      <c r="C65" s="218" t="s">
        <v>654</v>
      </c>
      <c r="D65" s="219"/>
      <c r="E65" s="219"/>
      <c r="F65" s="226">
        <f>D65-E65</f>
        <v>0</v>
      </c>
      <c r="G65" s="219"/>
    </row>
    <row r="66" spans="1:7" s="186" customFormat="1" ht="12" customHeight="1" x14ac:dyDescent="0.25">
      <c r="A66" s="216" t="s">
        <v>532</v>
      </c>
      <c r="B66" s="217" t="s">
        <v>655</v>
      </c>
      <c r="C66" s="218" t="s">
        <v>656</v>
      </c>
      <c r="D66" s="219"/>
      <c r="E66" s="219"/>
      <c r="F66" s="219">
        <f>D66-E66</f>
        <v>0</v>
      </c>
      <c r="G66" s="219"/>
    </row>
    <row r="67" spans="1:7" s="186" customFormat="1" ht="12" customHeight="1" x14ac:dyDescent="0.25">
      <c r="A67" s="216" t="s">
        <v>535</v>
      </c>
      <c r="B67" s="217" t="s">
        <v>657</v>
      </c>
      <c r="C67" s="218" t="s">
        <v>658</v>
      </c>
      <c r="D67" s="219"/>
      <c r="E67" s="219"/>
      <c r="F67" s="219">
        <f>D67-E67</f>
        <v>0</v>
      </c>
      <c r="G67" s="219">
        <v>0</v>
      </c>
    </row>
    <row r="68" spans="1:7" s="186" customFormat="1" ht="12" customHeight="1" x14ac:dyDescent="0.25">
      <c r="A68" s="216" t="s">
        <v>538</v>
      </c>
      <c r="B68" s="217" t="s">
        <v>659</v>
      </c>
      <c r="C68" s="218" t="s">
        <v>660</v>
      </c>
      <c r="D68" s="219"/>
      <c r="E68" s="219"/>
      <c r="F68" s="219">
        <f>D68-E68</f>
        <v>0</v>
      </c>
      <c r="G68" s="219">
        <f>ROUND(([2]C!L20)*1000,0)</f>
        <v>0</v>
      </c>
    </row>
    <row r="69" spans="1:7" s="186" customFormat="1" ht="12" customHeight="1" x14ac:dyDescent="0.25">
      <c r="A69" s="216" t="s">
        <v>541</v>
      </c>
      <c r="B69" s="217" t="s">
        <v>661</v>
      </c>
      <c r="C69" s="218" t="s">
        <v>662</v>
      </c>
      <c r="D69" s="219"/>
      <c r="E69" s="219"/>
      <c r="F69" s="219">
        <f>D69-E69</f>
        <v>0</v>
      </c>
      <c r="G69" s="219">
        <f>ROUND(([2]C!L18)*1000,0)</f>
        <v>0</v>
      </c>
    </row>
    <row r="70" spans="1:7" s="212" customFormat="1" ht="12" customHeight="1" x14ac:dyDescent="0.25">
      <c r="A70" s="223" t="s">
        <v>663</v>
      </c>
      <c r="B70" s="215" t="s">
        <v>664</v>
      </c>
      <c r="C70" s="209" t="s">
        <v>665</v>
      </c>
      <c r="D70" s="210">
        <f>SUM(D71:D74)</f>
        <v>0</v>
      </c>
      <c r="E70" s="210">
        <f>SUM(E71:E74)</f>
        <v>0</v>
      </c>
      <c r="F70" s="210">
        <f>SUM(F71:F74)</f>
        <v>0</v>
      </c>
      <c r="G70" s="210">
        <f>SUM(G71:G74)</f>
        <v>0</v>
      </c>
    </row>
    <row r="71" spans="1:7" s="186" customFormat="1" ht="12" customHeight="1" x14ac:dyDescent="0.25">
      <c r="A71" s="224" t="s">
        <v>666</v>
      </c>
      <c r="B71" s="217" t="s">
        <v>667</v>
      </c>
      <c r="C71" s="218" t="s">
        <v>668</v>
      </c>
      <c r="D71" s="234"/>
      <c r="E71" s="235"/>
      <c r="F71" s="226">
        <f>D71-E71</f>
        <v>0</v>
      </c>
      <c r="G71" s="235"/>
    </row>
    <row r="72" spans="1:7" s="186" customFormat="1" ht="12" customHeight="1" x14ac:dyDescent="0.25">
      <c r="A72" s="216" t="s">
        <v>532</v>
      </c>
      <c r="B72" s="222" t="s">
        <v>669</v>
      </c>
      <c r="C72" s="218" t="s">
        <v>670</v>
      </c>
      <c r="D72" s="226"/>
      <c r="E72" s="226"/>
      <c r="F72" s="226">
        <f>D72-E72</f>
        <v>0</v>
      </c>
      <c r="G72" s="226"/>
    </row>
    <row r="73" spans="1:7" s="186" customFormat="1" ht="12" customHeight="1" x14ac:dyDescent="0.25">
      <c r="A73" s="216" t="s">
        <v>535</v>
      </c>
      <c r="B73" s="217" t="s">
        <v>671</v>
      </c>
      <c r="C73" s="218" t="s">
        <v>672</v>
      </c>
      <c r="D73" s="226"/>
      <c r="E73" s="226"/>
      <c r="F73" s="226">
        <f>D73-E73</f>
        <v>0</v>
      </c>
      <c r="G73" s="226"/>
    </row>
    <row r="74" spans="1:7" s="186" customFormat="1" ht="12" customHeight="1" x14ac:dyDescent="0.25">
      <c r="A74" s="216" t="s">
        <v>538</v>
      </c>
      <c r="B74" s="217" t="s">
        <v>673</v>
      </c>
      <c r="C74" s="218" t="s">
        <v>674</v>
      </c>
      <c r="D74" s="219"/>
      <c r="E74" s="219"/>
      <c r="F74" s="219">
        <f>D74-E74</f>
        <v>0</v>
      </c>
      <c r="G74" s="219"/>
    </row>
    <row r="75" spans="1:7" s="186" customFormat="1" ht="12" customHeight="1" x14ac:dyDescent="0.25">
      <c r="A75" s="236"/>
      <c r="B75" s="236" t="s">
        <v>675</v>
      </c>
      <c r="C75" s="237">
        <v>888</v>
      </c>
      <c r="D75" s="238">
        <f>(SUM(D10:D74))</f>
        <v>0</v>
      </c>
      <c r="E75" s="238">
        <f>(SUM(E10:E74))</f>
        <v>0</v>
      </c>
      <c r="F75" s="238">
        <f>SUM(F10:F74)</f>
        <v>0</v>
      </c>
      <c r="G75" s="238">
        <f>(SUM(G10:G74))</f>
        <v>0</v>
      </c>
    </row>
    <row r="76" spans="1:7" s="186" customFormat="1" ht="12" customHeight="1" x14ac:dyDescent="0.25">
      <c r="A76" s="239"/>
      <c r="D76" s="240"/>
      <c r="E76" s="240"/>
      <c r="F76" s="240"/>
      <c r="G76" s="240"/>
    </row>
    <row r="77" spans="1:7" s="186" customFormat="1" ht="12" customHeight="1" x14ac:dyDescent="0.25">
      <c r="A77" s="239"/>
      <c r="D77" s="240"/>
      <c r="E77" s="240"/>
      <c r="F77" s="240"/>
      <c r="G77" s="240"/>
    </row>
    <row r="78" spans="1:7" s="186" customFormat="1" ht="12" customHeight="1" x14ac:dyDescent="0.25">
      <c r="A78" s="241" t="s">
        <v>508</v>
      </c>
      <c r="B78" s="241" t="s">
        <v>676</v>
      </c>
      <c r="C78" s="241" t="s">
        <v>510</v>
      </c>
      <c r="D78" s="242" t="s">
        <v>677</v>
      </c>
      <c r="E78" s="242" t="s">
        <v>678</v>
      </c>
      <c r="F78" s="243"/>
      <c r="G78" s="243"/>
    </row>
    <row r="79" spans="1:7" s="186" customFormat="1" ht="12" customHeight="1" x14ac:dyDescent="0.25">
      <c r="A79" s="244" t="s">
        <v>513</v>
      </c>
      <c r="B79" s="244"/>
      <c r="C79" s="244" t="s">
        <v>514</v>
      </c>
      <c r="D79" s="245" t="s">
        <v>679</v>
      </c>
      <c r="E79" s="245" t="s">
        <v>679</v>
      </c>
      <c r="F79" s="243"/>
      <c r="G79" s="243"/>
    </row>
    <row r="80" spans="1:7" s="248" customFormat="1" ht="12" customHeight="1" x14ac:dyDescent="0.25">
      <c r="A80" s="246" t="s">
        <v>518</v>
      </c>
      <c r="B80" s="246" t="s">
        <v>519</v>
      </c>
      <c r="C80" s="246" t="s">
        <v>520</v>
      </c>
      <c r="D80" s="247">
        <v>5</v>
      </c>
      <c r="E80" s="247">
        <v>6</v>
      </c>
      <c r="F80" s="243"/>
      <c r="G80" s="243"/>
    </row>
    <row r="81" spans="1:7" s="212" customFormat="1" ht="12" customHeight="1" x14ac:dyDescent="0.25">
      <c r="A81" s="249"/>
      <c r="B81" s="249" t="s">
        <v>680</v>
      </c>
      <c r="C81" s="250" t="s">
        <v>681</v>
      </c>
      <c r="D81" s="210">
        <f>D82+D103+D136</f>
        <v>0</v>
      </c>
      <c r="E81" s="210">
        <f>E82+E103+E136</f>
        <v>0</v>
      </c>
      <c r="F81" s="251"/>
      <c r="G81" s="251"/>
    </row>
    <row r="82" spans="1:7" s="212" customFormat="1" ht="12" customHeight="1" x14ac:dyDescent="0.25">
      <c r="A82" s="249" t="s">
        <v>523</v>
      </c>
      <c r="B82" s="249" t="s">
        <v>682</v>
      </c>
      <c r="C82" s="250" t="s">
        <v>683</v>
      </c>
      <c r="D82" s="210">
        <f>D83+D88+D95+D99+D102</f>
        <v>0</v>
      </c>
      <c r="E82" s="210">
        <f>E83+E88+E95+E99+E102</f>
        <v>0</v>
      </c>
      <c r="F82" s="1302"/>
      <c r="G82" s="1302"/>
    </row>
    <row r="83" spans="1:7" s="212" customFormat="1" ht="12" customHeight="1" x14ac:dyDescent="0.25">
      <c r="A83" s="249" t="s">
        <v>526</v>
      </c>
      <c r="B83" s="249" t="s">
        <v>684</v>
      </c>
      <c r="C83" s="250" t="s">
        <v>685</v>
      </c>
      <c r="D83" s="210">
        <f>D84+D85+D86+D87</f>
        <v>0</v>
      </c>
      <c r="E83" s="210">
        <f>E84+E85+E86+E87</f>
        <v>0</v>
      </c>
      <c r="F83" s="225"/>
      <c r="G83" s="225"/>
    </row>
    <row r="84" spans="1:7" s="186" customFormat="1" ht="12" customHeight="1" x14ac:dyDescent="0.25">
      <c r="A84" s="252" t="s">
        <v>529</v>
      </c>
      <c r="B84" s="253" t="s">
        <v>686</v>
      </c>
      <c r="C84" s="254" t="s">
        <v>687</v>
      </c>
      <c r="D84" s="219"/>
      <c r="E84" s="219"/>
      <c r="F84" s="225"/>
      <c r="G84" s="225"/>
    </row>
    <row r="85" spans="1:7" s="186" customFormat="1" ht="12" customHeight="1" x14ac:dyDescent="0.25">
      <c r="A85" s="252" t="s">
        <v>532</v>
      </c>
      <c r="B85" s="253" t="s">
        <v>688</v>
      </c>
      <c r="C85" s="254" t="s">
        <v>689</v>
      </c>
      <c r="D85" s="219"/>
      <c r="E85" s="219"/>
      <c r="F85" s="243"/>
      <c r="G85" s="211"/>
    </row>
    <row r="86" spans="1:7" s="186" customFormat="1" ht="12" customHeight="1" x14ac:dyDescent="0.25">
      <c r="A86" s="252" t="s">
        <v>535</v>
      </c>
      <c r="B86" s="253" t="s">
        <v>690</v>
      </c>
      <c r="C86" s="254" t="s">
        <v>691</v>
      </c>
      <c r="D86" s="219"/>
      <c r="E86" s="219"/>
      <c r="F86" s="243"/>
      <c r="G86" s="211"/>
    </row>
    <row r="87" spans="1:7" s="186" customFormat="1" ht="12" customHeight="1" x14ac:dyDescent="0.25">
      <c r="A87" s="216" t="s">
        <v>538</v>
      </c>
      <c r="B87" s="217" t="s">
        <v>692</v>
      </c>
      <c r="C87" s="218" t="s">
        <v>693</v>
      </c>
      <c r="E87" s="219"/>
      <c r="F87" s="243"/>
      <c r="G87" s="229"/>
    </row>
    <row r="88" spans="1:7" s="212" customFormat="1" ht="12" customHeight="1" x14ac:dyDescent="0.25">
      <c r="A88" s="249" t="s">
        <v>550</v>
      </c>
      <c r="B88" s="249" t="s">
        <v>694</v>
      </c>
      <c r="C88" s="250" t="s">
        <v>695</v>
      </c>
      <c r="D88" s="210">
        <f>SUM(D89:D94)</f>
        <v>0</v>
      </c>
      <c r="E88" s="210">
        <f>ROUND(SUM(E89:E94),0)</f>
        <v>0</v>
      </c>
      <c r="F88" s="251"/>
      <c r="G88" s="211"/>
    </row>
    <row r="89" spans="1:7" s="186" customFormat="1" ht="12" customHeight="1" x14ac:dyDescent="0.25">
      <c r="A89" s="252" t="s">
        <v>553</v>
      </c>
      <c r="B89" s="253" t="s">
        <v>696</v>
      </c>
      <c r="C89" s="254" t="s">
        <v>697</v>
      </c>
      <c r="D89" s="219"/>
      <c r="E89" s="219"/>
      <c r="F89" s="243"/>
      <c r="G89" s="211"/>
    </row>
    <row r="90" spans="1:7" s="186" customFormat="1" ht="12" customHeight="1" x14ac:dyDescent="0.25">
      <c r="A90" s="252" t="s">
        <v>532</v>
      </c>
      <c r="B90" s="253" t="s">
        <v>698</v>
      </c>
      <c r="C90" s="254" t="s">
        <v>699</v>
      </c>
      <c r="D90" s="219"/>
      <c r="E90" s="219"/>
      <c r="F90" s="243"/>
      <c r="G90" s="211"/>
    </row>
    <row r="91" spans="1:7" s="186" customFormat="1" ht="12" customHeight="1" x14ac:dyDescent="0.25">
      <c r="A91" s="252" t="s">
        <v>535</v>
      </c>
      <c r="B91" s="253" t="s">
        <v>700</v>
      </c>
      <c r="C91" s="254" t="s">
        <v>701</v>
      </c>
      <c r="D91" s="219"/>
      <c r="E91" s="219"/>
      <c r="F91" s="243"/>
      <c r="G91" s="211"/>
    </row>
    <row r="92" spans="1:7" s="186" customFormat="1" ht="12" customHeight="1" x14ac:dyDescent="0.25">
      <c r="A92" s="252" t="s">
        <v>538</v>
      </c>
      <c r="B92" s="253" t="s">
        <v>702</v>
      </c>
      <c r="C92" s="254" t="s">
        <v>703</v>
      </c>
      <c r="D92" s="219"/>
      <c r="E92" s="219"/>
      <c r="F92" s="243"/>
      <c r="G92" s="211"/>
    </row>
    <row r="93" spans="1:7" s="186" customFormat="1" ht="12" customHeight="1" x14ac:dyDescent="0.25">
      <c r="A93" s="252" t="s">
        <v>541</v>
      </c>
      <c r="B93" s="253" t="s">
        <v>704</v>
      </c>
      <c r="C93" s="254" t="s">
        <v>705</v>
      </c>
      <c r="D93" s="219"/>
      <c r="E93" s="219"/>
      <c r="F93" s="243"/>
      <c r="G93" s="211"/>
    </row>
    <row r="94" spans="1:7" s="186" customFormat="1" ht="12" customHeight="1" x14ac:dyDescent="0.25">
      <c r="A94" s="252" t="s">
        <v>544</v>
      </c>
      <c r="B94" s="253" t="s">
        <v>706</v>
      </c>
      <c r="C94" s="254" t="s">
        <v>707</v>
      </c>
      <c r="D94" s="219"/>
      <c r="E94" s="219"/>
      <c r="F94" s="243"/>
      <c r="G94" s="211"/>
    </row>
    <row r="95" spans="1:7" s="212" customFormat="1" ht="12" customHeight="1" x14ac:dyDescent="0.25">
      <c r="A95" s="249" t="s">
        <v>574</v>
      </c>
      <c r="B95" s="249" t="s">
        <v>708</v>
      </c>
      <c r="C95" s="250" t="s">
        <v>709</v>
      </c>
      <c r="D95" s="210">
        <f>SUM(D96:D98)</f>
        <v>0</v>
      </c>
      <c r="E95" s="210">
        <f>SUM(E96:E98)</f>
        <v>0</v>
      </c>
      <c r="F95" s="251"/>
      <c r="G95" s="211"/>
    </row>
    <row r="96" spans="1:7" s="186" customFormat="1" ht="12" customHeight="1" x14ac:dyDescent="0.25">
      <c r="A96" s="252" t="s">
        <v>577</v>
      </c>
      <c r="B96" s="253" t="s">
        <v>710</v>
      </c>
      <c r="C96" s="254" t="s">
        <v>711</v>
      </c>
      <c r="D96" s="219"/>
      <c r="E96" s="219"/>
      <c r="F96" s="243"/>
      <c r="G96" s="211"/>
    </row>
    <row r="97" spans="1:7" s="186" customFormat="1" ht="12" customHeight="1" x14ac:dyDescent="0.25">
      <c r="A97" s="252" t="s">
        <v>532</v>
      </c>
      <c r="B97" s="253" t="s">
        <v>712</v>
      </c>
      <c r="C97" s="254" t="s">
        <v>713</v>
      </c>
      <c r="D97" s="219"/>
      <c r="E97" s="219"/>
      <c r="F97" s="243"/>
      <c r="G97" s="211"/>
    </row>
    <row r="98" spans="1:7" s="186" customFormat="1" ht="12" customHeight="1" x14ac:dyDescent="0.25">
      <c r="A98" s="252" t="s">
        <v>535</v>
      </c>
      <c r="B98" s="253" t="s">
        <v>714</v>
      </c>
      <c r="C98" s="254" t="s">
        <v>715</v>
      </c>
      <c r="D98" s="219"/>
      <c r="E98" s="219"/>
      <c r="F98" s="243"/>
      <c r="G98" s="211"/>
    </row>
    <row r="99" spans="1:7" s="212" customFormat="1" ht="12" customHeight="1" x14ac:dyDescent="0.25">
      <c r="A99" s="249" t="s">
        <v>716</v>
      </c>
      <c r="B99" s="249" t="s">
        <v>717</v>
      </c>
      <c r="C99" s="250" t="s">
        <v>718</v>
      </c>
      <c r="D99" s="210">
        <f>D100+D101</f>
        <v>0</v>
      </c>
      <c r="E99" s="210">
        <f>E100+E101</f>
        <v>0</v>
      </c>
      <c r="F99" s="251"/>
      <c r="G99" s="211"/>
    </row>
    <row r="100" spans="1:7" s="186" customFormat="1" ht="12" customHeight="1" x14ac:dyDescent="0.25">
      <c r="A100" s="252" t="s">
        <v>719</v>
      </c>
      <c r="B100" s="253" t="s">
        <v>720</v>
      </c>
      <c r="C100" s="254" t="s">
        <v>721</v>
      </c>
      <c r="D100" s="219"/>
      <c r="E100" s="219"/>
      <c r="F100" s="243"/>
      <c r="G100" s="211"/>
    </row>
    <row r="101" spans="1:7" s="186" customFormat="1" ht="12" customHeight="1" x14ac:dyDescent="0.25">
      <c r="A101" s="252" t="s">
        <v>532</v>
      </c>
      <c r="B101" s="253" t="s">
        <v>722</v>
      </c>
      <c r="C101" s="254" t="s">
        <v>723</v>
      </c>
      <c r="D101" s="219"/>
      <c r="E101" s="219"/>
      <c r="F101" s="243"/>
      <c r="G101" s="211"/>
    </row>
    <row r="102" spans="1:7" s="258" customFormat="1" x14ac:dyDescent="0.25">
      <c r="A102" s="255" t="s">
        <v>724</v>
      </c>
      <c r="B102" s="255" t="s">
        <v>725</v>
      </c>
      <c r="C102" s="256" t="s">
        <v>726</v>
      </c>
      <c r="D102" s="257">
        <f>F10-(D83+D88+D95+D99+D103+D136)</f>
        <v>0</v>
      </c>
      <c r="E102" s="257">
        <f>G10-(E83+E88+E95+E99+E103+E136)</f>
        <v>0</v>
      </c>
      <c r="F102" s="251"/>
    </row>
    <row r="103" spans="1:7" s="212" customFormat="1" ht="12" customHeight="1" x14ac:dyDescent="0.25">
      <c r="A103" s="249" t="s">
        <v>594</v>
      </c>
      <c r="B103" s="249" t="s">
        <v>727</v>
      </c>
      <c r="C103" s="250" t="s">
        <v>728</v>
      </c>
      <c r="D103" s="210">
        <f>D104+D109+D121+D132+D133</f>
        <v>0</v>
      </c>
      <c r="E103" s="210">
        <f>E104+E109+E121+E132+E133</f>
        <v>0</v>
      </c>
      <c r="F103" s="259"/>
      <c r="G103" s="211"/>
    </row>
    <row r="104" spans="1:7" s="212" customFormat="1" ht="12" customHeight="1" x14ac:dyDescent="0.25">
      <c r="A104" s="249" t="s">
        <v>597</v>
      </c>
      <c r="B104" s="249" t="s">
        <v>729</v>
      </c>
      <c r="C104" s="250" t="s">
        <v>730</v>
      </c>
      <c r="D104" s="210">
        <f>SUM(D105:D108)</f>
        <v>0</v>
      </c>
      <c r="E104" s="210">
        <f>SUM(E105:E108)</f>
        <v>0</v>
      </c>
      <c r="F104" s="1301"/>
      <c r="G104" s="1301"/>
    </row>
    <row r="105" spans="1:7" s="186" customFormat="1" ht="12" customHeight="1" x14ac:dyDescent="0.25">
      <c r="A105" s="252" t="s">
        <v>600</v>
      </c>
      <c r="B105" s="253" t="s">
        <v>731</v>
      </c>
      <c r="C105" s="254" t="s">
        <v>732</v>
      </c>
      <c r="D105" s="219"/>
      <c r="E105" s="219"/>
      <c r="F105" s="225"/>
      <c r="G105" s="225"/>
    </row>
    <row r="106" spans="1:7" s="186" customFormat="1" ht="12" customHeight="1" x14ac:dyDescent="0.25">
      <c r="A106" s="252" t="s">
        <v>532</v>
      </c>
      <c r="B106" s="253" t="s">
        <v>733</v>
      </c>
      <c r="C106" s="254" t="s">
        <v>734</v>
      </c>
      <c r="D106" s="219"/>
      <c r="E106" s="219"/>
      <c r="F106" s="225"/>
      <c r="G106" s="225"/>
    </row>
    <row r="107" spans="1:7" s="186" customFormat="1" ht="12" customHeight="1" x14ac:dyDescent="0.25">
      <c r="A107" s="252" t="s">
        <v>535</v>
      </c>
      <c r="B107" s="253" t="s">
        <v>735</v>
      </c>
      <c r="C107" s="254" t="s">
        <v>736</v>
      </c>
      <c r="D107" s="219"/>
      <c r="E107" s="219"/>
      <c r="F107" s="225"/>
      <c r="G107" s="225"/>
    </row>
    <row r="108" spans="1:7" s="186" customFormat="1" ht="12" customHeight="1" x14ac:dyDescent="0.25">
      <c r="A108" s="252" t="s">
        <v>538</v>
      </c>
      <c r="B108" s="253" t="s">
        <v>737</v>
      </c>
      <c r="C108" s="254" t="s">
        <v>738</v>
      </c>
      <c r="D108" s="219"/>
      <c r="E108" s="219"/>
      <c r="F108" s="243"/>
      <c r="G108" s="211"/>
    </row>
    <row r="109" spans="1:7" s="212" customFormat="1" ht="12" customHeight="1" x14ac:dyDescent="0.25">
      <c r="A109" s="249" t="s">
        <v>613</v>
      </c>
      <c r="B109" s="249" t="s">
        <v>739</v>
      </c>
      <c r="C109" s="250" t="s">
        <v>740</v>
      </c>
      <c r="D109" s="210">
        <f>SUM(D110:D120)</f>
        <v>0</v>
      </c>
      <c r="E109" s="210">
        <f>SUM(E110:E120)</f>
        <v>0</v>
      </c>
      <c r="F109" s="1301"/>
      <c r="G109" s="1301"/>
    </row>
    <row r="110" spans="1:7" s="186" customFormat="1" ht="12" customHeight="1" x14ac:dyDescent="0.25">
      <c r="A110" s="260" t="s">
        <v>616</v>
      </c>
      <c r="B110" s="260" t="s">
        <v>741</v>
      </c>
      <c r="C110" s="261" t="s">
        <v>742</v>
      </c>
      <c r="D110" s="226"/>
      <c r="E110" s="228"/>
      <c r="F110" s="225"/>
      <c r="G110" s="225"/>
    </row>
    <row r="111" spans="1:7" s="186" customFormat="1" ht="12" customHeight="1" x14ac:dyDescent="0.25">
      <c r="A111" s="260" t="s">
        <v>532</v>
      </c>
      <c r="B111" s="260" t="s">
        <v>619</v>
      </c>
      <c r="C111" s="261" t="s">
        <v>743</v>
      </c>
      <c r="D111" s="226"/>
      <c r="E111" s="228"/>
      <c r="F111" s="225"/>
      <c r="G111" s="225"/>
    </row>
    <row r="112" spans="1:7" s="186" customFormat="1" ht="12" customHeight="1" x14ac:dyDescent="0.25">
      <c r="A112" s="260" t="s">
        <v>535</v>
      </c>
      <c r="B112" s="260" t="s">
        <v>744</v>
      </c>
      <c r="C112" s="261" t="s">
        <v>745</v>
      </c>
      <c r="D112" s="226"/>
      <c r="E112" s="228"/>
      <c r="F112" s="225"/>
      <c r="G112" s="225"/>
    </row>
    <row r="113" spans="1:7" s="186" customFormat="1" ht="12" customHeight="1" x14ac:dyDescent="0.25">
      <c r="A113" s="260" t="s">
        <v>538</v>
      </c>
      <c r="B113" s="260" t="s">
        <v>746</v>
      </c>
      <c r="C113" s="261" t="s">
        <v>747</v>
      </c>
      <c r="D113" s="226"/>
      <c r="E113" s="228"/>
      <c r="F113" s="243"/>
      <c r="G113" s="211"/>
    </row>
    <row r="114" spans="1:7" s="186" customFormat="1" ht="12" customHeight="1" x14ac:dyDescent="0.25">
      <c r="A114" s="260" t="s">
        <v>541</v>
      </c>
      <c r="B114" s="260" t="s">
        <v>748</v>
      </c>
      <c r="C114" s="261" t="s">
        <v>749</v>
      </c>
      <c r="D114" s="226"/>
      <c r="E114" s="228"/>
      <c r="F114" s="243"/>
      <c r="G114" s="211"/>
    </row>
    <row r="115" spans="1:7" s="186" customFormat="1" ht="12" customHeight="1" x14ac:dyDescent="0.25">
      <c r="A115" s="260" t="s">
        <v>544</v>
      </c>
      <c r="B115" s="260" t="s">
        <v>750</v>
      </c>
      <c r="C115" s="261" t="s">
        <v>751</v>
      </c>
      <c r="D115" s="226"/>
      <c r="E115" s="228"/>
      <c r="F115" s="243"/>
      <c r="G115" s="211"/>
    </row>
    <row r="116" spans="1:7" s="186" customFormat="1" ht="12" customHeight="1" x14ac:dyDescent="0.25">
      <c r="A116" s="260" t="s">
        <v>547</v>
      </c>
      <c r="B116" s="260" t="s">
        <v>752</v>
      </c>
      <c r="C116" s="261" t="s">
        <v>753</v>
      </c>
      <c r="D116" s="228"/>
      <c r="E116" s="228"/>
      <c r="F116" s="243"/>
      <c r="G116" s="211"/>
    </row>
    <row r="117" spans="1:7" s="186" customFormat="1" ht="12" customHeight="1" x14ac:dyDescent="0.25">
      <c r="A117" s="260" t="s">
        <v>568</v>
      </c>
      <c r="B117" s="260" t="s">
        <v>754</v>
      </c>
      <c r="C117" s="261" t="s">
        <v>755</v>
      </c>
      <c r="D117" s="228"/>
      <c r="E117" s="228"/>
      <c r="F117" s="243"/>
      <c r="G117" s="211"/>
    </row>
    <row r="118" spans="1:7" s="186" customFormat="1" ht="12" customHeight="1" x14ac:dyDescent="0.25">
      <c r="A118" s="260" t="s">
        <v>571</v>
      </c>
      <c r="B118" s="260" t="s">
        <v>756</v>
      </c>
      <c r="C118" s="261" t="s">
        <v>757</v>
      </c>
      <c r="D118" s="228"/>
      <c r="E118" s="228"/>
      <c r="F118" s="243"/>
      <c r="G118" s="211"/>
    </row>
    <row r="119" spans="1:7" s="186" customFormat="1" ht="12" customHeight="1" x14ac:dyDescent="0.25">
      <c r="A119" s="260" t="s">
        <v>758</v>
      </c>
      <c r="B119" s="260" t="s">
        <v>759</v>
      </c>
      <c r="C119" s="261" t="s">
        <v>760</v>
      </c>
      <c r="D119" s="228"/>
      <c r="E119" s="228"/>
      <c r="F119" s="243"/>
      <c r="G119" s="211"/>
    </row>
    <row r="120" spans="1:7" s="186" customFormat="1" ht="12" customHeight="1" x14ac:dyDescent="0.25">
      <c r="A120" s="260" t="s">
        <v>761</v>
      </c>
      <c r="B120" s="262" t="s">
        <v>762</v>
      </c>
      <c r="C120" s="261" t="s">
        <v>763</v>
      </c>
      <c r="D120" s="228"/>
      <c r="E120" s="228"/>
      <c r="F120" s="243"/>
      <c r="G120" s="211"/>
    </row>
    <row r="121" spans="1:7" s="212" customFormat="1" ht="12" customHeight="1" x14ac:dyDescent="0.25">
      <c r="A121" s="249" t="s">
        <v>631</v>
      </c>
      <c r="B121" s="249" t="s">
        <v>764</v>
      </c>
      <c r="C121" s="250" t="s">
        <v>765</v>
      </c>
      <c r="D121" s="210">
        <f>SUM(D122:D131)</f>
        <v>0</v>
      </c>
      <c r="E121" s="210">
        <f>SUM(E122:E131)</f>
        <v>0</v>
      </c>
      <c r="F121" s="1301"/>
      <c r="G121" s="1301"/>
    </row>
    <row r="122" spans="1:7" s="186" customFormat="1" ht="12" customHeight="1" x14ac:dyDescent="0.25">
      <c r="A122" s="252" t="s">
        <v>634</v>
      </c>
      <c r="B122" s="253" t="s">
        <v>766</v>
      </c>
      <c r="C122" s="254" t="s">
        <v>767</v>
      </c>
      <c r="D122" s="226"/>
      <c r="E122" s="228"/>
      <c r="F122" s="225"/>
      <c r="G122" s="225"/>
    </row>
    <row r="123" spans="1:7" s="186" customFormat="1" ht="12" customHeight="1" x14ac:dyDescent="0.25">
      <c r="A123" s="260" t="s">
        <v>532</v>
      </c>
      <c r="B123" s="260" t="s">
        <v>619</v>
      </c>
      <c r="C123" s="261" t="s">
        <v>768</v>
      </c>
      <c r="D123" s="226"/>
      <c r="E123" s="228"/>
      <c r="F123" s="225"/>
      <c r="G123" s="225"/>
    </row>
    <row r="124" spans="1:7" s="186" customFormat="1" ht="12" customHeight="1" x14ac:dyDescent="0.25">
      <c r="A124" s="252" t="s">
        <v>535</v>
      </c>
      <c r="B124" s="253" t="s">
        <v>769</v>
      </c>
      <c r="C124" s="254" t="s">
        <v>770</v>
      </c>
      <c r="D124" s="226"/>
      <c r="E124" s="228"/>
      <c r="F124" s="225"/>
      <c r="G124" s="225"/>
    </row>
    <row r="125" spans="1:7" s="186" customFormat="1" ht="12" customHeight="1" x14ac:dyDescent="0.25">
      <c r="A125" s="252" t="s">
        <v>538</v>
      </c>
      <c r="B125" s="253" t="s">
        <v>771</v>
      </c>
      <c r="C125" s="254" t="s">
        <v>772</v>
      </c>
      <c r="D125" s="226"/>
      <c r="E125" s="228"/>
      <c r="F125" s="225"/>
      <c r="G125" s="225"/>
    </row>
    <row r="126" spans="1:7" s="186" customFormat="1" ht="12" customHeight="1" x14ac:dyDescent="0.25">
      <c r="A126" s="252" t="s">
        <v>541</v>
      </c>
      <c r="B126" s="253" t="s">
        <v>773</v>
      </c>
      <c r="C126" s="254" t="s">
        <v>774</v>
      </c>
      <c r="D126" s="226"/>
      <c r="E126" s="228"/>
      <c r="F126" s="1302"/>
      <c r="G126" s="1302"/>
    </row>
    <row r="127" spans="1:7" s="186" customFormat="1" ht="12" customHeight="1" x14ac:dyDescent="0.25">
      <c r="A127" s="252" t="s">
        <v>544</v>
      </c>
      <c r="B127" s="253" t="s">
        <v>775</v>
      </c>
      <c r="C127" s="254" t="s">
        <v>776</v>
      </c>
      <c r="D127" s="226"/>
      <c r="E127" s="228"/>
      <c r="F127" s="1302"/>
      <c r="G127" s="1302"/>
    </row>
    <row r="128" spans="1:7" s="186" customFormat="1" ht="12" customHeight="1" x14ac:dyDescent="0.25">
      <c r="A128" s="252" t="s">
        <v>547</v>
      </c>
      <c r="B128" s="253" t="s">
        <v>777</v>
      </c>
      <c r="C128" s="254" t="s">
        <v>778</v>
      </c>
      <c r="D128" s="228"/>
      <c r="E128" s="228"/>
      <c r="F128" s="1302"/>
      <c r="G128" s="1302"/>
    </row>
    <row r="129" spans="1:7" s="186" customFormat="1" ht="12" customHeight="1" x14ac:dyDescent="0.25">
      <c r="A129" s="252" t="s">
        <v>568</v>
      </c>
      <c r="B129" s="253" t="s">
        <v>779</v>
      </c>
      <c r="C129" s="254" t="s">
        <v>780</v>
      </c>
      <c r="D129" s="228"/>
      <c r="E129" s="228"/>
      <c r="F129" s="243"/>
      <c r="G129" s="211"/>
    </row>
    <row r="130" spans="1:7" s="186" customFormat="1" ht="12" customHeight="1" x14ac:dyDescent="0.25">
      <c r="A130" s="252" t="s">
        <v>571</v>
      </c>
      <c r="B130" s="253" t="s">
        <v>781</v>
      </c>
      <c r="C130" s="254" t="s">
        <v>782</v>
      </c>
      <c r="D130" s="228"/>
      <c r="E130" s="228"/>
      <c r="F130" s="243"/>
      <c r="G130" s="211"/>
    </row>
    <row r="131" spans="1:7" s="186" customFormat="1" ht="12" customHeight="1" x14ac:dyDescent="0.25">
      <c r="A131" s="252" t="s">
        <v>758</v>
      </c>
      <c r="B131" s="252" t="s">
        <v>783</v>
      </c>
      <c r="C131" s="254" t="s">
        <v>784</v>
      </c>
      <c r="D131" s="228"/>
      <c r="E131" s="228"/>
      <c r="F131" s="243"/>
      <c r="G131" s="211"/>
    </row>
    <row r="132" spans="1:7" s="186" customFormat="1" ht="12" customHeight="1" x14ac:dyDescent="0.25">
      <c r="A132" s="264" t="s">
        <v>649</v>
      </c>
      <c r="B132" s="264" t="s">
        <v>785</v>
      </c>
      <c r="C132" s="265" t="s">
        <v>786</v>
      </c>
      <c r="D132" s="266">
        <f>ROUND(IF('[2]Account determination'!C3=1,[2]Q!J15,[2]Q!G15)*1000,0)</f>
        <v>0</v>
      </c>
      <c r="E132" s="266">
        <f>ROUND([2]Q!L15*1000,0)</f>
        <v>0</v>
      </c>
      <c r="F132" s="1301"/>
      <c r="G132" s="1301"/>
    </row>
    <row r="133" spans="1:7" s="212" customFormat="1" ht="12" customHeight="1" x14ac:dyDescent="0.25">
      <c r="A133" s="249" t="s">
        <v>787</v>
      </c>
      <c r="B133" s="249" t="s">
        <v>788</v>
      </c>
      <c r="C133" s="250" t="s">
        <v>789</v>
      </c>
      <c r="D133" s="210">
        <f>D134+D135</f>
        <v>0</v>
      </c>
      <c r="E133" s="210">
        <f>E134+E135</f>
        <v>0</v>
      </c>
      <c r="F133" s="1301"/>
      <c r="G133" s="1301"/>
    </row>
    <row r="134" spans="1:7" s="186" customFormat="1" ht="12" customHeight="1" x14ac:dyDescent="0.25">
      <c r="A134" s="252" t="s">
        <v>790</v>
      </c>
      <c r="B134" s="253" t="s">
        <v>791</v>
      </c>
      <c r="C134" s="254" t="s">
        <v>792</v>
      </c>
      <c r="D134" s="228"/>
      <c r="E134" s="228"/>
      <c r="F134" s="225"/>
      <c r="G134" s="225"/>
    </row>
    <row r="135" spans="1:7" s="186" customFormat="1" ht="12" customHeight="1" x14ac:dyDescent="0.25">
      <c r="A135" s="252" t="s">
        <v>532</v>
      </c>
      <c r="B135" s="253" t="s">
        <v>793</v>
      </c>
      <c r="C135" s="254" t="s">
        <v>794</v>
      </c>
      <c r="D135" s="228"/>
      <c r="E135" s="228"/>
      <c r="F135" s="225"/>
      <c r="G135" s="225"/>
    </row>
    <row r="136" spans="1:7" s="212" customFormat="1" ht="12" customHeight="1" x14ac:dyDescent="0.25">
      <c r="A136" s="249" t="s">
        <v>663</v>
      </c>
      <c r="B136" s="249" t="s">
        <v>795</v>
      </c>
      <c r="C136" s="250" t="s">
        <v>796</v>
      </c>
      <c r="D136" s="210">
        <f>SUM(D137:D140)</f>
        <v>0</v>
      </c>
      <c r="E136" s="210">
        <f>SUM(E137:E140)</f>
        <v>0</v>
      </c>
      <c r="F136" s="1301"/>
      <c r="G136" s="1301"/>
    </row>
    <row r="137" spans="1:7" s="186" customFormat="1" ht="12" customHeight="1" x14ac:dyDescent="0.25">
      <c r="A137" s="252" t="s">
        <v>666</v>
      </c>
      <c r="B137" s="253" t="s">
        <v>797</v>
      </c>
      <c r="C137" s="254" t="s">
        <v>798</v>
      </c>
      <c r="D137" s="219"/>
      <c r="E137" s="219"/>
      <c r="F137" s="225"/>
      <c r="G137" s="225"/>
    </row>
    <row r="138" spans="1:7" s="186" customFormat="1" ht="12" customHeight="1" x14ac:dyDescent="0.25">
      <c r="A138" s="252" t="s">
        <v>532</v>
      </c>
      <c r="B138" s="253" t="s">
        <v>799</v>
      </c>
      <c r="C138" s="254" t="s">
        <v>800</v>
      </c>
      <c r="D138" s="226"/>
      <c r="E138" s="226"/>
      <c r="F138" s="225"/>
      <c r="G138" s="225"/>
    </row>
    <row r="139" spans="1:7" s="186" customFormat="1" ht="12" customHeight="1" x14ac:dyDescent="0.25">
      <c r="A139" s="252" t="s">
        <v>535</v>
      </c>
      <c r="B139" s="253" t="s">
        <v>801</v>
      </c>
      <c r="C139" s="254" t="s">
        <v>802</v>
      </c>
      <c r="D139" s="226"/>
      <c r="E139" s="226"/>
      <c r="F139" s="1302"/>
      <c r="G139" s="1302"/>
    </row>
    <row r="140" spans="1:7" s="186" customFormat="1" ht="12" customHeight="1" x14ac:dyDescent="0.25">
      <c r="A140" s="252" t="s">
        <v>538</v>
      </c>
      <c r="B140" s="253" t="s">
        <v>803</v>
      </c>
      <c r="C140" s="254" t="s">
        <v>804</v>
      </c>
      <c r="D140" s="219"/>
      <c r="E140" s="219"/>
      <c r="F140" s="243"/>
      <c r="G140" s="211"/>
    </row>
    <row r="141" spans="1:7" ht="12" customHeight="1" x14ac:dyDescent="0.2">
      <c r="A141" s="267"/>
      <c r="B141" s="267" t="s">
        <v>805</v>
      </c>
      <c r="C141" s="268" t="s">
        <v>806</v>
      </c>
      <c r="D141" s="238">
        <f>SUM(D81:D140)</f>
        <v>0</v>
      </c>
      <c r="E141" s="238">
        <f>SUM(E81:E140)</f>
        <v>0</v>
      </c>
      <c r="F141" s="243"/>
      <c r="G141" s="211"/>
    </row>
    <row r="142" spans="1:7" ht="15" customHeight="1" x14ac:dyDescent="0.2">
      <c r="A142" s="269"/>
      <c r="B142" s="269"/>
      <c r="C142" s="270"/>
      <c r="D142" s="271"/>
      <c r="E142" s="271"/>
    </row>
    <row r="143" spans="1:7" ht="15" customHeight="1" x14ac:dyDescent="0.2">
      <c r="A143" s="269"/>
      <c r="B143" s="269"/>
      <c r="C143" s="270"/>
      <c r="D143" s="271"/>
      <c r="E143" s="271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407" customWidth="1"/>
    <col min="9" max="9" width="15.28515625" style="408" customWidth="1"/>
    <col min="10" max="10" width="20.85546875" style="412" customWidth="1"/>
  </cols>
  <sheetData>
    <row r="1" spans="1:13" ht="16.5" x14ac:dyDescent="0.3">
      <c r="A1" s="1" t="s">
        <v>102</v>
      </c>
      <c r="H1" s="1319" t="s">
        <v>1139</v>
      </c>
      <c r="I1" s="1320"/>
      <c r="J1" s="1321"/>
      <c r="K1" s="417"/>
      <c r="L1" s="417"/>
      <c r="M1" s="408"/>
    </row>
    <row r="2" spans="1:13" ht="17.25" thickBot="1" x14ac:dyDescent="0.35">
      <c r="A2" s="2" t="s">
        <v>8</v>
      </c>
    </row>
    <row r="3" spans="1:13" ht="45" customHeight="1" thickTop="1" thickBot="1" x14ac:dyDescent="0.3">
      <c r="A3" s="59" t="s">
        <v>1</v>
      </c>
      <c r="B3" s="70" t="s">
        <v>489</v>
      </c>
      <c r="C3" s="70" t="s">
        <v>104</v>
      </c>
      <c r="D3" s="70" t="s">
        <v>491</v>
      </c>
      <c r="H3" s="59" t="s">
        <v>489</v>
      </c>
      <c r="I3" s="459" t="s">
        <v>104</v>
      </c>
      <c r="J3" s="459" t="s">
        <v>491</v>
      </c>
    </row>
    <row r="4" spans="1:13" ht="20.25" customHeight="1" thickTop="1" thickBot="1" x14ac:dyDescent="0.3">
      <c r="A4" s="14" t="s">
        <v>106</v>
      </c>
      <c r="B4" s="15"/>
      <c r="C4" s="15"/>
      <c r="D4" s="15"/>
    </row>
    <row r="5" spans="1:13" ht="20.25" customHeight="1" thickBot="1" x14ac:dyDescent="0.3">
      <c r="A5" s="14" t="s">
        <v>107</v>
      </c>
      <c r="B5" s="15"/>
      <c r="C5" s="15"/>
      <c r="D5" s="15"/>
    </row>
    <row r="6" spans="1:13" ht="20.25" customHeight="1" thickBot="1" x14ac:dyDescent="0.3">
      <c r="A6" s="16" t="s">
        <v>108</v>
      </c>
      <c r="B6" s="17">
        <f>B4+B5</f>
        <v>0</v>
      </c>
      <c r="C6" s="17">
        <f t="shared" ref="C6:D6" si="0">C4+C5</f>
        <v>0</v>
      </c>
      <c r="D6" s="17">
        <f t="shared" si="0"/>
        <v>0</v>
      </c>
      <c r="H6" s="410">
        <f>SUM(B4:B5)-B6</f>
        <v>0</v>
      </c>
      <c r="I6" s="409">
        <f t="shared" ref="I6" si="1">SUM(C4:C5)-C6</f>
        <v>0</v>
      </c>
      <c r="J6" s="413">
        <f>SUM(D4:D5)-D6</f>
        <v>0</v>
      </c>
    </row>
    <row r="7" spans="1:13" ht="15.75" thickTop="1" x14ac:dyDescent="0.25">
      <c r="A7" s="48"/>
      <c r="B7" s="20"/>
      <c r="C7" s="20"/>
      <c r="D7" s="20"/>
    </row>
    <row r="8" spans="1:13" x14ac:dyDescent="0.25">
      <c r="A8" s="48"/>
      <c r="B8" s="20"/>
      <c r="C8" s="20"/>
      <c r="D8" s="20"/>
    </row>
    <row r="9" spans="1:13" ht="15.75" thickBot="1" x14ac:dyDescent="0.3">
      <c r="A9" s="48" t="s">
        <v>114</v>
      </c>
      <c r="B9" s="20"/>
      <c r="C9" s="20"/>
      <c r="D9" s="20"/>
    </row>
    <row r="10" spans="1:13" ht="45" customHeight="1" thickTop="1" thickBot="1" x14ac:dyDescent="0.3">
      <c r="A10" s="59" t="s">
        <v>1</v>
      </c>
      <c r="B10" s="70" t="s">
        <v>489</v>
      </c>
      <c r="C10" s="70" t="s">
        <v>104</v>
      </c>
      <c r="D10" s="663" t="s">
        <v>490</v>
      </c>
    </row>
    <row r="11" spans="1:13" ht="20.25" customHeight="1" thickTop="1" thickBot="1" x14ac:dyDescent="0.3">
      <c r="A11" s="14" t="s">
        <v>115</v>
      </c>
      <c r="B11" s="15"/>
      <c r="C11" s="15"/>
      <c r="D11" s="15"/>
    </row>
    <row r="12" spans="1:13" ht="20.25" customHeight="1" thickBot="1" x14ac:dyDescent="0.3">
      <c r="A12" s="14" t="s">
        <v>116</v>
      </c>
      <c r="B12" s="15"/>
      <c r="C12" s="15"/>
      <c r="D12" s="15"/>
    </row>
    <row r="13" spans="1:13" ht="20.25" customHeight="1" thickBot="1" x14ac:dyDescent="0.3">
      <c r="A13" s="16" t="s">
        <v>108</v>
      </c>
      <c r="B13" s="17">
        <f>B11+B12</f>
        <v>0</v>
      </c>
      <c r="C13" s="17">
        <f t="shared" ref="C13:D13" si="2">C11+C12</f>
        <v>0</v>
      </c>
      <c r="D13" s="17">
        <f t="shared" si="2"/>
        <v>0</v>
      </c>
      <c r="H13" s="410">
        <f>SUM(B11:B12)-B13</f>
        <v>0</v>
      </c>
      <c r="I13" s="409">
        <f>SUM(C11:C12)-C13</f>
        <v>0</v>
      </c>
      <c r="J13" s="413">
        <f t="shared" ref="J13" si="3">SUM(D11:D12)-D13</f>
        <v>0</v>
      </c>
    </row>
    <row r="14" spans="1:13" thickTop="1" x14ac:dyDescent="0.35">
      <c r="A14" s="5"/>
    </row>
  </sheetData>
  <mergeCells count="1">
    <mergeCell ref="H1:J1"/>
  </mergeCells>
  <conditionalFormatting sqref="H4:J13">
    <cfRule type="cellIs" dxfId="111" priority="1" operator="lessThan">
      <formula>0</formula>
    </cfRule>
    <cfRule type="cellIs" dxfId="11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6.5" x14ac:dyDescent="0.3">
      <c r="A2" s="2"/>
    </row>
    <row r="3" spans="1:3" ht="15.75" thickBot="1" x14ac:dyDescent="0.3">
      <c r="A3" s="20" t="s">
        <v>15</v>
      </c>
      <c r="B3" s="20"/>
      <c r="C3" s="20"/>
    </row>
    <row r="4" spans="1:3" ht="45" customHeight="1" thickTop="1" thickBot="1" x14ac:dyDescent="0.3">
      <c r="A4" s="59" t="s">
        <v>109</v>
      </c>
      <c r="B4" s="70" t="s">
        <v>103</v>
      </c>
      <c r="C4" s="70" t="s">
        <v>105</v>
      </c>
    </row>
    <row r="5" spans="1:3" ht="20.25" customHeight="1" thickTop="1" thickBot="1" x14ac:dyDescent="0.3">
      <c r="A5" s="14" t="s">
        <v>110</v>
      </c>
      <c r="B5" s="15"/>
      <c r="C5" s="15"/>
    </row>
    <row r="6" spans="1:3" ht="20.25" customHeight="1" thickBot="1" x14ac:dyDescent="0.3">
      <c r="A6" s="14" t="s">
        <v>111</v>
      </c>
      <c r="B6" s="15"/>
      <c r="C6" s="15"/>
    </row>
    <row r="7" spans="1:3" ht="20.25" customHeight="1" thickBot="1" x14ac:dyDescent="0.3">
      <c r="A7" s="14" t="s">
        <v>112</v>
      </c>
      <c r="B7" s="15"/>
      <c r="C7" s="15"/>
    </row>
    <row r="8" spans="1:3" ht="20.25" customHeight="1" thickBot="1" x14ac:dyDescent="0.3">
      <c r="A8" s="16" t="s">
        <v>113</v>
      </c>
      <c r="B8" s="17"/>
      <c r="C8" s="17"/>
    </row>
    <row r="9" spans="1:3" ht="15.75" thickTop="1" x14ac:dyDescent="0.25">
      <c r="A9" s="20"/>
      <c r="B9" s="20"/>
      <c r="C9" s="20"/>
    </row>
    <row r="10" spans="1:3" x14ac:dyDescent="0.25">
      <c r="A10" s="49"/>
      <c r="B10" s="20"/>
      <c r="C10" s="20"/>
    </row>
    <row r="11" spans="1:3" ht="15.75" thickBot="1" x14ac:dyDescent="0.3">
      <c r="A11" s="49" t="s">
        <v>117</v>
      </c>
      <c r="B11" s="20"/>
      <c r="C11" s="20"/>
    </row>
    <row r="12" spans="1:3" ht="45" customHeight="1" thickTop="1" thickBot="1" x14ac:dyDescent="0.3">
      <c r="A12" s="59" t="s">
        <v>118</v>
      </c>
      <c r="B12" s="70" t="s">
        <v>103</v>
      </c>
      <c r="C12" s="663" t="s">
        <v>490</v>
      </c>
    </row>
    <row r="13" spans="1:3" ht="20.25" customHeight="1" thickTop="1" thickBot="1" x14ac:dyDescent="0.3">
      <c r="A13" s="14" t="s">
        <v>119</v>
      </c>
      <c r="B13" s="15"/>
      <c r="C13" s="15"/>
    </row>
    <row r="14" spans="1:3" ht="20.25" customHeight="1" thickBot="1" x14ac:dyDescent="0.3">
      <c r="A14" s="14" t="s">
        <v>111</v>
      </c>
      <c r="B14" s="15"/>
      <c r="C14" s="15"/>
    </row>
    <row r="15" spans="1:3" ht="20.25" customHeight="1" thickBot="1" x14ac:dyDescent="0.3">
      <c r="A15" s="14" t="s">
        <v>120</v>
      </c>
      <c r="B15" s="15"/>
      <c r="C15" s="15"/>
    </row>
    <row r="16" spans="1:3" ht="20.25" customHeight="1" thickBot="1" x14ac:dyDescent="0.3">
      <c r="A16" s="16" t="s">
        <v>113</v>
      </c>
      <c r="B16" s="17"/>
      <c r="C16" s="17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407" hidden="1" customWidth="1" outlineLevel="1"/>
    <col min="9" max="11" width="18.85546875" hidden="1" customWidth="1" outlineLevel="1"/>
    <col min="12" max="12" width="24.7109375" style="412" customWidth="1" collapsed="1"/>
    <col min="14" max="14" width="22" style="414" customWidth="1"/>
  </cols>
  <sheetData>
    <row r="1" spans="1:15" ht="17.25" thickBot="1" x14ac:dyDescent="0.35">
      <c r="A1" s="1" t="s">
        <v>121</v>
      </c>
      <c r="H1" s="1319" t="s">
        <v>1139</v>
      </c>
      <c r="I1" s="1320"/>
      <c r="J1" s="1320"/>
      <c r="K1" s="1320"/>
      <c r="L1" s="1321"/>
      <c r="N1" s="422" t="s">
        <v>1141</v>
      </c>
    </row>
    <row r="2" spans="1:15" ht="16.5" thickTop="1" thickBot="1" x14ac:dyDescent="0.3">
      <c r="A2" s="1308" t="s">
        <v>122</v>
      </c>
      <c r="B2" s="1310" t="s">
        <v>2</v>
      </c>
      <c r="C2" s="1315"/>
      <c r="D2" s="1315"/>
      <c r="E2" s="1315"/>
      <c r="F2" s="1311"/>
    </row>
    <row r="3" spans="1:15" ht="62.25" customHeight="1" thickTop="1" thickBot="1" x14ac:dyDescent="0.3">
      <c r="A3" s="1309"/>
      <c r="B3" s="30" t="s">
        <v>123</v>
      </c>
      <c r="C3" s="21" t="s">
        <v>455</v>
      </c>
      <c r="D3" s="30" t="s">
        <v>459</v>
      </c>
      <c r="E3" s="21" t="s">
        <v>457</v>
      </c>
      <c r="F3" s="30" t="s">
        <v>89</v>
      </c>
      <c r="H3" s="59" t="s">
        <v>123</v>
      </c>
      <c r="I3" s="177" t="s">
        <v>455</v>
      </c>
      <c r="J3" s="59" t="s">
        <v>459</v>
      </c>
      <c r="K3" s="177" t="s">
        <v>457</v>
      </c>
      <c r="L3" s="59" t="s">
        <v>89</v>
      </c>
      <c r="N3" s="59" t="s">
        <v>89</v>
      </c>
    </row>
    <row r="4" spans="1:15" s="4" customFormat="1" ht="33" customHeight="1" thickTop="1" thickBot="1" x14ac:dyDescent="0.3">
      <c r="A4" s="14" t="s">
        <v>125</v>
      </c>
      <c r="B4" s="22"/>
      <c r="C4" s="22"/>
      <c r="D4" s="22"/>
      <c r="E4" s="22"/>
      <c r="F4" s="15">
        <f>SUM(B4:E4)</f>
        <v>0</v>
      </c>
      <c r="H4" s="407"/>
      <c r="I4" s="408"/>
      <c r="J4" s="408"/>
      <c r="K4" s="408"/>
      <c r="L4" s="413">
        <f>SUM(B4:E4)-F4</f>
        <v>0</v>
      </c>
      <c r="N4" s="421">
        <f>F4-BS!$E$56-BS!$E$48</f>
        <v>0</v>
      </c>
      <c r="O4" s="39"/>
    </row>
    <row r="5" spans="1:15" s="4" customFormat="1" ht="33" customHeight="1" thickBot="1" x14ac:dyDescent="0.3">
      <c r="A5" s="14" t="s">
        <v>126</v>
      </c>
      <c r="B5" s="22"/>
      <c r="C5" s="22"/>
      <c r="D5" s="22"/>
      <c r="E5" s="22"/>
      <c r="F5" s="15">
        <f t="shared" ref="F5:F8" si="0">SUM(B5:E5)</f>
        <v>0</v>
      </c>
      <c r="H5" s="407"/>
      <c r="I5" s="408"/>
      <c r="J5" s="408"/>
      <c r="K5" s="408"/>
      <c r="L5" s="413">
        <f>SUM(B5:E5)-F5</f>
        <v>0</v>
      </c>
      <c r="N5" s="421">
        <f>F5-BS!$E$58-BS!$E$50</f>
        <v>0</v>
      </c>
      <c r="O5" s="39"/>
    </row>
    <row r="6" spans="1:15" s="4" customFormat="1" ht="33" customHeight="1" thickBot="1" x14ac:dyDescent="0.3">
      <c r="A6" s="14" t="s">
        <v>136</v>
      </c>
      <c r="B6" s="22"/>
      <c r="C6" s="22"/>
      <c r="D6" s="22"/>
      <c r="E6" s="22"/>
      <c r="F6" s="15">
        <f t="shared" si="0"/>
        <v>0</v>
      </c>
      <c r="H6" s="407"/>
      <c r="I6" s="408"/>
      <c r="J6" s="408"/>
      <c r="K6" s="408"/>
      <c r="L6" s="413">
        <f t="shared" ref="L6:L8" si="1">SUM(B6:E6)-F6</f>
        <v>0</v>
      </c>
      <c r="N6" s="421">
        <f>F6-BS!$E$59-BS!$E$51</f>
        <v>0</v>
      </c>
      <c r="O6" s="39"/>
    </row>
    <row r="7" spans="1:15" s="4" customFormat="1" ht="33" customHeight="1" thickBot="1" x14ac:dyDescent="0.3">
      <c r="A7" s="14" t="s">
        <v>127</v>
      </c>
      <c r="B7" s="22"/>
      <c r="C7" s="22"/>
      <c r="D7" s="22"/>
      <c r="E7" s="22"/>
      <c r="F7" s="15">
        <f t="shared" si="0"/>
        <v>0</v>
      </c>
      <c r="H7" s="407"/>
      <c r="I7" s="408"/>
      <c r="J7" s="408"/>
      <c r="K7" s="408"/>
      <c r="L7" s="413">
        <f t="shared" si="1"/>
        <v>0</v>
      </c>
      <c r="N7" s="421">
        <f>F7-BS!$E$60-BS!$E$52</f>
        <v>0</v>
      </c>
      <c r="O7" s="39"/>
    </row>
    <row r="8" spans="1:15" s="4" customFormat="1" ht="33" customHeight="1" thickBot="1" x14ac:dyDescent="0.3">
      <c r="A8" s="14" t="s">
        <v>128</v>
      </c>
      <c r="B8" s="22"/>
      <c r="C8" s="22"/>
      <c r="D8" s="22"/>
      <c r="E8" s="22"/>
      <c r="F8" s="15">
        <f t="shared" si="0"/>
        <v>0</v>
      </c>
      <c r="H8" s="407"/>
      <c r="I8"/>
      <c r="J8"/>
      <c r="K8"/>
      <c r="L8" s="413">
        <f t="shared" si="1"/>
        <v>0</v>
      </c>
      <c r="N8" s="421">
        <f>F8-SUM(BS!$E$61:$E$63,BS!$E$53,BS!$E$54)</f>
        <v>0</v>
      </c>
      <c r="O8" s="39"/>
    </row>
    <row r="9" spans="1:15" s="4" customFormat="1" ht="33" customHeight="1" thickBot="1" x14ac:dyDescent="0.3">
      <c r="A9" s="25" t="s">
        <v>129</v>
      </c>
      <c r="B9" s="58">
        <f>SUM(B4:B8)</f>
        <v>0</v>
      </c>
      <c r="C9" s="58">
        <f>SUM(C4:C8)</f>
        <v>0</v>
      </c>
      <c r="D9" s="58">
        <f>SUM(D4:D8)</f>
        <v>0</v>
      </c>
      <c r="E9" s="58">
        <f>SUM(E4:E8)</f>
        <v>0</v>
      </c>
      <c r="F9" s="60">
        <f>SUM(F4:F8)</f>
        <v>0</v>
      </c>
      <c r="H9" s="407"/>
      <c r="I9"/>
      <c r="J9"/>
      <c r="K9"/>
      <c r="L9" s="413">
        <f>SUM(F4:F8)-F9</f>
        <v>0</v>
      </c>
      <c r="N9" s="421">
        <f>F9-BS!$E$47-BS!$E$55</f>
        <v>0</v>
      </c>
      <c r="O9" s="39"/>
    </row>
    <row r="10" spans="1:15" thickTop="1" x14ac:dyDescent="0.35">
      <c r="L10" s="413"/>
      <c r="N10" s="421"/>
      <c r="O10" s="39"/>
    </row>
    <row r="11" spans="1:15" ht="14.45" x14ac:dyDescent="0.35">
      <c r="H11" s="410"/>
      <c r="I11" s="409"/>
      <c r="J11" s="409"/>
      <c r="K11" s="409"/>
      <c r="L11" s="413"/>
      <c r="N11" s="421"/>
      <c r="O11" s="39"/>
    </row>
  </sheetData>
  <mergeCells count="3">
    <mergeCell ref="B2:F2"/>
    <mergeCell ref="A2:A3"/>
    <mergeCell ref="H1:L1"/>
  </mergeCells>
  <conditionalFormatting sqref="H4:L7 H11:L11 L5:L10">
    <cfRule type="cellIs" dxfId="109" priority="7" operator="lessThan">
      <formula>0</formula>
    </cfRule>
    <cfRule type="cellIs" dxfId="108" priority="8" operator="greaterThan">
      <formula>0</formula>
    </cfRule>
    <cfRule type="cellIs" dxfId="107" priority="9" operator="lessThan">
      <formula>0</formula>
    </cfRule>
    <cfRule type="cellIs" dxfId="106" priority="10" operator="greaterThan">
      <formula>0</formula>
    </cfRule>
  </conditionalFormatting>
  <conditionalFormatting sqref="N4:N11">
    <cfRule type="cellIs" dxfId="105" priority="5" operator="lessThan">
      <formula>0</formula>
    </cfRule>
    <cfRule type="cellIs" dxfId="104" priority="6" operator="greaterThan">
      <formula>0</formula>
    </cfRule>
  </conditionalFormatting>
  <conditionalFormatting sqref="L9">
    <cfRule type="cellIs" dxfId="103" priority="1" operator="lessThan">
      <formula>0</formula>
    </cfRule>
    <cfRule type="cellIs" dxfId="102" priority="2" operator="greaterThan">
      <formula>0</formula>
    </cfRule>
    <cfRule type="cellIs" dxfId="101" priority="3" operator="lessThan">
      <formula>0</formula>
    </cfRule>
    <cfRule type="cellIs" dxfId="10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407" customWidth="1" outlineLevel="1"/>
    <col min="7" max="7" width="18.85546875" style="408" customWidth="1" outlineLevel="1"/>
    <col min="8" max="8" width="20.85546875" style="412" customWidth="1"/>
    <col min="10" max="10" width="22" style="414" customWidth="1"/>
  </cols>
  <sheetData>
    <row r="1" spans="1:10" ht="16.5" x14ac:dyDescent="0.3">
      <c r="A1" s="1" t="s">
        <v>130</v>
      </c>
      <c r="F1" s="1319" t="s">
        <v>1139</v>
      </c>
      <c r="G1" s="1320"/>
      <c r="H1" s="1321"/>
      <c r="J1" s="420" t="s">
        <v>1141</v>
      </c>
    </row>
    <row r="2" spans="1:10" ht="17.25" thickBot="1" x14ac:dyDescent="0.35">
      <c r="A2" s="2" t="s">
        <v>8</v>
      </c>
    </row>
    <row r="3" spans="1:10" ht="22.5" customHeight="1" thickTop="1" thickBot="1" x14ac:dyDescent="0.3">
      <c r="A3" s="10" t="s">
        <v>131</v>
      </c>
      <c r="B3" s="11" t="s">
        <v>132</v>
      </c>
      <c r="C3" s="11" t="s">
        <v>133</v>
      </c>
      <c r="D3" s="11" t="s">
        <v>129</v>
      </c>
      <c r="F3" s="59" t="s">
        <v>132</v>
      </c>
      <c r="G3" s="458" t="s">
        <v>133</v>
      </c>
      <c r="H3" s="458" t="s">
        <v>129</v>
      </c>
      <c r="J3" s="59" t="s">
        <v>129</v>
      </c>
    </row>
    <row r="4" spans="1:10" ht="22.5" customHeight="1" thickTop="1" thickBot="1" x14ac:dyDescent="0.3">
      <c r="A4" s="64" t="s">
        <v>134</v>
      </c>
      <c r="B4" s="53"/>
      <c r="C4" s="53"/>
      <c r="D4" s="54"/>
      <c r="J4" s="421"/>
    </row>
    <row r="5" spans="1:10" ht="22.5" customHeight="1" thickTop="1" thickBot="1" x14ac:dyDescent="0.3">
      <c r="A5" s="14" t="s">
        <v>135</v>
      </c>
      <c r="B5" s="22"/>
      <c r="C5" s="22"/>
      <c r="D5" s="15">
        <f>B5+C5</f>
        <v>0</v>
      </c>
      <c r="H5" s="413">
        <f>SUM(B5:C5)-D5</f>
        <v>0</v>
      </c>
      <c r="J5" s="421">
        <f>D5-BS!$D$48</f>
        <v>0</v>
      </c>
    </row>
    <row r="6" spans="1:10" ht="22.5" customHeight="1" thickBot="1" x14ac:dyDescent="0.3">
      <c r="A6" s="14" t="s">
        <v>126</v>
      </c>
      <c r="B6" s="22"/>
      <c r="C6" s="22"/>
      <c r="D6" s="15">
        <f t="shared" ref="D6:D9" si="0">B6+C6</f>
        <v>0</v>
      </c>
      <c r="H6" s="413">
        <f t="shared" ref="H6:H9" si="1">SUM(B6:C6)-D6</f>
        <v>0</v>
      </c>
      <c r="J6" s="421">
        <f>D6-BS!$D$50</f>
        <v>0</v>
      </c>
    </row>
    <row r="7" spans="1:10" ht="22.5" customHeight="1" thickBot="1" x14ac:dyDescent="0.3">
      <c r="A7" s="14" t="s">
        <v>136</v>
      </c>
      <c r="B7" s="22"/>
      <c r="C7" s="22"/>
      <c r="D7" s="15">
        <f t="shared" si="0"/>
        <v>0</v>
      </c>
      <c r="H7" s="413">
        <f t="shared" si="1"/>
        <v>0</v>
      </c>
      <c r="J7" s="421">
        <f>D7-BS!$D$51</f>
        <v>0</v>
      </c>
    </row>
    <row r="8" spans="1:10" ht="22.5" customHeight="1" thickBot="1" x14ac:dyDescent="0.3">
      <c r="A8" s="14" t="s">
        <v>127</v>
      </c>
      <c r="B8" s="22"/>
      <c r="C8" s="22"/>
      <c r="D8" s="15">
        <f t="shared" si="0"/>
        <v>0</v>
      </c>
      <c r="H8" s="413">
        <f t="shared" si="1"/>
        <v>0</v>
      </c>
      <c r="J8" s="421">
        <f>D8-BS!$D$52</f>
        <v>0</v>
      </c>
    </row>
    <row r="9" spans="1:10" ht="22.5" customHeight="1" thickBot="1" x14ac:dyDescent="0.3">
      <c r="A9" s="14" t="s">
        <v>128</v>
      </c>
      <c r="B9" s="22"/>
      <c r="C9" s="22"/>
      <c r="D9" s="15">
        <f t="shared" si="0"/>
        <v>0</v>
      </c>
      <c r="H9" s="413">
        <f t="shared" si="1"/>
        <v>0</v>
      </c>
      <c r="J9" s="421">
        <f>D9-BS!$D$53-BS!$D$54</f>
        <v>0</v>
      </c>
    </row>
    <row r="10" spans="1:10" ht="22.5" customHeight="1" thickBot="1" x14ac:dyDescent="0.3">
      <c r="A10" s="25" t="s">
        <v>137</v>
      </c>
      <c r="B10" s="58">
        <f>SUM(B5:B9)</f>
        <v>0</v>
      </c>
      <c r="C10" s="58">
        <f>SUM(C5:C9)</f>
        <v>0</v>
      </c>
      <c r="D10" s="60">
        <f>SUM(D5:D9)</f>
        <v>0</v>
      </c>
      <c r="F10" s="410">
        <f>SUM(B5:B9)-B10</f>
        <v>0</v>
      </c>
      <c r="G10" s="409">
        <f>SUM(C5:C9)-C10</f>
        <v>0</v>
      </c>
      <c r="H10" s="413">
        <f>SUM(D5:D9)-D10</f>
        <v>0</v>
      </c>
      <c r="J10" s="421">
        <f>D10-BS!$D$47</f>
        <v>0</v>
      </c>
    </row>
    <row r="11" spans="1:10" ht="22.5" customHeight="1" thickTop="1" thickBot="1" x14ac:dyDescent="0.3">
      <c r="A11" s="64" t="s">
        <v>138</v>
      </c>
      <c r="B11" s="53"/>
      <c r="C11" s="53"/>
      <c r="D11" s="54"/>
      <c r="J11" s="421"/>
    </row>
    <row r="12" spans="1:10" ht="22.5" customHeight="1" thickTop="1" thickBot="1" x14ac:dyDescent="0.3">
      <c r="A12" s="14" t="s">
        <v>139</v>
      </c>
      <c r="B12" s="22"/>
      <c r="C12" s="22"/>
      <c r="D12" s="15">
        <f>B12+C12</f>
        <v>0</v>
      </c>
      <c r="H12" s="413">
        <f>SUM(B12:C12)-D12</f>
        <v>0</v>
      </c>
      <c r="J12" s="421">
        <f>D12-BS!$D$56</f>
        <v>0</v>
      </c>
    </row>
    <row r="13" spans="1:10" ht="22.5" customHeight="1" thickBot="1" x14ac:dyDescent="0.3">
      <c r="A13" s="14" t="s">
        <v>126</v>
      </c>
      <c r="B13" s="22"/>
      <c r="C13" s="22"/>
      <c r="D13" s="15">
        <f t="shared" ref="D13:D18" si="2">B13+C13</f>
        <v>0</v>
      </c>
      <c r="H13" s="413">
        <f t="shared" ref="H13:H18" si="3">SUM(B13:C13)-D13</f>
        <v>0</v>
      </c>
      <c r="J13" s="421">
        <f>D13-BS!$D$58</f>
        <v>0</v>
      </c>
    </row>
    <row r="14" spans="1:10" ht="22.5" customHeight="1" thickBot="1" x14ac:dyDescent="0.3">
      <c r="A14" s="14" t="s">
        <v>136</v>
      </c>
      <c r="B14" s="22"/>
      <c r="C14" s="22"/>
      <c r="D14" s="15">
        <f t="shared" si="2"/>
        <v>0</v>
      </c>
      <c r="H14" s="413">
        <f t="shared" si="3"/>
        <v>0</v>
      </c>
      <c r="J14" s="421">
        <f>D14-BS!$D$59</f>
        <v>0</v>
      </c>
    </row>
    <row r="15" spans="1:10" ht="22.5" customHeight="1" thickBot="1" x14ac:dyDescent="0.3">
      <c r="A15" s="14" t="s">
        <v>127</v>
      </c>
      <c r="B15" s="22"/>
      <c r="C15" s="22"/>
      <c r="D15" s="15">
        <f t="shared" si="2"/>
        <v>0</v>
      </c>
      <c r="H15" s="413">
        <f t="shared" si="3"/>
        <v>0</v>
      </c>
      <c r="J15" s="421">
        <f>D15-BS!$D$60</f>
        <v>0</v>
      </c>
    </row>
    <row r="16" spans="1:10" ht="22.5" customHeight="1" thickBot="1" x14ac:dyDescent="0.3">
      <c r="A16" s="14" t="s">
        <v>140</v>
      </c>
      <c r="B16" s="22"/>
      <c r="C16" s="22"/>
      <c r="D16" s="15">
        <f t="shared" si="2"/>
        <v>0</v>
      </c>
      <c r="H16" s="413">
        <f t="shared" si="3"/>
        <v>0</v>
      </c>
      <c r="J16" s="421">
        <f>D16-BS!$D$61</f>
        <v>0</v>
      </c>
    </row>
    <row r="17" spans="1:10" ht="22.5" customHeight="1" thickBot="1" x14ac:dyDescent="0.3">
      <c r="A17" s="14" t="s">
        <v>141</v>
      </c>
      <c r="B17" s="22"/>
      <c r="C17" s="22"/>
      <c r="D17" s="15">
        <f t="shared" si="2"/>
        <v>0</v>
      </c>
      <c r="H17" s="413">
        <f t="shared" si="3"/>
        <v>0</v>
      </c>
      <c r="J17" s="421">
        <f>D17-BS!$D$62</f>
        <v>0</v>
      </c>
    </row>
    <row r="18" spans="1:10" ht="22.5" customHeight="1" thickBot="1" x14ac:dyDescent="0.3">
      <c r="A18" s="14" t="s">
        <v>128</v>
      </c>
      <c r="B18" s="22"/>
      <c r="C18" s="22"/>
      <c r="D18" s="15">
        <f t="shared" si="2"/>
        <v>0</v>
      </c>
      <c r="H18" s="413">
        <f t="shared" si="3"/>
        <v>0</v>
      </c>
      <c r="J18" s="421">
        <f>D18-BS!$D$63</f>
        <v>0</v>
      </c>
    </row>
    <row r="19" spans="1:10" ht="22.5" customHeight="1" thickBot="1" x14ac:dyDescent="0.3">
      <c r="A19" s="25" t="s">
        <v>142</v>
      </c>
      <c r="B19" s="58">
        <f>SUM(B12:B18)</f>
        <v>0</v>
      </c>
      <c r="C19" s="58">
        <f>SUM(C12:C18)</f>
        <v>0</v>
      </c>
      <c r="D19" s="60">
        <f>SUM(D12:D18)</f>
        <v>0</v>
      </c>
      <c r="F19" s="410">
        <f>SUM(B12:B18)-B19</f>
        <v>0</v>
      </c>
      <c r="G19" s="409">
        <f>SUM(C12:C18)-C19</f>
        <v>0</v>
      </c>
      <c r="H19" s="413">
        <f>SUM(D12:D18)-D19</f>
        <v>0</v>
      </c>
      <c r="J19" s="421">
        <f>D19-BS!$D$55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99" priority="9" operator="lessThan">
      <formula>0</formula>
    </cfRule>
    <cfRule type="cellIs" dxfId="98" priority="10" operator="greaterThan">
      <formula>0</formula>
    </cfRule>
  </conditionalFormatting>
  <conditionalFormatting sqref="J4:J11">
    <cfRule type="cellIs" dxfId="97" priority="7" operator="lessThan">
      <formula>0</formula>
    </cfRule>
    <cfRule type="cellIs" dxfId="96" priority="8" operator="greaterThan">
      <formula>0</formula>
    </cfRule>
  </conditionalFormatting>
  <conditionalFormatting sqref="J12:J19">
    <cfRule type="cellIs" dxfId="95" priority="5" operator="lessThan">
      <formula>0</formula>
    </cfRule>
    <cfRule type="cellIs" dxfId="94" priority="6" operator="greaterThan">
      <formula>0</formula>
    </cfRule>
  </conditionalFormatting>
  <conditionalFormatting sqref="F5:H19">
    <cfRule type="cellIs" dxfId="93" priority="3" operator="lessThan">
      <formula>0</formula>
    </cfRule>
    <cfRule type="cellIs" dxfId="92" priority="4" operator="greaterThan">
      <formula>0</formula>
    </cfRule>
  </conditionalFormatting>
  <conditionalFormatting sqref="J5">
    <cfRule type="cellIs" dxfId="91" priority="1" operator="lessThan">
      <formula>0</formula>
    </cfRule>
    <cfRule type="cellIs" dxfId="9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407" customWidth="1"/>
    <col min="6" max="6" width="25.7109375" style="412" customWidth="1"/>
    <col min="7" max="7" width="3.85546875" customWidth="1"/>
    <col min="8" max="8" width="26" style="407" customWidth="1"/>
    <col min="9" max="9" width="26" style="412" customWidth="1"/>
  </cols>
  <sheetData>
    <row r="1" spans="1:9" ht="16.5" x14ac:dyDescent="0.3">
      <c r="A1" s="1" t="s">
        <v>130</v>
      </c>
      <c r="E1" s="1319" t="s">
        <v>1139</v>
      </c>
      <c r="F1" s="1321"/>
      <c r="G1" s="417"/>
      <c r="H1" s="1319" t="s">
        <v>1141</v>
      </c>
      <c r="I1" s="1321"/>
    </row>
    <row r="2" spans="1:9" ht="17.25" thickBot="1" x14ac:dyDescent="0.35">
      <c r="A2" s="5" t="s">
        <v>15</v>
      </c>
    </row>
    <row r="3" spans="1:9" ht="33" customHeight="1" thickTop="1" x14ac:dyDescent="0.25">
      <c r="A3" s="1308" t="s">
        <v>460</v>
      </c>
      <c r="B3" s="1308" t="s">
        <v>2</v>
      </c>
      <c r="C3" s="1308" t="s">
        <v>3</v>
      </c>
      <c r="E3" s="1308" t="s">
        <v>2</v>
      </c>
      <c r="F3" s="1308" t="s">
        <v>3</v>
      </c>
      <c r="H3" s="1308" t="s">
        <v>2</v>
      </c>
      <c r="I3" s="1308" t="s">
        <v>3</v>
      </c>
    </row>
    <row r="4" spans="1:9" ht="15.75" customHeight="1" thickBot="1" x14ac:dyDescent="0.3">
      <c r="A4" s="1309"/>
      <c r="B4" s="1309"/>
      <c r="C4" s="1309"/>
      <c r="E4" s="1309"/>
      <c r="F4" s="1309"/>
      <c r="H4" s="1309"/>
      <c r="I4" s="1309"/>
    </row>
    <row r="5" spans="1:9" ht="23.25" customHeight="1" thickTop="1" thickBot="1" x14ac:dyDescent="0.3">
      <c r="A5" s="14" t="s">
        <v>143</v>
      </c>
      <c r="B5" s="65"/>
      <c r="C5" s="66"/>
    </row>
    <row r="6" spans="1:9" ht="23.25" customHeight="1" thickBot="1" x14ac:dyDescent="0.3">
      <c r="A6" s="14" t="s">
        <v>461</v>
      </c>
      <c r="B6" s="65"/>
      <c r="C6" s="66"/>
    </row>
    <row r="7" spans="1:9" ht="23.25" customHeight="1" thickBot="1" x14ac:dyDescent="0.3">
      <c r="A7" s="44" t="s">
        <v>142</v>
      </c>
      <c r="B7" s="65">
        <f>B5+B6</f>
        <v>0</v>
      </c>
      <c r="C7" s="66">
        <f>C5+C6</f>
        <v>0</v>
      </c>
      <c r="E7" s="410">
        <f>SUM(B5:B6)-B7</f>
        <v>0</v>
      </c>
      <c r="F7" s="413">
        <f>SUM(C5:C6)-C7</f>
        <v>0</v>
      </c>
      <c r="H7" s="410">
        <f>B7-BS!$D$55</f>
        <v>0</v>
      </c>
      <c r="I7" s="413">
        <f>C7-BS!$G$55</f>
        <v>0</v>
      </c>
    </row>
    <row r="8" spans="1:9" ht="23.25" customHeight="1" thickBot="1" x14ac:dyDescent="0.3">
      <c r="A8" s="14" t="s">
        <v>144</v>
      </c>
      <c r="B8" s="65"/>
      <c r="C8" s="66"/>
    </row>
    <row r="9" spans="1:9" ht="23.25" customHeight="1" thickBot="1" x14ac:dyDescent="0.3">
      <c r="A9" s="14" t="s">
        <v>145</v>
      </c>
      <c r="B9" s="65"/>
      <c r="C9" s="66"/>
    </row>
    <row r="10" spans="1:9" ht="23.25" customHeight="1" thickBot="1" x14ac:dyDescent="0.3">
      <c r="A10" s="25" t="s">
        <v>137</v>
      </c>
      <c r="B10" s="67">
        <f>B8+B9</f>
        <v>0</v>
      </c>
      <c r="C10" s="68">
        <f>C8+C9</f>
        <v>0</v>
      </c>
      <c r="E10" s="410">
        <f>SUM(B8:B9)-B10</f>
        <v>0</v>
      </c>
      <c r="F10" s="413">
        <f>SUM(C8:C9)-C10</f>
        <v>0</v>
      </c>
      <c r="H10" s="410">
        <f>B10-BS!$D$47</f>
        <v>0</v>
      </c>
      <c r="I10" s="413">
        <f>C10-BS!$G$47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89" priority="6" operator="lessThan">
      <formula>0</formula>
    </cfRule>
    <cfRule type="cellIs" dxfId="88" priority="7" operator="greaterThan">
      <formula>0</formula>
    </cfRule>
  </conditionalFormatting>
  <conditionalFormatting sqref="H7:I10">
    <cfRule type="cellIs" dxfId="87" priority="1" operator="lessThan">
      <formula>0</formula>
    </cfRule>
    <cfRule type="cellIs" dxfId="86" priority="2" operator="greaterThan">
      <formula>0</formula>
    </cfRule>
    <cfRule type="cellIs" dxfId="85" priority="4" operator="lessThan">
      <formula>0</formula>
    </cfRule>
    <cfRule type="cellIs" dxfId="84" priority="5" operator="greaterThan">
      <formula>0</formula>
    </cfRule>
  </conditionalFormatting>
  <conditionalFormatting sqref="H1:I2 H5:I1048576"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1308" t="s">
        <v>147</v>
      </c>
      <c r="B2" s="1328" t="s">
        <v>2</v>
      </c>
      <c r="C2" s="1329"/>
    </row>
    <row r="3" spans="1:3" ht="16.5" thickTop="1" thickBot="1" x14ac:dyDescent="0.3">
      <c r="A3" s="1309"/>
      <c r="B3" s="11" t="s">
        <v>148</v>
      </c>
      <c r="C3" s="59" t="s">
        <v>149</v>
      </c>
    </row>
    <row r="4" spans="1:3" ht="23.25" customHeight="1" thickTop="1" thickBot="1" x14ac:dyDescent="0.3">
      <c r="A4" s="12" t="s">
        <v>150</v>
      </c>
      <c r="B4" s="45"/>
      <c r="C4" s="13"/>
    </row>
    <row r="5" spans="1:3" ht="23.25" customHeight="1" thickBot="1" x14ac:dyDescent="0.3">
      <c r="A5" s="14" t="s">
        <v>151</v>
      </c>
      <c r="B5" s="62" t="s">
        <v>18</v>
      </c>
      <c r="C5" s="15"/>
    </row>
    <row r="6" spans="1:3" ht="23.25" customHeight="1" thickBot="1" x14ac:dyDescent="0.3">
      <c r="A6" s="16" t="s">
        <v>152</v>
      </c>
      <c r="B6" s="34" t="s">
        <v>18</v>
      </c>
      <c r="C6" s="17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407" customWidth="1"/>
    <col min="6" max="6" width="36" style="412" customWidth="1"/>
    <col min="7" max="7" width="3.85546875" customWidth="1"/>
    <col min="8" max="8" width="18.5703125" style="407" customWidth="1"/>
    <col min="9" max="9" width="37" style="412" customWidth="1"/>
  </cols>
  <sheetData>
    <row r="1" spans="1:9" ht="16.5" x14ac:dyDescent="0.3">
      <c r="A1" s="1" t="s">
        <v>153</v>
      </c>
      <c r="E1" s="1319" t="s">
        <v>1139</v>
      </c>
      <c r="F1" s="1321"/>
      <c r="H1" s="1319" t="s">
        <v>1141</v>
      </c>
      <c r="I1" s="1321"/>
    </row>
    <row r="2" spans="1:9" ht="17.25" thickBot="1" x14ac:dyDescent="0.35">
      <c r="A2" s="5" t="s">
        <v>154</v>
      </c>
    </row>
    <row r="3" spans="1:9" ht="30" customHeight="1" thickTop="1" thickBot="1" x14ac:dyDescent="0.3">
      <c r="A3" s="10" t="s">
        <v>131</v>
      </c>
      <c r="B3" s="11" t="s">
        <v>2</v>
      </c>
      <c r="C3" s="11" t="s">
        <v>3</v>
      </c>
      <c r="E3" s="59" t="s">
        <v>2</v>
      </c>
      <c r="F3" s="59" t="s">
        <v>3</v>
      </c>
      <c r="H3" s="59" t="s">
        <v>2</v>
      </c>
      <c r="I3" s="59" t="s">
        <v>3</v>
      </c>
    </row>
    <row r="4" spans="1:9" ht="18.75" customHeight="1" thickTop="1" thickBot="1" x14ac:dyDescent="0.3">
      <c r="A4" s="12" t="s">
        <v>155</v>
      </c>
      <c r="B4" s="45"/>
      <c r="C4" s="13"/>
      <c r="H4" s="410">
        <f>B4+B7-BS!$D$65</f>
        <v>0</v>
      </c>
      <c r="I4" s="413">
        <f>C4+C7-BS!$G$65</f>
        <v>0</v>
      </c>
    </row>
    <row r="5" spans="1:9" ht="18.75" customHeight="1" thickBot="1" x14ac:dyDescent="0.3">
      <c r="A5" s="14" t="s">
        <v>156</v>
      </c>
      <c r="B5" s="22"/>
      <c r="C5" s="15"/>
      <c r="H5" s="410">
        <f>B5-BS!$D$66</f>
        <v>0</v>
      </c>
      <c r="I5" s="413">
        <f>C5-BS!$G$66</f>
        <v>0</v>
      </c>
    </row>
    <row r="6" spans="1:9" ht="18.75" customHeight="1" thickBot="1" x14ac:dyDescent="0.3">
      <c r="A6" s="14" t="s">
        <v>157</v>
      </c>
      <c r="B6" s="22"/>
      <c r="C6" s="15"/>
      <c r="E6" s="410"/>
      <c r="F6" s="413"/>
      <c r="H6" s="410">
        <f>B6-BS!$D$67</f>
        <v>0</v>
      </c>
      <c r="I6" s="413">
        <f>C6-BS!$G$67</f>
        <v>0</v>
      </c>
    </row>
    <row r="7" spans="1:9" ht="18.75" customHeight="1" thickBot="1" x14ac:dyDescent="0.3">
      <c r="A7" s="14" t="s">
        <v>158</v>
      </c>
      <c r="B7" s="22"/>
      <c r="C7" s="15"/>
      <c r="H7" s="410">
        <f>H4</f>
        <v>0</v>
      </c>
      <c r="I7" s="413">
        <f>I4</f>
        <v>0</v>
      </c>
    </row>
    <row r="8" spans="1:9" ht="18.75" customHeight="1" thickBot="1" x14ac:dyDescent="0.3">
      <c r="A8" s="25" t="s">
        <v>14</v>
      </c>
      <c r="B8" s="58">
        <f>SUM(B4:B7)</f>
        <v>0</v>
      </c>
      <c r="C8" s="60">
        <f>SUM(C4:C7)</f>
        <v>0</v>
      </c>
      <c r="E8" s="410">
        <f>SUM(B4:B7)-B8</f>
        <v>0</v>
      </c>
      <c r="F8" s="413">
        <f>SUM(C4:C7)-C8</f>
        <v>0</v>
      </c>
      <c r="H8" s="410">
        <f>B8-SUM(BS!$D$65:$D$67)</f>
        <v>0</v>
      </c>
      <c r="I8" s="413">
        <f>C8-SUM(BS!$G$65:$G$67)</f>
        <v>0</v>
      </c>
    </row>
    <row r="9" spans="1:9" ht="15.75" thickTop="1" x14ac:dyDescent="0.25">
      <c r="E9" s="410"/>
      <c r="F9" s="413"/>
    </row>
  </sheetData>
  <mergeCells count="2">
    <mergeCell ref="E1:F1"/>
    <mergeCell ref="H1:I1"/>
  </mergeCells>
  <conditionalFormatting sqref="E6:F9">
    <cfRule type="cellIs" dxfId="83" priority="9" operator="lessThan">
      <formula>0</formula>
    </cfRule>
    <cfRule type="cellIs" dxfId="82" priority="10" operator="greaterThan">
      <formula>0</formula>
    </cfRule>
  </conditionalFormatting>
  <conditionalFormatting sqref="H1:I1">
    <cfRule type="cellIs" priority="8" stopIfTrue="1" operator="greaterThan">
      <formula>0</formula>
    </cfRule>
  </conditionalFormatting>
  <conditionalFormatting sqref="H8:I8">
    <cfRule type="cellIs" dxfId="81" priority="6" operator="lessThan">
      <formula>0</formula>
    </cfRule>
    <cfRule type="cellIs" dxfId="80" priority="7" operator="greaterThan">
      <formula>0</formula>
    </cfRule>
  </conditionalFormatting>
  <conditionalFormatting sqref="H4:I8">
    <cfRule type="cellIs" dxfId="79" priority="1" operator="lessThan">
      <formula>0</formula>
    </cfRule>
    <cfRule type="cellIs" dxfId="78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407" customWidth="1" outlineLevel="1"/>
    <col min="8" max="9" width="20.42578125" style="408" customWidth="1" outlineLevel="1"/>
    <col min="10" max="10" width="20.42578125" style="412" customWidth="1"/>
    <col min="12" max="12" width="20.42578125" style="414" customWidth="1"/>
  </cols>
  <sheetData>
    <row r="1" spans="1:13" ht="16.5" x14ac:dyDescent="0.3">
      <c r="A1" s="1" t="s">
        <v>153</v>
      </c>
      <c r="G1" s="1319" t="s">
        <v>1139</v>
      </c>
      <c r="H1" s="1320"/>
      <c r="I1" s="1320"/>
      <c r="J1" s="1321"/>
      <c r="L1" s="420" t="s">
        <v>1141</v>
      </c>
      <c r="M1" s="417"/>
    </row>
    <row r="3" spans="1:13" ht="17.25" thickBot="1" x14ac:dyDescent="0.35">
      <c r="A3" s="5" t="s">
        <v>15</v>
      </c>
    </row>
    <row r="4" spans="1:13" ht="16.5" thickTop="1" thickBot="1" x14ac:dyDescent="0.3">
      <c r="A4" s="1308" t="s">
        <v>159</v>
      </c>
      <c r="B4" s="1310" t="s">
        <v>2</v>
      </c>
      <c r="C4" s="1315"/>
      <c r="D4" s="1315"/>
      <c r="E4" s="1311"/>
    </row>
    <row r="5" spans="1:13" ht="18" customHeight="1" thickTop="1" x14ac:dyDescent="0.25">
      <c r="A5" s="1314"/>
      <c r="B5" s="1314" t="s">
        <v>32</v>
      </c>
      <c r="C5" s="1314" t="s">
        <v>27</v>
      </c>
      <c r="D5" s="1314" t="s">
        <v>28</v>
      </c>
      <c r="E5" s="1314" t="s">
        <v>30</v>
      </c>
      <c r="G5" s="1308" t="s">
        <v>32</v>
      </c>
      <c r="H5" s="1308" t="s">
        <v>27</v>
      </c>
      <c r="I5" s="1308" t="s">
        <v>28</v>
      </c>
      <c r="J5" s="1308" t="s">
        <v>30</v>
      </c>
      <c r="L5" s="1308" t="s">
        <v>30</v>
      </c>
    </row>
    <row r="6" spans="1:13" ht="17.25" customHeight="1" thickBot="1" x14ac:dyDescent="0.3">
      <c r="A6" s="1309"/>
      <c r="B6" s="1309"/>
      <c r="C6" s="1309"/>
      <c r="D6" s="1309"/>
      <c r="E6" s="1309"/>
      <c r="G6" s="1309"/>
      <c r="H6" s="1309"/>
      <c r="I6" s="1309"/>
      <c r="J6" s="1309"/>
      <c r="L6" s="1309"/>
    </row>
    <row r="7" spans="1:13" ht="21.75" customHeight="1" thickTop="1" thickBot="1" x14ac:dyDescent="0.3">
      <c r="A7" s="14" t="s">
        <v>160</v>
      </c>
      <c r="B7" s="22"/>
      <c r="C7" s="22"/>
      <c r="D7" s="22"/>
      <c r="E7" s="15">
        <f>SUM(B7:D7)</f>
        <v>0</v>
      </c>
      <c r="J7" s="413">
        <f>SUM(B7:D7)-E7</f>
        <v>0</v>
      </c>
    </row>
    <row r="8" spans="1:13" ht="21.75" customHeight="1" thickBot="1" x14ac:dyDescent="0.3">
      <c r="A8" s="14" t="s">
        <v>161</v>
      </c>
      <c r="B8" s="22"/>
      <c r="C8" s="22"/>
      <c r="D8" s="22"/>
      <c r="E8" s="15">
        <f t="shared" ref="E8:E12" si="0">SUM(B8:D8)</f>
        <v>0</v>
      </c>
      <c r="J8" s="413">
        <f t="shared" ref="J8:J12" si="1">SUM(B8:D8)-E8</f>
        <v>0</v>
      </c>
    </row>
    <row r="9" spans="1:13" ht="21.75" customHeight="1" thickBot="1" x14ac:dyDescent="0.3">
      <c r="A9" s="14" t="s">
        <v>162</v>
      </c>
      <c r="B9" s="22"/>
      <c r="C9" s="22"/>
      <c r="D9" s="22"/>
      <c r="E9" s="15">
        <f t="shared" si="0"/>
        <v>0</v>
      </c>
      <c r="J9" s="413">
        <f t="shared" si="1"/>
        <v>0</v>
      </c>
    </row>
    <row r="10" spans="1:13" ht="21.75" customHeight="1" thickBot="1" x14ac:dyDescent="0.3">
      <c r="A10" s="14" t="s">
        <v>163</v>
      </c>
      <c r="B10" s="22"/>
      <c r="C10" s="22"/>
      <c r="D10" s="22"/>
      <c r="E10" s="15">
        <f t="shared" si="0"/>
        <v>0</v>
      </c>
      <c r="J10" s="413">
        <f t="shared" si="1"/>
        <v>0</v>
      </c>
    </row>
    <row r="11" spans="1:13" ht="21.75" customHeight="1" thickBot="1" x14ac:dyDescent="0.3">
      <c r="A11" s="14" t="s">
        <v>164</v>
      </c>
      <c r="B11" s="22"/>
      <c r="C11" s="22"/>
      <c r="D11" s="22"/>
      <c r="E11" s="15">
        <f t="shared" si="0"/>
        <v>0</v>
      </c>
      <c r="J11" s="413">
        <f t="shared" si="1"/>
        <v>0</v>
      </c>
    </row>
    <row r="12" spans="1:13" ht="21.75" customHeight="1" thickBot="1" x14ac:dyDescent="0.3">
      <c r="A12" s="14" t="s">
        <v>165</v>
      </c>
      <c r="B12" s="22"/>
      <c r="C12" s="22"/>
      <c r="D12" s="22"/>
      <c r="E12" s="15">
        <f t="shared" si="0"/>
        <v>0</v>
      </c>
      <c r="J12" s="413">
        <f t="shared" si="1"/>
        <v>0</v>
      </c>
    </row>
    <row r="13" spans="1:13" ht="21.75" customHeight="1" thickBot="1" x14ac:dyDescent="0.3">
      <c r="A13" s="25" t="s">
        <v>166</v>
      </c>
      <c r="B13" s="58">
        <f>SUM(B7:B12)</f>
        <v>0</v>
      </c>
      <c r="C13" s="58">
        <f t="shared" ref="C13:E13" si="2">SUM(C7:C12)</f>
        <v>0</v>
      </c>
      <c r="D13" s="58">
        <f t="shared" si="2"/>
        <v>0</v>
      </c>
      <c r="E13" s="60">
        <f t="shared" si="2"/>
        <v>0</v>
      </c>
      <c r="G13" s="410">
        <f>SUM(B7:B12)-B13</f>
        <v>0</v>
      </c>
      <c r="H13" s="409">
        <f t="shared" ref="H13:J13" si="3">SUM(C7:C12)-C13</f>
        <v>0</v>
      </c>
      <c r="I13" s="409">
        <f t="shared" si="3"/>
        <v>0</v>
      </c>
      <c r="J13" s="413">
        <f t="shared" si="3"/>
        <v>0</v>
      </c>
      <c r="L13" s="421">
        <f>E13-SUM(BS!$D$68:$D$69)</f>
        <v>0</v>
      </c>
    </row>
    <row r="14" spans="1:13" thickTop="1" x14ac:dyDescent="0.3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77" priority="3" operator="lessThan">
      <formula>0</formula>
    </cfRule>
    <cfRule type="cellIs" dxfId="76" priority="4" operator="greaterThan">
      <formula>0</formula>
    </cfRule>
  </conditionalFormatting>
  <conditionalFormatting sqref="J13">
    <cfRule type="cellIs" dxfId="75" priority="1" operator="lessThan">
      <formula>0</formula>
    </cfRule>
    <cfRule type="cellIs" dxfId="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407" hidden="1" customWidth="1" outlineLevel="1"/>
    <col min="10" max="11" width="23.140625" style="408" hidden="1" customWidth="1" outlineLevel="1"/>
    <col min="12" max="12" width="20.140625" style="408" hidden="1" customWidth="1" outlineLevel="1"/>
    <col min="13" max="13" width="24.85546875" style="412" customWidth="1" collapsed="1"/>
    <col min="14" max="14" width="9.140625" style="408"/>
    <col min="15" max="15" width="20.42578125" style="414" customWidth="1"/>
  </cols>
  <sheetData>
    <row r="1" spans="1:15" ht="17.25" thickBot="1" x14ac:dyDescent="0.35">
      <c r="A1" s="1" t="s">
        <v>167</v>
      </c>
      <c r="I1" s="1325" t="s">
        <v>1139</v>
      </c>
      <c r="J1" s="1326"/>
      <c r="K1" s="1326"/>
      <c r="L1" s="1326"/>
      <c r="M1" s="1327"/>
      <c r="N1" s="412"/>
      <c r="O1" s="420" t="s">
        <v>1141</v>
      </c>
    </row>
    <row r="2" spans="1:15" ht="55.5" customHeight="1" thickTop="1" thickBot="1" x14ac:dyDescent="0.3">
      <c r="A2" s="59" t="s">
        <v>168</v>
      </c>
      <c r="B2" s="59" t="s">
        <v>169</v>
      </c>
      <c r="C2" s="59" t="s">
        <v>170</v>
      </c>
      <c r="D2" s="59" t="s">
        <v>88</v>
      </c>
      <c r="E2" s="59" t="s">
        <v>457</v>
      </c>
      <c r="F2" s="59" t="s">
        <v>171</v>
      </c>
      <c r="I2" s="59" t="s">
        <v>169</v>
      </c>
      <c r="J2" s="59" t="s">
        <v>170</v>
      </c>
      <c r="K2" s="59" t="s">
        <v>88</v>
      </c>
      <c r="L2" s="176" t="s">
        <v>457</v>
      </c>
      <c r="M2" s="59" t="s">
        <v>171</v>
      </c>
      <c r="N2" s="423"/>
      <c r="O2" s="59" t="s">
        <v>171</v>
      </c>
    </row>
    <row r="3" spans="1:15" ht="23.25" customHeight="1" thickTop="1" thickBot="1" x14ac:dyDescent="0.3">
      <c r="A3" s="71" t="s">
        <v>164</v>
      </c>
      <c r="B3" s="79"/>
      <c r="C3" s="79"/>
      <c r="D3" s="79"/>
      <c r="E3" s="79"/>
      <c r="F3" s="80">
        <f>SUM(B3:E3)</f>
        <v>0</v>
      </c>
      <c r="M3" s="413">
        <f>SUM(B3:E3)-F3</f>
        <v>0</v>
      </c>
      <c r="N3" s="413"/>
    </row>
    <row r="4" spans="1:15" ht="23.25" customHeight="1" thickBot="1" x14ac:dyDescent="0.3">
      <c r="A4" s="14" t="s">
        <v>165</v>
      </c>
      <c r="B4" s="79"/>
      <c r="C4" s="79"/>
      <c r="D4" s="79"/>
      <c r="E4" s="79"/>
      <c r="F4" s="80">
        <f t="shared" ref="F4:F5" si="0">SUM(B4:E4)</f>
        <v>0</v>
      </c>
      <c r="M4" s="413">
        <f>SUM(B4:E4)-F4</f>
        <v>0</v>
      </c>
      <c r="N4" s="413"/>
    </row>
    <row r="5" spans="1:15" ht="23.25" customHeight="1" thickBot="1" x14ac:dyDescent="0.3">
      <c r="A5" s="25" t="s">
        <v>166</v>
      </c>
      <c r="B5" s="81">
        <f>SUM(B3:B4)</f>
        <v>0</v>
      </c>
      <c r="C5" s="81">
        <f>SUM(C3:C4)</f>
        <v>0</v>
      </c>
      <c r="D5" s="81">
        <f>SUM(D3:D4)</f>
        <v>0</v>
      </c>
      <c r="E5" s="81">
        <f>SUM(E3:E4)</f>
        <v>0</v>
      </c>
      <c r="F5" s="82">
        <f t="shared" si="0"/>
        <v>0</v>
      </c>
      <c r="I5" s="410">
        <f>SUM(B3:B4)-B5</f>
        <v>0</v>
      </c>
      <c r="J5" s="409">
        <f>SUM(C3:C4)-C5</f>
        <v>0</v>
      </c>
      <c r="K5" s="409">
        <f>SUM(D3:D4)-D5</f>
        <v>0</v>
      </c>
      <c r="L5" s="409">
        <f>SUM(E3:E4)-E5</f>
        <v>0</v>
      </c>
      <c r="M5" s="413">
        <f>SUM(F3:F4)-F5</f>
        <v>0</v>
      </c>
      <c r="N5" s="413"/>
      <c r="O5" s="421">
        <f>F5-SUM(BS!E68:E69)</f>
        <v>0</v>
      </c>
    </row>
    <row r="6" spans="1:15" ht="15.75" thickTop="1" x14ac:dyDescent="0.25">
      <c r="M6" s="413"/>
      <c r="N6" s="413"/>
    </row>
    <row r="7" spans="1:15" x14ac:dyDescent="0.25">
      <c r="M7" s="413"/>
      <c r="N7" s="413"/>
    </row>
    <row r="8" spans="1:15" x14ac:dyDescent="0.25">
      <c r="M8" s="413"/>
      <c r="N8" s="413"/>
    </row>
    <row r="10" spans="1:15" x14ac:dyDescent="0.25">
      <c r="B10" s="20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73" priority="1" operator="lessThan">
      <formula>0</formula>
    </cfRule>
    <cfRule type="cellIs" dxfId="7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75" t="s">
        <v>131</v>
      </c>
      <c r="B2" s="76" t="s">
        <v>36</v>
      </c>
    </row>
    <row r="3" spans="1:2" ht="24" thickTop="1" thickBot="1" x14ac:dyDescent="0.3">
      <c r="A3" s="12" t="s">
        <v>172</v>
      </c>
      <c r="B3" s="77"/>
    </row>
    <row r="4" spans="1:2" ht="23.25" thickBot="1" x14ac:dyDescent="0.3">
      <c r="A4" s="16" t="s">
        <v>173</v>
      </c>
      <c r="B4" s="78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zoomScaleNormal="100" workbookViewId="0"/>
  </sheetViews>
  <sheetFormatPr defaultColWidth="9.140625" defaultRowHeight="11.25" x14ac:dyDescent="0.2"/>
  <cols>
    <col min="1" max="1" width="5.7109375" style="178" customWidth="1"/>
    <col min="2" max="2" width="65" style="178" customWidth="1"/>
    <col min="3" max="3" width="9.28515625" style="201" customWidth="1"/>
    <col min="4" max="4" width="15.5703125" style="321" customWidth="1"/>
    <col min="5" max="5" width="14.5703125" style="178" customWidth="1"/>
    <col min="6" max="16384" width="9.140625" style="178"/>
  </cols>
  <sheetData>
    <row r="1" spans="1:5" ht="12" customHeight="1" x14ac:dyDescent="0.2">
      <c r="A1" s="180" t="s">
        <v>497</v>
      </c>
      <c r="B1" s="272">
        <f>'[2]Import - Prelim'!B1</f>
        <v>0</v>
      </c>
      <c r="C1" s="273"/>
      <c r="D1" s="274"/>
      <c r="E1" s="275"/>
    </row>
    <row r="2" spans="1:5" s="186" customFormat="1" ht="12" customHeight="1" x14ac:dyDescent="0.2">
      <c r="A2" s="180" t="s">
        <v>500</v>
      </c>
      <c r="B2" s="276" t="s">
        <v>807</v>
      </c>
      <c r="C2" s="273"/>
      <c r="D2" s="274"/>
      <c r="E2" s="275"/>
    </row>
    <row r="3" spans="1:5" ht="11.25" customHeight="1" x14ac:dyDescent="0.2">
      <c r="B3" s="448" t="s">
        <v>807</v>
      </c>
      <c r="C3" s="178"/>
      <c r="D3" s="178"/>
    </row>
    <row r="4" spans="1:5" ht="11.25" customHeight="1" x14ac:dyDescent="0.2">
      <c r="A4" s="189"/>
      <c r="B4" s="190"/>
      <c r="C4" s="190"/>
      <c r="D4" s="277"/>
      <c r="E4" s="278"/>
    </row>
    <row r="5" spans="1:5" ht="12" customHeight="1" x14ac:dyDescent="0.2">
      <c r="B5" s="279" t="s">
        <v>808</v>
      </c>
      <c r="C5" s="196"/>
      <c r="D5" s="280"/>
      <c r="E5" s="281"/>
    </row>
    <row r="6" spans="1:5" s="201" customFormat="1" ht="12" customHeight="1" x14ac:dyDescent="0.2">
      <c r="A6" s="282" t="s">
        <v>508</v>
      </c>
      <c r="B6" s="283" t="s">
        <v>809</v>
      </c>
      <c r="C6" s="282" t="s">
        <v>510</v>
      </c>
      <c r="D6" s="284" t="s">
        <v>810</v>
      </c>
      <c r="E6" s="285"/>
    </row>
    <row r="7" spans="1:5" s="204" customFormat="1" ht="12" customHeight="1" x14ac:dyDescent="0.25">
      <c r="A7" s="286" t="s">
        <v>513</v>
      </c>
      <c r="B7" s="287"/>
      <c r="C7" s="286" t="s">
        <v>514</v>
      </c>
      <c r="D7" s="288" t="s">
        <v>811</v>
      </c>
      <c r="E7" s="289" t="s">
        <v>812</v>
      </c>
    </row>
    <row r="8" spans="1:5" s="201" customFormat="1" ht="12" customHeight="1" x14ac:dyDescent="0.2">
      <c r="A8" s="290" t="s">
        <v>518</v>
      </c>
      <c r="B8" s="291" t="s">
        <v>519</v>
      </c>
      <c r="C8" s="290" t="s">
        <v>520</v>
      </c>
      <c r="D8" s="292">
        <v>1</v>
      </c>
      <c r="E8" s="290">
        <v>2</v>
      </c>
    </row>
    <row r="9" spans="1:5" s="186" customFormat="1" ht="12" customHeight="1" x14ac:dyDescent="0.25">
      <c r="A9" s="293" t="s">
        <v>813</v>
      </c>
      <c r="B9" s="294" t="s">
        <v>1481</v>
      </c>
      <c r="C9" s="295" t="s">
        <v>814</v>
      </c>
      <c r="D9" s="296"/>
      <c r="E9" s="297"/>
    </row>
    <row r="10" spans="1:5" s="186" customFormat="1" ht="12" customHeight="1" x14ac:dyDescent="0.2">
      <c r="A10" s="293" t="s">
        <v>815</v>
      </c>
      <c r="B10" s="294" t="s">
        <v>816</v>
      </c>
      <c r="C10" s="295" t="s">
        <v>817</v>
      </c>
      <c r="D10" s="298"/>
      <c r="E10" s="299"/>
    </row>
    <row r="11" spans="1:5" s="303" customFormat="1" ht="12" customHeight="1" x14ac:dyDescent="0.25">
      <c r="A11" s="300" t="s">
        <v>818</v>
      </c>
      <c r="B11" s="300" t="s">
        <v>819</v>
      </c>
      <c r="C11" s="301" t="s">
        <v>820</v>
      </c>
      <c r="D11" s="302">
        <f>D9-D10</f>
        <v>0</v>
      </c>
      <c r="E11" s="302">
        <f>E9-E10</f>
        <v>0</v>
      </c>
    </row>
    <row r="12" spans="1:5" s="212" customFormat="1" ht="12" customHeight="1" x14ac:dyDescent="0.25">
      <c r="A12" s="304" t="s">
        <v>821</v>
      </c>
      <c r="B12" s="304" t="s">
        <v>822</v>
      </c>
      <c r="C12" s="305" t="s">
        <v>823</v>
      </c>
      <c r="D12" s="306">
        <f>SUM(D13:D15)</f>
        <v>0</v>
      </c>
      <c r="E12" s="306">
        <f>SUM(E13:E15)</f>
        <v>0</v>
      </c>
    </row>
    <row r="13" spans="1:5" s="186" customFormat="1" ht="12" customHeight="1" x14ac:dyDescent="0.25">
      <c r="A13" s="293" t="s">
        <v>824</v>
      </c>
      <c r="B13" s="294" t="s">
        <v>825</v>
      </c>
      <c r="C13" s="295" t="s">
        <v>826</v>
      </c>
      <c r="D13" s="296"/>
      <c r="E13" s="297"/>
    </row>
    <row r="14" spans="1:5" s="186" customFormat="1" ht="12" customHeight="1" x14ac:dyDescent="0.25">
      <c r="A14" s="293" t="s">
        <v>532</v>
      </c>
      <c r="B14" s="294" t="s">
        <v>827</v>
      </c>
      <c r="C14" s="295" t="s">
        <v>828</v>
      </c>
      <c r="D14" s="296"/>
      <c r="E14" s="297"/>
    </row>
    <row r="15" spans="1:5" s="186" customFormat="1" ht="12" customHeight="1" x14ac:dyDescent="0.25">
      <c r="A15" s="293" t="s">
        <v>535</v>
      </c>
      <c r="B15" s="294" t="s">
        <v>829</v>
      </c>
      <c r="C15" s="295" t="s">
        <v>830</v>
      </c>
      <c r="D15" s="296"/>
      <c r="E15" s="297"/>
    </row>
    <row r="16" spans="1:5" s="186" customFormat="1" ht="12" customHeight="1" x14ac:dyDescent="0.25">
      <c r="A16" s="307" t="s">
        <v>594</v>
      </c>
      <c r="B16" s="308" t="s">
        <v>831</v>
      </c>
      <c r="C16" s="309" t="s">
        <v>832</v>
      </c>
      <c r="D16" s="310">
        <f>SUM(D17:D18)</f>
        <v>0</v>
      </c>
      <c r="E16" s="310">
        <f>SUM(E17:E18)</f>
        <v>0</v>
      </c>
    </row>
    <row r="17" spans="1:5" s="186" customFormat="1" ht="12" customHeight="1" x14ac:dyDescent="0.25">
      <c r="A17" s="293" t="s">
        <v>833</v>
      </c>
      <c r="B17" s="294" t="s">
        <v>834</v>
      </c>
      <c r="C17" s="295" t="s">
        <v>835</v>
      </c>
      <c r="D17" s="296"/>
      <c r="E17" s="297"/>
    </row>
    <row r="18" spans="1:5" s="186" customFormat="1" ht="12" customHeight="1" x14ac:dyDescent="0.25">
      <c r="A18" s="293" t="s">
        <v>836</v>
      </c>
      <c r="B18" s="294" t="s">
        <v>837</v>
      </c>
      <c r="C18" s="295" t="s">
        <v>838</v>
      </c>
      <c r="D18" s="298"/>
      <c r="E18" s="297"/>
    </row>
    <row r="19" spans="1:5" s="303" customFormat="1" ht="12" customHeight="1" x14ac:dyDescent="0.25">
      <c r="A19" s="300" t="s">
        <v>818</v>
      </c>
      <c r="B19" s="300" t="s">
        <v>839</v>
      </c>
      <c r="C19" s="301" t="s">
        <v>840</v>
      </c>
      <c r="D19" s="302">
        <f>D11+D12-D16</f>
        <v>0</v>
      </c>
      <c r="E19" s="302">
        <f>E11+E12-E16</f>
        <v>0</v>
      </c>
    </row>
    <row r="20" spans="1:5" s="212" customFormat="1" ht="12" customHeight="1" x14ac:dyDescent="0.25">
      <c r="A20" s="304" t="s">
        <v>663</v>
      </c>
      <c r="B20" s="304" t="s">
        <v>841</v>
      </c>
      <c r="C20" s="305" t="s">
        <v>842</v>
      </c>
      <c r="D20" s="306">
        <f>SUM(D21:D24)</f>
        <v>0</v>
      </c>
      <c r="E20" s="306">
        <f>SUM(E21:E24)</f>
        <v>0</v>
      </c>
    </row>
    <row r="21" spans="1:5" s="186" customFormat="1" ht="12" customHeight="1" x14ac:dyDescent="0.25">
      <c r="A21" s="293" t="s">
        <v>666</v>
      </c>
      <c r="B21" s="294" t="s">
        <v>843</v>
      </c>
      <c r="C21" s="295" t="s">
        <v>844</v>
      </c>
      <c r="D21" s="296"/>
      <c r="E21" s="297"/>
    </row>
    <row r="22" spans="1:5" s="186" customFormat="1" ht="12" customHeight="1" x14ac:dyDescent="0.25">
      <c r="A22" s="293" t="s">
        <v>836</v>
      </c>
      <c r="B22" s="294" t="s">
        <v>845</v>
      </c>
      <c r="C22" s="295" t="s">
        <v>846</v>
      </c>
      <c r="D22" s="296"/>
      <c r="E22" s="297"/>
    </row>
    <row r="23" spans="1:5" s="186" customFormat="1" ht="12" customHeight="1" x14ac:dyDescent="0.35">
      <c r="A23" s="293" t="s">
        <v>847</v>
      </c>
      <c r="B23" s="294" t="s">
        <v>848</v>
      </c>
      <c r="C23" s="295" t="s">
        <v>849</v>
      </c>
      <c r="D23" s="296"/>
      <c r="E23" s="297"/>
    </row>
    <row r="24" spans="1:5" s="186" customFormat="1" ht="12" customHeight="1" x14ac:dyDescent="0.35">
      <c r="A24" s="293" t="s">
        <v>850</v>
      </c>
      <c r="B24" s="294" t="s">
        <v>851</v>
      </c>
      <c r="C24" s="295" t="s">
        <v>852</v>
      </c>
      <c r="D24" s="296"/>
      <c r="E24" s="297"/>
    </row>
    <row r="25" spans="1:5" s="186" customFormat="1" ht="12" customHeight="1" x14ac:dyDescent="0.35">
      <c r="A25" s="293" t="s">
        <v>853</v>
      </c>
      <c r="B25" s="294" t="s">
        <v>854</v>
      </c>
      <c r="C25" s="295" t="s">
        <v>855</v>
      </c>
      <c r="D25" s="296"/>
      <c r="E25" s="297"/>
    </row>
    <row r="26" spans="1:5" s="186" customFormat="1" ht="12" customHeight="1" x14ac:dyDescent="0.35">
      <c r="A26" s="293" t="s">
        <v>856</v>
      </c>
      <c r="B26" s="294" t="s">
        <v>857</v>
      </c>
      <c r="C26" s="295" t="s">
        <v>858</v>
      </c>
      <c r="D26" s="296"/>
      <c r="E26" s="297"/>
    </row>
    <row r="27" spans="1:5" s="186" customFormat="1" ht="12" customHeight="1" x14ac:dyDescent="0.35">
      <c r="A27" s="293" t="s">
        <v>859</v>
      </c>
      <c r="B27" s="294" t="s">
        <v>860</v>
      </c>
      <c r="C27" s="295" t="s">
        <v>861</v>
      </c>
      <c r="D27" s="296"/>
      <c r="E27" s="297"/>
    </row>
    <row r="28" spans="1:5" s="186" customFormat="1" ht="12" customHeight="1" x14ac:dyDescent="0.35">
      <c r="A28" s="293" t="s">
        <v>862</v>
      </c>
      <c r="B28" s="294" t="s">
        <v>863</v>
      </c>
      <c r="C28" s="295" t="s">
        <v>864</v>
      </c>
      <c r="D28" s="296"/>
      <c r="E28" s="297"/>
    </row>
    <row r="29" spans="1:5" s="186" customFormat="1" ht="12" customHeight="1" x14ac:dyDescent="0.35">
      <c r="A29" s="293" t="s">
        <v>865</v>
      </c>
      <c r="B29" s="311" t="s">
        <v>866</v>
      </c>
      <c r="C29" s="295" t="s">
        <v>867</v>
      </c>
      <c r="D29" s="296"/>
      <c r="E29" s="297"/>
    </row>
    <row r="30" spans="1:5" s="186" customFormat="1" ht="12" customHeight="1" x14ac:dyDescent="0.25">
      <c r="A30" s="293" t="s">
        <v>868</v>
      </c>
      <c r="B30" s="311" t="s">
        <v>869</v>
      </c>
      <c r="C30" s="295" t="s">
        <v>870</v>
      </c>
      <c r="D30" s="296"/>
      <c r="E30" s="297"/>
    </row>
    <row r="31" spans="1:5" s="186" customFormat="1" ht="12" customHeight="1" x14ac:dyDescent="0.25">
      <c r="A31" s="293" t="s">
        <v>871</v>
      </c>
      <c r="B31" s="311" t="s">
        <v>872</v>
      </c>
      <c r="C31" s="295" t="s">
        <v>873</v>
      </c>
      <c r="D31" s="296"/>
      <c r="E31" s="297"/>
    </row>
    <row r="32" spans="1:5" s="186" customFormat="1" ht="12" customHeight="1" x14ac:dyDescent="0.25">
      <c r="A32" s="293" t="s">
        <v>874</v>
      </c>
      <c r="B32" s="311" t="s">
        <v>875</v>
      </c>
      <c r="C32" s="295" t="s">
        <v>876</v>
      </c>
      <c r="D32" s="296"/>
      <c r="E32" s="297"/>
    </row>
    <row r="33" spans="1:5" s="186" customFormat="1" ht="12" customHeight="1" x14ac:dyDescent="0.25">
      <c r="A33" s="293" t="s">
        <v>877</v>
      </c>
      <c r="B33" s="311" t="s">
        <v>878</v>
      </c>
      <c r="C33" s="295" t="s">
        <v>879</v>
      </c>
      <c r="D33" s="296"/>
      <c r="E33" s="297"/>
    </row>
    <row r="34" spans="1:5" s="303" customFormat="1" ht="30.75" customHeight="1" x14ac:dyDescent="0.25">
      <c r="A34" s="300" t="s">
        <v>880</v>
      </c>
      <c r="B34" s="312" t="s">
        <v>881</v>
      </c>
      <c r="C34" s="313" t="s">
        <v>882</v>
      </c>
      <c r="D34" s="302">
        <f>D19-D20-D25-D26+D27-D28-D29+D30-D31+(-D32)-(-D33)</f>
        <v>0</v>
      </c>
      <c r="E34" s="302">
        <f>E19-E20-E25-E26+E27-E28-E29+E30-E31+(-E32)-(-E33)</f>
        <v>0</v>
      </c>
    </row>
    <row r="35" spans="1:5" s="186" customFormat="1" ht="12" customHeight="1" x14ac:dyDescent="0.25">
      <c r="A35" s="293" t="s">
        <v>883</v>
      </c>
      <c r="B35" s="311" t="s">
        <v>884</v>
      </c>
      <c r="C35" s="295" t="s">
        <v>885</v>
      </c>
      <c r="D35" s="296"/>
      <c r="E35" s="297"/>
    </row>
    <row r="36" spans="1:5" s="186" customFormat="1" ht="12" customHeight="1" x14ac:dyDescent="0.25">
      <c r="A36" s="293" t="s">
        <v>886</v>
      </c>
      <c r="B36" s="311" t="s">
        <v>887</v>
      </c>
      <c r="C36" s="295" t="s">
        <v>888</v>
      </c>
      <c r="D36" s="296"/>
      <c r="E36" s="297"/>
    </row>
    <row r="37" spans="1:5" s="186" customFormat="1" ht="12" customHeight="1" x14ac:dyDescent="0.25">
      <c r="A37" s="307" t="s">
        <v>889</v>
      </c>
      <c r="B37" s="307" t="s">
        <v>890</v>
      </c>
      <c r="C37" s="309" t="s">
        <v>891</v>
      </c>
      <c r="D37" s="310">
        <f>(SUM(D38:D40))</f>
        <v>0</v>
      </c>
      <c r="E37" s="310">
        <f>(SUM(E38:E40))</f>
        <v>0</v>
      </c>
    </row>
    <row r="38" spans="1:5" s="186" customFormat="1" ht="12" customHeight="1" x14ac:dyDescent="0.25">
      <c r="A38" s="293" t="s">
        <v>892</v>
      </c>
      <c r="B38" s="311" t="s">
        <v>893</v>
      </c>
      <c r="C38" s="295" t="s">
        <v>894</v>
      </c>
      <c r="D38" s="296"/>
      <c r="E38" s="297"/>
    </row>
    <row r="39" spans="1:5" s="186" customFormat="1" ht="12" customHeight="1" x14ac:dyDescent="0.25">
      <c r="A39" s="293" t="s">
        <v>895</v>
      </c>
      <c r="B39" s="311" t="s">
        <v>896</v>
      </c>
      <c r="C39" s="295" t="s">
        <v>897</v>
      </c>
      <c r="D39" s="296"/>
      <c r="E39" s="297"/>
    </row>
    <row r="40" spans="1:5" s="186" customFormat="1" ht="12" customHeight="1" x14ac:dyDescent="0.25">
      <c r="A40" s="293" t="s">
        <v>898</v>
      </c>
      <c r="B40" s="311" t="s">
        <v>899</v>
      </c>
      <c r="C40" s="295" t="s">
        <v>900</v>
      </c>
      <c r="D40" s="296"/>
      <c r="E40" s="297"/>
    </row>
    <row r="41" spans="1:5" s="186" customFormat="1" ht="12" customHeight="1" x14ac:dyDescent="0.25">
      <c r="A41" s="293" t="s">
        <v>901</v>
      </c>
      <c r="B41" s="311" t="s">
        <v>902</v>
      </c>
      <c r="C41" s="295" t="s">
        <v>903</v>
      </c>
      <c r="D41" s="296"/>
      <c r="E41" s="297"/>
    </row>
    <row r="42" spans="1:5" s="186" customFormat="1" ht="12" customHeight="1" x14ac:dyDescent="0.25">
      <c r="A42" s="293" t="s">
        <v>904</v>
      </c>
      <c r="B42" s="311" t="s">
        <v>905</v>
      </c>
      <c r="C42" s="295" t="s">
        <v>906</v>
      </c>
      <c r="D42" s="296"/>
      <c r="E42" s="297"/>
    </row>
    <row r="43" spans="1:5" s="186" customFormat="1" ht="12" customHeight="1" x14ac:dyDescent="0.25">
      <c r="A43" s="293" t="s">
        <v>907</v>
      </c>
      <c r="B43" s="311" t="s">
        <v>908</v>
      </c>
      <c r="C43" s="295" t="s">
        <v>909</v>
      </c>
      <c r="D43" s="296"/>
      <c r="E43" s="297"/>
    </row>
    <row r="44" spans="1:5" s="186" customFormat="1" ht="12" customHeight="1" x14ac:dyDescent="0.25">
      <c r="A44" s="293" t="s">
        <v>910</v>
      </c>
      <c r="B44" s="311" t="s">
        <v>911</v>
      </c>
      <c r="C44" s="295" t="s">
        <v>912</v>
      </c>
      <c r="D44" s="296"/>
      <c r="E44" s="297"/>
    </row>
    <row r="45" spans="1:5" s="186" customFormat="1" ht="12" customHeight="1" x14ac:dyDescent="0.25">
      <c r="A45" s="293" t="s">
        <v>913</v>
      </c>
      <c r="B45" s="311" t="s">
        <v>914</v>
      </c>
      <c r="C45" s="295" t="s">
        <v>915</v>
      </c>
      <c r="D45" s="296"/>
      <c r="E45" s="297"/>
    </row>
    <row r="46" spans="1:5" s="186" customFormat="1" ht="12" customHeight="1" x14ac:dyDescent="0.25">
      <c r="A46" s="293" t="s">
        <v>916</v>
      </c>
      <c r="B46" s="311" t="s">
        <v>917</v>
      </c>
      <c r="C46" s="295" t="s">
        <v>918</v>
      </c>
      <c r="D46" s="296"/>
      <c r="E46" s="297"/>
    </row>
    <row r="47" spans="1:5" s="186" customFormat="1" ht="12" customHeight="1" x14ac:dyDescent="0.25">
      <c r="A47" s="293" t="s">
        <v>919</v>
      </c>
      <c r="B47" s="311" t="s">
        <v>920</v>
      </c>
      <c r="C47" s="295" t="s">
        <v>921</v>
      </c>
      <c r="D47" s="296"/>
      <c r="E47" s="297"/>
    </row>
    <row r="48" spans="1:5" s="186" customFormat="1" ht="12" customHeight="1" x14ac:dyDescent="0.25">
      <c r="A48" s="293" t="s">
        <v>922</v>
      </c>
      <c r="B48" s="311" t="s">
        <v>923</v>
      </c>
      <c r="C48" s="295" t="s">
        <v>924</v>
      </c>
      <c r="D48" s="296"/>
      <c r="E48" s="297"/>
    </row>
    <row r="49" spans="1:5" s="186" customFormat="1" ht="12" customHeight="1" x14ac:dyDescent="0.25">
      <c r="A49" s="293" t="s">
        <v>925</v>
      </c>
      <c r="B49" s="311" t="s">
        <v>926</v>
      </c>
      <c r="C49" s="295" t="s">
        <v>927</v>
      </c>
      <c r="D49" s="296"/>
      <c r="E49" s="297"/>
    </row>
    <row r="50" spans="1:5" s="186" customFormat="1" ht="12" customHeight="1" x14ac:dyDescent="0.25">
      <c r="A50" s="293" t="s">
        <v>928</v>
      </c>
      <c r="B50" s="311" t="s">
        <v>929</v>
      </c>
      <c r="C50" s="295" t="s">
        <v>930</v>
      </c>
      <c r="D50" s="296"/>
      <c r="E50" s="297"/>
    </row>
    <row r="51" spans="1:5" s="186" customFormat="1" ht="12" customHeight="1" x14ac:dyDescent="0.25">
      <c r="A51" s="293" t="s">
        <v>931</v>
      </c>
      <c r="B51" s="311" t="s">
        <v>932</v>
      </c>
      <c r="C51" s="295" t="s">
        <v>933</v>
      </c>
      <c r="D51" s="296"/>
      <c r="E51" s="297"/>
    </row>
    <row r="52" spans="1:5" s="186" customFormat="1" ht="12" customHeight="1" x14ac:dyDescent="0.25">
      <c r="A52" s="293" t="s">
        <v>934</v>
      </c>
      <c r="B52" s="311" t="s">
        <v>935</v>
      </c>
      <c r="C52" s="295" t="s">
        <v>936</v>
      </c>
      <c r="D52" s="296"/>
      <c r="E52" s="297"/>
    </row>
    <row r="53" spans="1:5" s="186" customFormat="1" ht="12" customHeight="1" x14ac:dyDescent="0.25">
      <c r="A53" s="293" t="s">
        <v>937</v>
      </c>
      <c r="B53" s="311" t="s">
        <v>938</v>
      </c>
      <c r="C53" s="295" t="s">
        <v>939</v>
      </c>
      <c r="D53" s="296"/>
      <c r="E53" s="297"/>
    </row>
    <row r="54" spans="1:5" s="303" customFormat="1" ht="30" customHeight="1" x14ac:dyDescent="0.25">
      <c r="A54" s="304" t="s">
        <v>880</v>
      </c>
      <c r="B54" s="312" t="s">
        <v>940</v>
      </c>
      <c r="C54" s="313" t="s">
        <v>941</v>
      </c>
      <c r="D54" s="302">
        <f>D35-D36+D37+D41-D42+D43-D44-D45+D46-D47+D48-D49+D50-D51+(-D52)-(-D53)</f>
        <v>0</v>
      </c>
      <c r="E54" s="302">
        <f>E35-E36+E37+E41-E42+E43-E44-E45+E46-E47+E48-E49+E50-E51+(-E52)-(-E53)</f>
        <v>0</v>
      </c>
    </row>
    <row r="55" spans="1:5" s="186" customFormat="1" ht="12" customHeight="1" x14ac:dyDescent="0.25">
      <c r="A55" s="307" t="s">
        <v>942</v>
      </c>
      <c r="B55" s="307" t="s">
        <v>943</v>
      </c>
      <c r="C55" s="309" t="s">
        <v>944</v>
      </c>
      <c r="D55" s="310">
        <f>(D34+D54)</f>
        <v>0</v>
      </c>
      <c r="E55" s="310">
        <f>E34+E54</f>
        <v>0</v>
      </c>
    </row>
    <row r="56" spans="1:5" s="186" customFormat="1" ht="12" customHeight="1" x14ac:dyDescent="0.25">
      <c r="A56" s="307" t="s">
        <v>945</v>
      </c>
      <c r="B56" s="307" t="s">
        <v>946</v>
      </c>
      <c r="C56" s="309" t="s">
        <v>947</v>
      </c>
      <c r="D56" s="310">
        <f>SUM(D57:D58)</f>
        <v>0</v>
      </c>
      <c r="E56" s="310">
        <f>SUM(E57:E58)</f>
        <v>0</v>
      </c>
    </row>
    <row r="57" spans="1:5" s="186" customFormat="1" ht="12" customHeight="1" x14ac:dyDescent="0.25">
      <c r="A57" s="293" t="s">
        <v>948</v>
      </c>
      <c r="B57" s="314" t="s">
        <v>949</v>
      </c>
      <c r="C57" s="295" t="s">
        <v>950</v>
      </c>
      <c r="D57" s="297"/>
      <c r="E57" s="297"/>
    </row>
    <row r="58" spans="1:5" s="303" customFormat="1" ht="12" customHeight="1" x14ac:dyDescent="0.25">
      <c r="A58" s="293" t="s">
        <v>836</v>
      </c>
      <c r="B58" s="314" t="s">
        <v>951</v>
      </c>
      <c r="C58" s="295" t="s">
        <v>952</v>
      </c>
      <c r="D58" s="297"/>
      <c r="E58" s="297"/>
    </row>
    <row r="59" spans="1:5" s="186" customFormat="1" ht="12" customHeight="1" x14ac:dyDescent="0.25">
      <c r="A59" s="304" t="s">
        <v>942</v>
      </c>
      <c r="B59" s="300" t="s">
        <v>953</v>
      </c>
      <c r="C59" s="313" t="s">
        <v>954</v>
      </c>
      <c r="D59" s="302">
        <f>D55-D56</f>
        <v>0</v>
      </c>
      <c r="E59" s="302">
        <f>E55-E56</f>
        <v>0</v>
      </c>
    </row>
    <row r="60" spans="1:5" s="186" customFormat="1" ht="12" customHeight="1" x14ac:dyDescent="0.25">
      <c r="A60" s="293" t="s">
        <v>955</v>
      </c>
      <c r="B60" s="311" t="s">
        <v>956</v>
      </c>
      <c r="C60" s="295" t="s">
        <v>957</v>
      </c>
      <c r="D60" s="297"/>
      <c r="E60" s="297"/>
    </row>
    <row r="61" spans="1:5" s="186" customFormat="1" ht="12" customHeight="1" x14ac:dyDescent="0.25">
      <c r="A61" s="293" t="s">
        <v>958</v>
      </c>
      <c r="B61" s="311" t="s">
        <v>959</v>
      </c>
      <c r="C61" s="295" t="s">
        <v>960</v>
      </c>
      <c r="D61" s="297"/>
      <c r="E61" s="297"/>
    </row>
    <row r="62" spans="1:5" s="186" customFormat="1" ht="12" customHeight="1" x14ac:dyDescent="0.25">
      <c r="A62" s="307" t="s">
        <v>880</v>
      </c>
      <c r="B62" s="307" t="s">
        <v>961</v>
      </c>
      <c r="C62" s="309" t="s">
        <v>962</v>
      </c>
      <c r="D62" s="310">
        <f>D60-D61</f>
        <v>0</v>
      </c>
      <c r="E62" s="310">
        <f>E60-E61</f>
        <v>0</v>
      </c>
    </row>
    <row r="63" spans="1:5" s="186" customFormat="1" ht="12" customHeight="1" x14ac:dyDescent="0.25">
      <c r="A63" s="307" t="s">
        <v>963</v>
      </c>
      <c r="B63" s="307" t="s">
        <v>964</v>
      </c>
      <c r="C63" s="309" t="s">
        <v>965</v>
      </c>
      <c r="D63" s="310">
        <f>SUM(D64:D65)</f>
        <v>0</v>
      </c>
      <c r="E63" s="310">
        <f>SUM(E64:E65)</f>
        <v>0</v>
      </c>
    </row>
    <row r="64" spans="1:5" s="303" customFormat="1" ht="12" customHeight="1" x14ac:dyDescent="0.25">
      <c r="A64" s="293" t="s">
        <v>966</v>
      </c>
      <c r="B64" s="314" t="s">
        <v>967</v>
      </c>
      <c r="C64" s="295" t="s">
        <v>968</v>
      </c>
      <c r="D64" s="297"/>
      <c r="E64" s="297"/>
    </row>
    <row r="65" spans="1:5" s="186" customFormat="1" ht="12" customHeight="1" x14ac:dyDescent="0.25">
      <c r="A65" s="293" t="s">
        <v>836</v>
      </c>
      <c r="B65" s="314" t="s">
        <v>969</v>
      </c>
      <c r="C65" s="295" t="s">
        <v>970</v>
      </c>
      <c r="D65" s="297"/>
      <c r="E65" s="297"/>
    </row>
    <row r="66" spans="1:5" s="315" customFormat="1" ht="12" customHeight="1" x14ac:dyDescent="0.25">
      <c r="A66" s="304" t="s">
        <v>880</v>
      </c>
      <c r="B66" s="300" t="s">
        <v>971</v>
      </c>
      <c r="C66" s="309" t="s">
        <v>972</v>
      </c>
      <c r="D66" s="302">
        <f>D62-D63</f>
        <v>0</v>
      </c>
      <c r="E66" s="302">
        <f>E62-E63</f>
        <v>0</v>
      </c>
    </row>
    <row r="67" spans="1:5" s="186" customFormat="1" ht="12" customHeight="1" x14ac:dyDescent="0.25">
      <c r="A67" s="307" t="s">
        <v>973</v>
      </c>
      <c r="B67" s="316" t="s">
        <v>974</v>
      </c>
      <c r="C67" s="309" t="s">
        <v>975</v>
      </c>
      <c r="D67" s="310">
        <f>D55+D62</f>
        <v>0</v>
      </c>
      <c r="E67" s="310">
        <f>E55+E62</f>
        <v>0</v>
      </c>
    </row>
    <row r="68" spans="1:5" ht="12" customHeight="1" x14ac:dyDescent="0.2">
      <c r="A68" s="293" t="s">
        <v>976</v>
      </c>
      <c r="B68" s="294" t="s">
        <v>977</v>
      </c>
      <c r="C68" s="295" t="s">
        <v>978</v>
      </c>
      <c r="D68" s="263"/>
      <c r="E68" s="297"/>
    </row>
    <row r="69" spans="1:5" ht="12" customHeight="1" x14ac:dyDescent="0.2">
      <c r="A69" s="317" t="s">
        <v>973</v>
      </c>
      <c r="B69" s="318" t="s">
        <v>979</v>
      </c>
      <c r="C69" s="319" t="s">
        <v>980</v>
      </c>
      <c r="D69" s="320">
        <f>D59+D66-D68</f>
        <v>0</v>
      </c>
      <c r="E69" s="320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321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84" t="s">
        <v>168</v>
      </c>
      <c r="B2" s="663" t="s">
        <v>462</v>
      </c>
      <c r="C2" s="663" t="s">
        <v>463</v>
      </c>
      <c r="D2" s="663" t="s">
        <v>464</v>
      </c>
    </row>
    <row r="3" spans="1:4" ht="16.5" thickTop="1" thickBot="1" x14ac:dyDescent="0.3">
      <c r="A3" s="71" t="s">
        <v>160</v>
      </c>
      <c r="B3" s="79"/>
      <c r="C3" s="79"/>
      <c r="D3" s="80"/>
    </row>
    <row r="4" spans="1:4" ht="15.75" thickBot="1" x14ac:dyDescent="0.3">
      <c r="A4" s="71" t="s">
        <v>161</v>
      </c>
      <c r="B4" s="79"/>
      <c r="C4" s="79"/>
      <c r="D4" s="80"/>
    </row>
    <row r="5" spans="1:4" ht="15.75" thickBot="1" x14ac:dyDescent="0.3">
      <c r="A5" s="71" t="s">
        <v>176</v>
      </c>
      <c r="B5" s="79"/>
      <c r="C5" s="79"/>
      <c r="D5" s="80"/>
    </row>
    <row r="6" spans="1:4" ht="15.75" thickBot="1" x14ac:dyDescent="0.3">
      <c r="A6" s="71" t="s">
        <v>164</v>
      </c>
      <c r="B6" s="79"/>
      <c r="C6" s="79"/>
      <c r="D6" s="80"/>
    </row>
    <row r="7" spans="1:4" ht="26.25" customHeight="1" thickBot="1" x14ac:dyDescent="0.3">
      <c r="A7" s="86" t="s">
        <v>166</v>
      </c>
      <c r="B7" s="85"/>
      <c r="C7" s="85"/>
      <c r="D7" s="78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407" customWidth="1"/>
    <col min="6" max="6" width="41.28515625" style="412" customWidth="1"/>
    <col min="8" max="8" width="26.7109375" style="407" customWidth="1"/>
    <col min="9" max="9" width="26.7109375" style="412" customWidth="1"/>
  </cols>
  <sheetData>
    <row r="1" spans="1:9" ht="17.25" thickBot="1" x14ac:dyDescent="0.35">
      <c r="A1" s="1" t="s">
        <v>177</v>
      </c>
      <c r="E1" s="1325" t="s">
        <v>1139</v>
      </c>
      <c r="F1" s="1327"/>
      <c r="G1" s="417"/>
      <c r="H1" s="1319" t="s">
        <v>1141</v>
      </c>
      <c r="I1" s="1321"/>
    </row>
    <row r="2" spans="1:9" ht="35.25" thickTop="1" thickBot="1" x14ac:dyDescent="0.3">
      <c r="A2" s="84" t="s">
        <v>178</v>
      </c>
      <c r="B2" s="663" t="s">
        <v>2</v>
      </c>
      <c r="C2" s="663" t="s">
        <v>3</v>
      </c>
      <c r="E2" s="59" t="s">
        <v>2</v>
      </c>
      <c r="F2" s="59" t="s">
        <v>3</v>
      </c>
      <c r="H2" s="59" t="s">
        <v>2</v>
      </c>
      <c r="I2" s="59" t="s">
        <v>3</v>
      </c>
    </row>
    <row r="3" spans="1:9" ht="24" thickTop="1" thickBot="1" x14ac:dyDescent="0.3">
      <c r="A3" s="25" t="s">
        <v>179</v>
      </c>
      <c r="B3" s="424">
        <f>SUM(B4:B5)</f>
        <v>0</v>
      </c>
      <c r="C3" s="143">
        <f>SUM(C4:C5)</f>
        <v>0</v>
      </c>
      <c r="E3" s="410">
        <f>SUM(B4:B5)-B3</f>
        <v>0</v>
      </c>
      <c r="F3" s="413">
        <f>SUM(C4:C5)-C3</f>
        <v>0</v>
      </c>
      <c r="H3" s="410">
        <f>B3-BS!$D$71</f>
        <v>0</v>
      </c>
      <c r="I3" s="427">
        <f>C3-BS!$G$71</f>
        <v>0</v>
      </c>
    </row>
    <row r="4" spans="1:9" ht="16.5" thickTop="1" thickBot="1" x14ac:dyDescent="0.3">
      <c r="A4" s="14"/>
      <c r="B4" s="425"/>
      <c r="C4" s="80"/>
    </row>
    <row r="5" spans="1:9" ht="15.75" thickBot="1" x14ac:dyDescent="0.3">
      <c r="A5" s="16"/>
      <c r="B5" s="426"/>
      <c r="C5" s="78"/>
    </row>
    <row r="6" spans="1:9" ht="24" thickTop="1" thickBot="1" x14ac:dyDescent="0.3">
      <c r="A6" s="25" t="s">
        <v>180</v>
      </c>
      <c r="B6" s="426">
        <f>SUM(B7:B8)</f>
        <v>0</v>
      </c>
      <c r="C6" s="143">
        <f>SUM(C7:C8)</f>
        <v>0</v>
      </c>
      <c r="E6" s="410">
        <f>SUM(B7:B8)-B6</f>
        <v>0</v>
      </c>
      <c r="F6" s="413">
        <f>SUM(C7:C8)-C6</f>
        <v>0</v>
      </c>
      <c r="H6" s="410">
        <f>B6-BS!$D$72</f>
        <v>0</v>
      </c>
      <c r="I6" s="413">
        <f>C6-BS!$G$72</f>
        <v>0</v>
      </c>
    </row>
    <row r="7" spans="1:9" ht="16.5" thickTop="1" thickBot="1" x14ac:dyDescent="0.3">
      <c r="A7" s="14"/>
      <c r="B7" s="425"/>
      <c r="C7" s="80"/>
    </row>
    <row r="8" spans="1:9" ht="15.75" thickBot="1" x14ac:dyDescent="0.3">
      <c r="A8" s="16"/>
      <c r="B8" s="426"/>
      <c r="C8" s="78"/>
    </row>
    <row r="9" spans="1:9" ht="24" customHeight="1" thickTop="1" thickBot="1" x14ac:dyDescent="0.3">
      <c r="A9" s="25" t="s">
        <v>181</v>
      </c>
      <c r="B9" s="426">
        <f>SUM(B10:B11)</f>
        <v>0</v>
      </c>
      <c r="C9" s="143">
        <f>SUM(C10:C11)</f>
        <v>0</v>
      </c>
      <c r="E9" s="410">
        <f>SUM(B10:B11)-B9</f>
        <v>0</v>
      </c>
      <c r="F9" s="413">
        <f>SUM(C10:C11)-C9</f>
        <v>0</v>
      </c>
      <c r="H9" s="410">
        <f>B9-BS!$D$73</f>
        <v>0</v>
      </c>
      <c r="I9" s="413">
        <f>C9-BS!$G$73</f>
        <v>0</v>
      </c>
    </row>
    <row r="10" spans="1:9" ht="16.5" thickTop="1" thickBot="1" x14ac:dyDescent="0.3">
      <c r="A10" s="14"/>
      <c r="B10" s="425"/>
      <c r="C10" s="80"/>
    </row>
    <row r="11" spans="1:9" ht="15.75" thickBot="1" x14ac:dyDescent="0.3">
      <c r="A11" s="16"/>
      <c r="B11" s="426"/>
      <c r="C11" s="78"/>
    </row>
    <row r="12" spans="1:9" ht="24" thickTop="1" thickBot="1" x14ac:dyDescent="0.3">
      <c r="A12" s="25" t="s">
        <v>182</v>
      </c>
      <c r="B12" s="426">
        <f>SUM(B13:B14)</f>
        <v>0</v>
      </c>
      <c r="C12" s="143">
        <f>SUM(C13:C14)</f>
        <v>0</v>
      </c>
      <c r="E12" s="410">
        <f>SUM(B13:B14)-B12</f>
        <v>0</v>
      </c>
      <c r="F12" s="413">
        <f>SUM(C13:C14)-C12</f>
        <v>0</v>
      </c>
      <c r="H12" s="410">
        <f>B12-BS!$D$74</f>
        <v>0</v>
      </c>
      <c r="I12" s="413">
        <f>C12-BS!$G$74</f>
        <v>0</v>
      </c>
    </row>
    <row r="13" spans="1:9" ht="16.5" thickTop="1" thickBot="1" x14ac:dyDescent="0.3">
      <c r="A13" s="14"/>
      <c r="B13" s="425"/>
      <c r="C13" s="80"/>
    </row>
    <row r="14" spans="1:9" thickBot="1" x14ac:dyDescent="0.4">
      <c r="A14" s="16"/>
      <c r="B14" s="426"/>
      <c r="C14" s="78"/>
    </row>
    <row r="15" spans="1:9" thickTop="1" x14ac:dyDescent="0.3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71" priority="3" operator="lessThan">
      <formula>0</formula>
    </cfRule>
    <cfRule type="cellIs" dxfId="70" priority="4" operator="greaterThan">
      <formula>0</formula>
    </cfRule>
  </conditionalFormatting>
  <conditionalFormatting sqref="H3:I12">
    <cfRule type="cellIs" dxfId="69" priority="1" operator="lessThan">
      <formula>0</formula>
    </cfRule>
    <cfRule type="cellIs" dxfId="6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407"/>
    <col min="11" max="14" width="9.140625" style="408"/>
    <col min="15" max="15" width="9.140625" style="412"/>
  </cols>
  <sheetData>
    <row r="1" spans="1:15" ht="17.25" thickBot="1" x14ac:dyDescent="0.35">
      <c r="A1" s="1" t="s">
        <v>183</v>
      </c>
      <c r="J1" s="1325" t="s">
        <v>1139</v>
      </c>
      <c r="K1" s="1326"/>
      <c r="L1" s="1326"/>
      <c r="M1" s="1326"/>
      <c r="N1" s="1326"/>
      <c r="O1" s="1327"/>
    </row>
    <row r="2" spans="1:15" ht="49.5" customHeight="1" thickTop="1" thickBot="1" x14ac:dyDescent="0.3">
      <c r="A2" s="1330" t="s">
        <v>1</v>
      </c>
      <c r="B2" s="1316" t="s">
        <v>2</v>
      </c>
      <c r="C2" s="1317"/>
      <c r="D2" s="1318"/>
      <c r="E2" s="1310" t="s">
        <v>492</v>
      </c>
      <c r="F2" s="1315"/>
      <c r="G2" s="1311"/>
      <c r="J2" s="1316" t="s">
        <v>2</v>
      </c>
      <c r="K2" s="1317"/>
      <c r="L2" s="1318"/>
      <c r="M2" s="1310" t="s">
        <v>492</v>
      </c>
      <c r="N2" s="1315"/>
      <c r="O2" s="1311"/>
    </row>
    <row r="3" spans="1:15" ht="16.5" thickTop="1" thickBot="1" x14ac:dyDescent="0.3">
      <c r="A3" s="1331"/>
      <c r="B3" s="1316" t="s">
        <v>184</v>
      </c>
      <c r="C3" s="1317"/>
      <c r="D3" s="1318"/>
      <c r="E3" s="1316" t="s">
        <v>184</v>
      </c>
      <c r="F3" s="1317"/>
      <c r="G3" s="1318"/>
      <c r="J3" s="1316" t="s">
        <v>184</v>
      </c>
      <c r="K3" s="1317"/>
      <c r="L3" s="1318"/>
      <c r="M3" s="1316" t="s">
        <v>184</v>
      </c>
      <c r="N3" s="1317"/>
      <c r="O3" s="1318"/>
    </row>
    <row r="4" spans="1:15" s="4" customFormat="1" ht="45" customHeight="1" thickTop="1" thickBot="1" x14ac:dyDescent="0.3">
      <c r="A4" s="1332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6.5" thickTop="1" thickBot="1" x14ac:dyDescent="0.3">
      <c r="A5" s="71" t="s">
        <v>188</v>
      </c>
      <c r="B5" s="79"/>
      <c r="C5" s="79"/>
      <c r="D5" s="79"/>
      <c r="E5" s="79"/>
      <c r="F5" s="79"/>
      <c r="G5" s="80"/>
    </row>
    <row r="6" spans="1:15" ht="15.75" thickBot="1" x14ac:dyDescent="0.3">
      <c r="A6" s="71" t="s">
        <v>189</v>
      </c>
      <c r="B6" s="79"/>
      <c r="C6" s="79"/>
      <c r="D6" s="79"/>
      <c r="E6" s="79"/>
      <c r="F6" s="79"/>
      <c r="G6" s="80"/>
    </row>
    <row r="7" spans="1:15" ht="15.75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410">
        <f>SUM(B5:B6)-B7</f>
        <v>0</v>
      </c>
      <c r="K7" s="409">
        <f t="shared" ref="K7:O7" si="1">SUM(C5:C6)-C7</f>
        <v>0</v>
      </c>
      <c r="L7" s="409">
        <f t="shared" si="1"/>
        <v>0</v>
      </c>
      <c r="M7" s="409">
        <f t="shared" si="1"/>
        <v>0</v>
      </c>
      <c r="N7" s="409">
        <f t="shared" si="1"/>
        <v>0</v>
      </c>
      <c r="O7" s="413">
        <f t="shared" si="1"/>
        <v>0</v>
      </c>
    </row>
    <row r="8" spans="1:15" ht="15.75" thickTop="1" x14ac:dyDescent="0.25"/>
  </sheetData>
  <mergeCells count="10">
    <mergeCell ref="J2:L2"/>
    <mergeCell ref="M2:O2"/>
    <mergeCell ref="J3:L3"/>
    <mergeCell ref="M3:O3"/>
    <mergeCell ref="J1:O1"/>
    <mergeCell ref="B2:D2"/>
    <mergeCell ref="E2:G2"/>
    <mergeCell ref="B3:D3"/>
    <mergeCell ref="E3:G3"/>
    <mergeCell ref="A2:A4"/>
  </mergeCells>
  <conditionalFormatting sqref="J5:O7">
    <cfRule type="cellIs" dxfId="67" priority="3" operator="lessThan">
      <formula>0</formula>
    </cfRule>
    <cfRule type="cellIs" dxfId="66" priority="4" operator="greaterThan">
      <formula>0</formula>
    </cfRule>
  </conditionalFormatting>
  <conditionalFormatting sqref="J7:O7">
    <cfRule type="cellIs" dxfId="65" priority="1" operator="lessThan">
      <formula>0</formula>
    </cfRule>
    <cfRule type="cellIs" dxfId="6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414" customWidth="1"/>
    <col min="5" max="5" width="14.42578125" customWidth="1"/>
    <col min="6" max="6" width="11.42578125" customWidth="1"/>
  </cols>
  <sheetData>
    <row r="1" spans="1:8" ht="49.5" x14ac:dyDescent="0.3">
      <c r="A1" s="3" t="s">
        <v>190</v>
      </c>
      <c r="D1" s="422" t="s">
        <v>1139</v>
      </c>
      <c r="E1" s="417"/>
      <c r="F1" s="417"/>
      <c r="G1" s="417"/>
      <c r="H1" s="417"/>
    </row>
    <row r="2" spans="1:8" ht="15.75" thickBot="1" x14ac:dyDescent="0.3">
      <c r="A2" s="20" t="s">
        <v>8</v>
      </c>
      <c r="B2" s="20"/>
    </row>
    <row r="3" spans="1:8" ht="18.75" customHeight="1" thickTop="1" thickBot="1" x14ac:dyDescent="0.3">
      <c r="A3" s="84" t="s">
        <v>131</v>
      </c>
      <c r="B3" s="51" t="s">
        <v>3</v>
      </c>
      <c r="D3" s="84" t="s">
        <v>3</v>
      </c>
    </row>
    <row r="4" spans="1:8" ht="18.75" customHeight="1" thickTop="1" thickBot="1" x14ac:dyDescent="0.3">
      <c r="A4" s="72" t="s">
        <v>191</v>
      </c>
      <c r="B4" s="89"/>
    </row>
    <row r="5" spans="1:8" ht="18.75" customHeight="1" thickTop="1" thickBot="1" x14ac:dyDescent="0.3">
      <c r="A5" s="72" t="s">
        <v>192</v>
      </c>
      <c r="B5" s="88" t="s">
        <v>2</v>
      </c>
    </row>
    <row r="6" spans="1:8" ht="18.75" customHeight="1" thickTop="1" thickBot="1" x14ac:dyDescent="0.3">
      <c r="A6" s="71" t="s">
        <v>193</v>
      </c>
      <c r="B6" s="80"/>
    </row>
    <row r="7" spans="1:8" ht="18.75" customHeight="1" thickBot="1" x14ac:dyDescent="0.3">
      <c r="A7" s="71" t="s">
        <v>194</v>
      </c>
      <c r="B7" s="80"/>
    </row>
    <row r="8" spans="1:8" ht="18.75" customHeight="1" thickBot="1" x14ac:dyDescent="0.3">
      <c r="A8" s="71" t="s">
        <v>195</v>
      </c>
      <c r="B8" s="80"/>
    </row>
    <row r="9" spans="1:8" ht="18.75" customHeight="1" thickBot="1" x14ac:dyDescent="0.3">
      <c r="A9" s="71" t="s">
        <v>196</v>
      </c>
      <c r="B9" s="80"/>
    </row>
    <row r="10" spans="1:8" ht="18.75" customHeight="1" thickBot="1" x14ac:dyDescent="0.3">
      <c r="A10" s="71" t="s">
        <v>197</v>
      </c>
      <c r="B10" s="80"/>
    </row>
    <row r="11" spans="1:8" ht="18.75" customHeight="1" thickBot="1" x14ac:dyDescent="0.3">
      <c r="A11" s="71" t="s">
        <v>198</v>
      </c>
      <c r="B11" s="80"/>
    </row>
    <row r="12" spans="1:8" ht="18.75" customHeight="1" thickBot="1" x14ac:dyDescent="0.3">
      <c r="A12" s="71" t="s">
        <v>199</v>
      </c>
      <c r="B12" s="80"/>
    </row>
    <row r="13" spans="1:8" ht="18.75" customHeight="1" thickBot="1" x14ac:dyDescent="0.3">
      <c r="A13" s="71" t="s">
        <v>200</v>
      </c>
      <c r="B13" s="80"/>
    </row>
    <row r="14" spans="1:8" ht="18.75" customHeight="1" thickBot="1" x14ac:dyDescent="0.4">
      <c r="A14" s="72" t="s">
        <v>14</v>
      </c>
      <c r="B14" s="78">
        <f>SUM(B6:B13)</f>
        <v>0</v>
      </c>
      <c r="D14" s="421">
        <f>SUM(B6:B13)-B14</f>
        <v>0</v>
      </c>
    </row>
    <row r="15" spans="1:8" ht="18.75" customHeight="1" thickTop="1" x14ac:dyDescent="0.35">
      <c r="A15" s="20"/>
      <c r="B15" s="20"/>
    </row>
    <row r="16" spans="1:8" ht="18.75" customHeight="1" thickBot="1" x14ac:dyDescent="0.3">
      <c r="A16" s="20" t="s">
        <v>15</v>
      </c>
      <c r="B16" s="20"/>
    </row>
    <row r="17" spans="1:4" ht="18.75" customHeight="1" thickTop="1" thickBot="1" x14ac:dyDescent="0.3">
      <c r="A17" s="84" t="s">
        <v>131</v>
      </c>
      <c r="B17" s="51" t="s">
        <v>3</v>
      </c>
    </row>
    <row r="18" spans="1:4" ht="18.75" customHeight="1" thickTop="1" thickBot="1" x14ac:dyDescent="0.3">
      <c r="A18" s="72" t="s">
        <v>201</v>
      </c>
      <c r="B18" s="89"/>
    </row>
    <row r="19" spans="1:4" ht="18.75" customHeight="1" thickTop="1" thickBot="1" x14ac:dyDescent="0.3">
      <c r="A19" s="72" t="s">
        <v>202</v>
      </c>
      <c r="B19" s="88" t="s">
        <v>2</v>
      </c>
    </row>
    <row r="20" spans="1:4" ht="18.75" customHeight="1" thickTop="1" thickBot="1" x14ac:dyDescent="0.3">
      <c r="A20" s="71" t="s">
        <v>203</v>
      </c>
      <c r="B20" s="80"/>
    </row>
    <row r="21" spans="1:4" ht="18.75" customHeight="1" thickBot="1" x14ac:dyDescent="0.3">
      <c r="A21" s="71" t="s">
        <v>204</v>
      </c>
      <c r="B21" s="80"/>
    </row>
    <row r="22" spans="1:4" ht="18.75" customHeight="1" thickBot="1" x14ac:dyDescent="0.3">
      <c r="A22" s="71" t="s">
        <v>205</v>
      </c>
      <c r="B22" s="80"/>
    </row>
    <row r="23" spans="1:4" ht="18.75" customHeight="1" thickBot="1" x14ac:dyDescent="0.3">
      <c r="A23" s="71" t="s">
        <v>206</v>
      </c>
      <c r="B23" s="80"/>
    </row>
    <row r="24" spans="1:4" ht="18.75" customHeight="1" thickBot="1" x14ac:dyDescent="0.3">
      <c r="A24" s="71" t="s">
        <v>207</v>
      </c>
      <c r="B24" s="80"/>
    </row>
    <row r="25" spans="1:4" ht="18.75" customHeight="1" thickBot="1" x14ac:dyDescent="0.3">
      <c r="A25" s="71" t="s">
        <v>200</v>
      </c>
      <c r="B25" s="80"/>
    </row>
    <row r="26" spans="1:4" ht="18.75" customHeight="1" thickBot="1" x14ac:dyDescent="0.3">
      <c r="A26" s="72" t="s">
        <v>208</v>
      </c>
      <c r="B26" s="78">
        <f>SUM(B20:B25)</f>
        <v>0</v>
      </c>
      <c r="D26" s="421">
        <f>SUM(B20:B25)-B26</f>
        <v>0</v>
      </c>
    </row>
    <row r="27" spans="1:4" ht="17.25" thickTop="1" x14ac:dyDescent="0.3">
      <c r="A27" s="1"/>
    </row>
  </sheetData>
  <conditionalFormatting sqref="D14:D26">
    <cfRule type="cellIs" dxfId="63" priority="2" operator="lessThan">
      <formula>0</formula>
    </cfRule>
    <cfRule type="cellIs" dxfId="62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20" customWidth="1"/>
    <col min="2" max="6" width="11.5703125" style="20" customWidth="1"/>
    <col min="7" max="8" width="9.140625" style="20"/>
    <col min="9" max="9" width="20.140625" style="430" customWidth="1"/>
    <col min="10" max="10" width="9.140625" style="20" customWidth="1"/>
    <col min="11" max="11" width="26.85546875" style="430" customWidth="1"/>
    <col min="12" max="12" width="9.140625" style="20"/>
    <col min="13" max="13" width="31.28515625" style="430" customWidth="1"/>
    <col min="14" max="16384" width="9.140625" style="20"/>
  </cols>
  <sheetData>
    <row r="1" spans="1:13" ht="15" x14ac:dyDescent="0.25">
      <c r="I1" s="420" t="s">
        <v>1139</v>
      </c>
      <c r="K1" s="420" t="s">
        <v>1143</v>
      </c>
      <c r="M1" s="422" t="s">
        <v>1141</v>
      </c>
    </row>
    <row r="2" spans="1:13" ht="12" thickBot="1" x14ac:dyDescent="0.3"/>
    <row r="3" spans="1:13" ht="13.5" customHeight="1" thickTop="1" thickBot="1" x14ac:dyDescent="0.3">
      <c r="A3" s="1336" t="s">
        <v>465</v>
      </c>
      <c r="B3" s="1333" t="s">
        <v>2</v>
      </c>
      <c r="C3" s="1334"/>
      <c r="D3" s="1334"/>
      <c r="E3" s="1334"/>
      <c r="F3" s="1335"/>
    </row>
    <row r="4" spans="1:13" ht="46.5" thickTop="1" thickBot="1" x14ac:dyDescent="0.3">
      <c r="A4" s="1337"/>
      <c r="B4" s="92" t="s">
        <v>472</v>
      </c>
      <c r="C4" s="92" t="s">
        <v>27</v>
      </c>
      <c r="D4" s="92" t="s">
        <v>28</v>
      </c>
      <c r="E4" s="92" t="s">
        <v>29</v>
      </c>
      <c r="F4" s="21" t="s">
        <v>392</v>
      </c>
      <c r="I4" s="59" t="s">
        <v>392</v>
      </c>
      <c r="K4" s="59" t="s">
        <v>472</v>
      </c>
      <c r="M4" s="59" t="s">
        <v>392</v>
      </c>
    </row>
    <row r="5" spans="1:13" ht="22.5" customHeight="1" thickTop="1" thickBot="1" x14ac:dyDescent="0.3">
      <c r="A5" s="90" t="s">
        <v>393</v>
      </c>
      <c r="B5" s="93"/>
      <c r="C5" s="93"/>
      <c r="D5" s="93"/>
      <c r="E5" s="93"/>
      <c r="F5" s="94">
        <f>SUM(B5:E5)</f>
        <v>0</v>
      </c>
      <c r="I5" s="430">
        <f>SUM(B5:E5)-F5</f>
        <v>0</v>
      </c>
      <c r="K5" s="430">
        <f>B5-F27</f>
        <v>0</v>
      </c>
      <c r="M5" s="431">
        <f>F5-BS!$D$84</f>
        <v>0</v>
      </c>
    </row>
    <row r="6" spans="1:13" ht="22.5" customHeight="1" thickBot="1" x14ac:dyDescent="0.3">
      <c r="A6" s="90" t="s">
        <v>394</v>
      </c>
      <c r="B6" s="93"/>
      <c r="C6" s="93"/>
      <c r="D6" s="93"/>
      <c r="E6" s="93"/>
      <c r="F6" s="94">
        <f t="shared" ref="F6:F21" si="0">SUM(B6:E6)</f>
        <v>0</v>
      </c>
      <c r="I6" s="430">
        <f>SUM(B6:E6)-F6</f>
        <v>0</v>
      </c>
      <c r="K6" s="430">
        <f>B6-F28</f>
        <v>0</v>
      </c>
      <c r="M6" s="431">
        <f>F6-BS!$D$85</f>
        <v>0</v>
      </c>
    </row>
    <row r="7" spans="1:13" ht="22.5" customHeight="1" thickBot="1" x14ac:dyDescent="0.3">
      <c r="A7" s="90" t="s">
        <v>466</v>
      </c>
      <c r="B7" s="93"/>
      <c r="C7" s="93"/>
      <c r="D7" s="93"/>
      <c r="E7" s="93"/>
      <c r="F7" s="94">
        <f t="shared" si="0"/>
        <v>0</v>
      </c>
      <c r="I7" s="430">
        <f t="shared" ref="I7:I22" si="1">SUM(B7:E7)-F7</f>
        <v>0</v>
      </c>
      <c r="K7" s="430">
        <f t="shared" ref="K7:K22" si="2">B7-F29</f>
        <v>0</v>
      </c>
      <c r="M7" s="431">
        <f>F7-BS!$D$86</f>
        <v>0</v>
      </c>
    </row>
    <row r="8" spans="1:13" ht="22.5" customHeight="1" thickBot="1" x14ac:dyDescent="0.3">
      <c r="A8" s="90" t="s">
        <v>467</v>
      </c>
      <c r="B8" s="93"/>
      <c r="C8" s="93"/>
      <c r="D8" s="93"/>
      <c r="E8" s="93"/>
      <c r="F8" s="94">
        <f t="shared" si="0"/>
        <v>0</v>
      </c>
      <c r="I8" s="430">
        <f t="shared" si="1"/>
        <v>0</v>
      </c>
      <c r="K8" s="430">
        <f t="shared" si="2"/>
        <v>0</v>
      </c>
      <c r="M8" s="430">
        <f>F8-BS!$D$87</f>
        <v>0</v>
      </c>
    </row>
    <row r="9" spans="1:13" ht="22.5" customHeight="1" thickBot="1" x14ac:dyDescent="0.3">
      <c r="A9" s="90" t="s">
        <v>395</v>
      </c>
      <c r="B9" s="93"/>
      <c r="C9" s="93"/>
      <c r="D9" s="93"/>
      <c r="E9" s="93"/>
      <c r="F9" s="94">
        <f t="shared" si="0"/>
        <v>0</v>
      </c>
      <c r="I9" s="430">
        <f t="shared" si="1"/>
        <v>0</v>
      </c>
      <c r="K9" s="430">
        <f t="shared" si="2"/>
        <v>0</v>
      </c>
      <c r="M9" s="431">
        <f>F9-BS!$D$89</f>
        <v>0</v>
      </c>
    </row>
    <row r="10" spans="1:13" ht="22.5" customHeight="1" thickBot="1" x14ac:dyDescent="0.3">
      <c r="A10" s="90" t="s">
        <v>396</v>
      </c>
      <c r="B10" s="93"/>
      <c r="C10" s="93"/>
      <c r="D10" s="93"/>
      <c r="E10" s="93"/>
      <c r="F10" s="94">
        <f t="shared" si="0"/>
        <v>0</v>
      </c>
      <c r="I10" s="430">
        <f t="shared" si="1"/>
        <v>0</v>
      </c>
      <c r="K10" s="430">
        <f t="shared" si="2"/>
        <v>0</v>
      </c>
      <c r="M10" s="431">
        <f>F10-BS!$D$90</f>
        <v>0</v>
      </c>
    </row>
    <row r="11" spans="1:13" ht="22.5" customHeight="1" thickBot="1" x14ac:dyDescent="0.3">
      <c r="A11" s="90" t="s">
        <v>397</v>
      </c>
      <c r="B11" s="93"/>
      <c r="C11" s="93"/>
      <c r="D11" s="93"/>
      <c r="E11" s="93"/>
      <c r="F11" s="94">
        <f>SUM(B11:E11)</f>
        <v>0</v>
      </c>
      <c r="I11" s="430">
        <f t="shared" si="1"/>
        <v>0</v>
      </c>
      <c r="K11" s="430">
        <f t="shared" si="2"/>
        <v>0</v>
      </c>
      <c r="M11" s="431">
        <f>F11-BS!$D$91</f>
        <v>0</v>
      </c>
    </row>
    <row r="12" spans="1:13" ht="22.5" customHeight="1" thickBot="1" x14ac:dyDescent="0.3">
      <c r="A12" s="90" t="s">
        <v>398</v>
      </c>
      <c r="B12" s="93"/>
      <c r="C12" s="93"/>
      <c r="D12" s="93"/>
      <c r="E12" s="93"/>
      <c r="F12" s="94">
        <f t="shared" si="0"/>
        <v>0</v>
      </c>
      <c r="I12" s="430">
        <f t="shared" si="1"/>
        <v>0</v>
      </c>
      <c r="K12" s="430">
        <f t="shared" si="2"/>
        <v>0</v>
      </c>
      <c r="M12" s="431">
        <f>F12-BS!$D$92-BS!$D$93</f>
        <v>0</v>
      </c>
    </row>
    <row r="13" spans="1:13" ht="22.5" customHeight="1" thickBot="1" x14ac:dyDescent="0.3">
      <c r="A13" s="90" t="s">
        <v>468</v>
      </c>
      <c r="B13" s="93"/>
      <c r="C13" s="93"/>
      <c r="D13" s="93"/>
      <c r="E13" s="93"/>
      <c r="F13" s="94">
        <f t="shared" si="0"/>
        <v>0</v>
      </c>
      <c r="I13" s="430">
        <f t="shared" si="1"/>
        <v>0</v>
      </c>
      <c r="K13" s="430">
        <f t="shared" si="2"/>
        <v>0</v>
      </c>
      <c r="M13" s="431">
        <f>F13-BS!$D$94</f>
        <v>0</v>
      </c>
    </row>
    <row r="14" spans="1:13" ht="22.5" customHeight="1" thickBot="1" x14ac:dyDescent="0.3">
      <c r="A14" s="90" t="s">
        <v>399</v>
      </c>
      <c r="B14" s="93"/>
      <c r="C14" s="93"/>
      <c r="D14" s="93"/>
      <c r="E14" s="93"/>
      <c r="F14" s="94">
        <f t="shared" si="0"/>
        <v>0</v>
      </c>
      <c r="I14" s="430">
        <f t="shared" si="1"/>
        <v>0</v>
      </c>
      <c r="K14" s="430">
        <f t="shared" si="2"/>
        <v>0</v>
      </c>
      <c r="M14" s="431">
        <f>F14-BS!$D$96</f>
        <v>0</v>
      </c>
    </row>
    <row r="15" spans="1:13" ht="22.5" customHeight="1" thickBot="1" x14ac:dyDescent="0.3">
      <c r="A15" s="90" t="s">
        <v>400</v>
      </c>
      <c r="B15" s="93"/>
      <c r="C15" s="93"/>
      <c r="D15" s="93"/>
      <c r="E15" s="93"/>
      <c r="F15" s="94">
        <f t="shared" si="0"/>
        <v>0</v>
      </c>
      <c r="I15" s="430">
        <f t="shared" si="1"/>
        <v>0</v>
      </c>
      <c r="K15" s="430">
        <f t="shared" si="2"/>
        <v>0</v>
      </c>
      <c r="M15" s="431">
        <f>F15-BS!$D$97</f>
        <v>0</v>
      </c>
    </row>
    <row r="16" spans="1:13" ht="22.5" customHeight="1" thickBot="1" x14ac:dyDescent="0.3">
      <c r="A16" s="90" t="s">
        <v>401</v>
      </c>
      <c r="B16" s="93"/>
      <c r="C16" s="93"/>
      <c r="D16" s="93"/>
      <c r="E16" s="93"/>
      <c r="F16" s="94">
        <f t="shared" si="0"/>
        <v>0</v>
      </c>
      <c r="I16" s="430">
        <f t="shared" si="1"/>
        <v>0</v>
      </c>
      <c r="K16" s="430">
        <f t="shared" si="2"/>
        <v>0</v>
      </c>
      <c r="M16" s="431">
        <f>F16-BS!$D$98</f>
        <v>0</v>
      </c>
    </row>
    <row r="17" spans="1:13" ht="22.5" customHeight="1" thickBot="1" x14ac:dyDescent="0.3">
      <c r="A17" s="90" t="s">
        <v>402</v>
      </c>
      <c r="B17" s="93"/>
      <c r="C17" s="93"/>
      <c r="D17" s="93"/>
      <c r="E17" s="93"/>
      <c r="F17" s="94">
        <f t="shared" si="0"/>
        <v>0</v>
      </c>
      <c r="I17" s="430">
        <f t="shared" si="1"/>
        <v>0</v>
      </c>
      <c r="K17" s="430">
        <f t="shared" si="2"/>
        <v>0</v>
      </c>
      <c r="M17" s="431">
        <f>F17-BS!$D$100</f>
        <v>0</v>
      </c>
    </row>
    <row r="18" spans="1:13" ht="22.5" customHeight="1" thickBot="1" x14ac:dyDescent="0.3">
      <c r="A18" s="90" t="s">
        <v>469</v>
      </c>
      <c r="B18" s="93"/>
      <c r="C18" s="93"/>
      <c r="D18" s="93"/>
      <c r="E18" s="93"/>
      <c r="F18" s="94">
        <f t="shared" si="0"/>
        <v>0</v>
      </c>
      <c r="I18" s="430">
        <f t="shared" si="1"/>
        <v>0</v>
      </c>
      <c r="K18" s="430">
        <f t="shared" si="2"/>
        <v>0</v>
      </c>
      <c r="M18" s="431">
        <f>F18-BS!$D$101</f>
        <v>0</v>
      </c>
    </row>
    <row r="19" spans="1:13" ht="22.5" customHeight="1" thickBot="1" x14ac:dyDescent="0.3">
      <c r="A19" s="90" t="s">
        <v>470</v>
      </c>
      <c r="B19" s="93"/>
      <c r="C19" s="93"/>
      <c r="D19" s="93"/>
      <c r="E19" s="93"/>
      <c r="F19" s="94">
        <f t="shared" si="0"/>
        <v>0</v>
      </c>
      <c r="I19" s="430">
        <f t="shared" si="1"/>
        <v>0</v>
      </c>
      <c r="K19" s="430">
        <f t="shared" si="2"/>
        <v>0</v>
      </c>
      <c r="M19" s="431">
        <f>F19-BS!$D$102</f>
        <v>0</v>
      </c>
    </row>
    <row r="20" spans="1:13" ht="22.5" customHeight="1" thickBot="1" x14ac:dyDescent="0.3">
      <c r="A20" s="90" t="s">
        <v>403</v>
      </c>
      <c r="B20" s="93"/>
      <c r="C20" s="93"/>
      <c r="D20" s="93"/>
      <c r="E20" s="93"/>
      <c r="F20" s="94">
        <f t="shared" si="0"/>
        <v>0</v>
      </c>
      <c r="I20" s="430">
        <f t="shared" si="1"/>
        <v>0</v>
      </c>
      <c r="K20" s="430">
        <f t="shared" si="2"/>
        <v>0</v>
      </c>
      <c r="M20" s="432"/>
    </row>
    <row r="21" spans="1:13" ht="22.5" customHeight="1" thickBot="1" x14ac:dyDescent="0.3">
      <c r="A21" s="90" t="s">
        <v>404</v>
      </c>
      <c r="B21" s="93"/>
      <c r="C21" s="93"/>
      <c r="D21" s="93"/>
      <c r="E21" s="93"/>
      <c r="F21" s="94">
        <f t="shared" si="0"/>
        <v>0</v>
      </c>
      <c r="I21" s="430">
        <f t="shared" si="1"/>
        <v>0</v>
      </c>
      <c r="K21" s="430">
        <f t="shared" si="2"/>
        <v>0</v>
      </c>
      <c r="M21" s="432"/>
    </row>
    <row r="22" spans="1:13" ht="22.5" customHeight="1" thickBot="1" x14ac:dyDescent="0.3">
      <c r="A22" s="91" t="s">
        <v>471</v>
      </c>
      <c r="B22" s="95"/>
      <c r="C22" s="95"/>
      <c r="D22" s="95"/>
      <c r="E22" s="95"/>
      <c r="F22" s="98">
        <f>SUM(B22:E22)</f>
        <v>0</v>
      </c>
      <c r="I22" s="430">
        <f t="shared" si="1"/>
        <v>0</v>
      </c>
      <c r="K22" s="430">
        <f t="shared" si="2"/>
        <v>0</v>
      </c>
      <c r="M22" s="432"/>
    </row>
    <row r="23" spans="1:13" ht="22.5" customHeight="1" thickTop="1" x14ac:dyDescent="0.25">
      <c r="A23" s="96"/>
      <c r="B23" s="97"/>
      <c r="C23" s="97"/>
      <c r="D23" s="97"/>
      <c r="E23" s="97"/>
      <c r="F23" s="97"/>
    </row>
    <row r="24" spans="1:13" ht="12" thickBot="1" x14ac:dyDescent="0.3"/>
    <row r="25" spans="1:13" ht="13.5" customHeight="1" thickTop="1" thickBot="1" x14ac:dyDescent="0.3">
      <c r="A25" s="1336" t="s">
        <v>465</v>
      </c>
      <c r="B25" s="1333" t="s">
        <v>3</v>
      </c>
      <c r="C25" s="1334"/>
      <c r="D25" s="1334"/>
      <c r="E25" s="1334"/>
      <c r="F25" s="1335"/>
    </row>
    <row r="26" spans="1:13" ht="46.5" thickTop="1" thickBot="1" x14ac:dyDescent="0.3">
      <c r="A26" s="1337"/>
      <c r="B26" s="92" t="s">
        <v>472</v>
      </c>
      <c r="C26" s="92" t="s">
        <v>27</v>
      </c>
      <c r="D26" s="92" t="s">
        <v>28</v>
      </c>
      <c r="E26" s="92" t="s">
        <v>29</v>
      </c>
      <c r="F26" s="21" t="s">
        <v>392</v>
      </c>
      <c r="I26" s="59" t="s">
        <v>392</v>
      </c>
      <c r="M26" s="59" t="s">
        <v>392</v>
      </c>
    </row>
    <row r="27" spans="1:13" ht="22.5" customHeight="1" thickTop="1" thickBot="1" x14ac:dyDescent="0.3">
      <c r="A27" s="90" t="s">
        <v>393</v>
      </c>
      <c r="B27" s="93"/>
      <c r="C27" s="93"/>
      <c r="D27" s="93"/>
      <c r="E27" s="93"/>
      <c r="F27" s="94">
        <f>SUM(B27:E27)</f>
        <v>0</v>
      </c>
      <c r="I27" s="430">
        <f>SUM(B27:E27)-F27</f>
        <v>0</v>
      </c>
      <c r="M27" s="431">
        <f>F27-BS!E84</f>
        <v>0</v>
      </c>
    </row>
    <row r="28" spans="1:13" ht="22.5" customHeight="1" thickBot="1" x14ac:dyDescent="0.3">
      <c r="A28" s="90" t="s">
        <v>394</v>
      </c>
      <c r="B28" s="93"/>
      <c r="C28" s="93"/>
      <c r="D28" s="93"/>
      <c r="E28" s="93"/>
      <c r="F28" s="94">
        <f t="shared" ref="F28:F42" si="3">SUM(B28:E28)</f>
        <v>0</v>
      </c>
      <c r="I28" s="430">
        <f>SUM(B28:E28)-F28</f>
        <v>0</v>
      </c>
      <c r="M28" s="431">
        <f>F28-BS!E85</f>
        <v>0</v>
      </c>
    </row>
    <row r="29" spans="1:13" ht="22.5" customHeight="1" thickBot="1" x14ac:dyDescent="0.3">
      <c r="A29" s="90" t="s">
        <v>466</v>
      </c>
      <c r="B29" s="93"/>
      <c r="C29" s="93"/>
      <c r="D29" s="93"/>
      <c r="E29" s="93"/>
      <c r="F29" s="94">
        <f t="shared" si="3"/>
        <v>0</v>
      </c>
      <c r="I29" s="430">
        <f t="shared" ref="I29:I44" si="4">SUM(B29:E29)-F29</f>
        <v>0</v>
      </c>
      <c r="M29" s="431">
        <f>F29-BS!E86</f>
        <v>0</v>
      </c>
    </row>
    <row r="30" spans="1:13" ht="22.5" customHeight="1" thickBot="1" x14ac:dyDescent="0.3">
      <c r="A30" s="90" t="s">
        <v>467</v>
      </c>
      <c r="B30" s="93"/>
      <c r="C30" s="93"/>
      <c r="D30" s="93"/>
      <c r="E30" s="93"/>
      <c r="F30" s="94">
        <f t="shared" si="3"/>
        <v>0</v>
      </c>
      <c r="I30" s="430">
        <f t="shared" si="4"/>
        <v>0</v>
      </c>
      <c r="M30" s="431">
        <f>F30-BS!E87</f>
        <v>0</v>
      </c>
    </row>
    <row r="31" spans="1:13" ht="22.5" customHeight="1" thickBot="1" x14ac:dyDescent="0.3">
      <c r="A31" s="90" t="s">
        <v>395</v>
      </c>
      <c r="B31" s="93"/>
      <c r="C31" s="93"/>
      <c r="D31" s="93"/>
      <c r="E31" s="93"/>
      <c r="F31" s="94">
        <f t="shared" si="3"/>
        <v>0</v>
      </c>
      <c r="I31" s="430">
        <f t="shared" si="4"/>
        <v>0</v>
      </c>
      <c r="M31" s="431">
        <f>F31-BS!E89</f>
        <v>0</v>
      </c>
    </row>
    <row r="32" spans="1:13" ht="22.5" customHeight="1" thickBot="1" x14ac:dyDescent="0.3">
      <c r="A32" s="90" t="s">
        <v>396</v>
      </c>
      <c r="B32" s="93"/>
      <c r="C32" s="93"/>
      <c r="D32" s="93"/>
      <c r="E32" s="93"/>
      <c r="F32" s="94">
        <f t="shared" si="3"/>
        <v>0</v>
      </c>
      <c r="I32" s="430">
        <f t="shared" si="4"/>
        <v>0</v>
      </c>
      <c r="M32" s="431">
        <f>F32-BS!E90</f>
        <v>0</v>
      </c>
    </row>
    <row r="33" spans="1:13" ht="22.5" customHeight="1" thickBot="1" x14ac:dyDescent="0.3">
      <c r="A33" s="90" t="s">
        <v>397</v>
      </c>
      <c r="B33" s="93"/>
      <c r="C33" s="93"/>
      <c r="D33" s="93"/>
      <c r="E33" s="93"/>
      <c r="F33" s="94">
        <f t="shared" si="3"/>
        <v>0</v>
      </c>
      <c r="I33" s="430">
        <f t="shared" si="4"/>
        <v>0</v>
      </c>
      <c r="M33" s="431">
        <f>F33-BS!E91</f>
        <v>0</v>
      </c>
    </row>
    <row r="34" spans="1:13" ht="22.5" customHeight="1" thickBot="1" x14ac:dyDescent="0.3">
      <c r="A34" s="90" t="s">
        <v>398</v>
      </c>
      <c r="B34" s="93"/>
      <c r="C34" s="93"/>
      <c r="D34" s="93"/>
      <c r="E34" s="93"/>
      <c r="F34" s="94">
        <f t="shared" si="3"/>
        <v>0</v>
      </c>
      <c r="I34" s="430">
        <f t="shared" si="4"/>
        <v>0</v>
      </c>
      <c r="M34" s="431">
        <f>F34-BS!E92-BS!E93</f>
        <v>0</v>
      </c>
    </row>
    <row r="35" spans="1:13" ht="22.5" customHeight="1" thickBot="1" x14ac:dyDescent="0.3">
      <c r="A35" s="90" t="s">
        <v>468</v>
      </c>
      <c r="B35" s="93"/>
      <c r="C35" s="93"/>
      <c r="D35" s="93"/>
      <c r="E35" s="93"/>
      <c r="F35" s="94">
        <f t="shared" si="3"/>
        <v>0</v>
      </c>
      <c r="I35" s="430">
        <f t="shared" si="4"/>
        <v>0</v>
      </c>
      <c r="M35" s="431">
        <f>F35-BS!E94</f>
        <v>0</v>
      </c>
    </row>
    <row r="36" spans="1:13" ht="22.5" customHeight="1" thickBot="1" x14ac:dyDescent="0.3">
      <c r="A36" s="90" t="s">
        <v>399</v>
      </c>
      <c r="B36" s="93"/>
      <c r="C36" s="93"/>
      <c r="D36" s="93"/>
      <c r="E36" s="93"/>
      <c r="F36" s="94">
        <f t="shared" si="3"/>
        <v>0</v>
      </c>
      <c r="I36" s="430">
        <f t="shared" si="4"/>
        <v>0</v>
      </c>
      <c r="M36" s="431">
        <f>F36-BS!E96</f>
        <v>0</v>
      </c>
    </row>
    <row r="37" spans="1:13" ht="22.5" customHeight="1" thickBot="1" x14ac:dyDescent="0.3">
      <c r="A37" s="90" t="s">
        <v>400</v>
      </c>
      <c r="B37" s="93"/>
      <c r="C37" s="93"/>
      <c r="D37" s="93"/>
      <c r="E37" s="93"/>
      <c r="F37" s="94">
        <f t="shared" si="3"/>
        <v>0</v>
      </c>
      <c r="I37" s="430">
        <f t="shared" si="4"/>
        <v>0</v>
      </c>
      <c r="M37" s="431">
        <f>F37-BS!E97</f>
        <v>0</v>
      </c>
    </row>
    <row r="38" spans="1:13" ht="22.5" customHeight="1" thickBot="1" x14ac:dyDescent="0.3">
      <c r="A38" s="90" t="s">
        <v>401</v>
      </c>
      <c r="B38" s="93"/>
      <c r="C38" s="93"/>
      <c r="D38" s="93"/>
      <c r="E38" s="93"/>
      <c r="F38" s="94">
        <f t="shared" si="3"/>
        <v>0</v>
      </c>
      <c r="I38" s="430">
        <f t="shared" si="4"/>
        <v>0</v>
      </c>
      <c r="M38" s="431">
        <f>F38-BS!E98</f>
        <v>0</v>
      </c>
    </row>
    <row r="39" spans="1:13" ht="22.5" customHeight="1" thickBot="1" x14ac:dyDescent="0.3">
      <c r="A39" s="90" t="s">
        <v>402</v>
      </c>
      <c r="B39" s="93"/>
      <c r="C39" s="93"/>
      <c r="D39" s="93"/>
      <c r="E39" s="93"/>
      <c r="F39" s="94">
        <f t="shared" si="3"/>
        <v>0</v>
      </c>
      <c r="I39" s="430">
        <f t="shared" si="4"/>
        <v>0</v>
      </c>
      <c r="M39" s="431">
        <f>F39-BS!E100</f>
        <v>0</v>
      </c>
    </row>
    <row r="40" spans="1:13" ht="22.5" customHeight="1" thickBot="1" x14ac:dyDescent="0.3">
      <c r="A40" s="90" t="s">
        <v>469</v>
      </c>
      <c r="B40" s="93"/>
      <c r="C40" s="93"/>
      <c r="D40" s="93"/>
      <c r="E40" s="93"/>
      <c r="F40" s="94">
        <f t="shared" si="3"/>
        <v>0</v>
      </c>
      <c r="I40" s="430">
        <f t="shared" si="4"/>
        <v>0</v>
      </c>
      <c r="M40" s="431">
        <f>F40-BS!E101</f>
        <v>0</v>
      </c>
    </row>
    <row r="41" spans="1:13" ht="22.5" customHeight="1" thickBot="1" x14ac:dyDescent="0.3">
      <c r="A41" s="90" t="s">
        <v>470</v>
      </c>
      <c r="B41" s="93"/>
      <c r="C41" s="93"/>
      <c r="D41" s="93"/>
      <c r="E41" s="93"/>
      <c r="F41" s="94">
        <f t="shared" si="3"/>
        <v>0</v>
      </c>
      <c r="I41" s="430">
        <f t="shared" si="4"/>
        <v>0</v>
      </c>
      <c r="M41" s="431">
        <f>F41-BS!E102</f>
        <v>0</v>
      </c>
    </row>
    <row r="42" spans="1:13" ht="22.5" customHeight="1" thickBot="1" x14ac:dyDescent="0.3">
      <c r="A42" s="90" t="s">
        <v>403</v>
      </c>
      <c r="B42" s="93"/>
      <c r="C42" s="93"/>
      <c r="D42" s="93"/>
      <c r="E42" s="93"/>
      <c r="F42" s="94">
        <f t="shared" si="3"/>
        <v>0</v>
      </c>
      <c r="I42" s="430">
        <f t="shared" si="4"/>
        <v>0</v>
      </c>
      <c r="M42" s="432"/>
    </row>
    <row r="43" spans="1:13" ht="22.5" customHeight="1" thickBot="1" x14ac:dyDescent="0.3">
      <c r="A43" s="90" t="s">
        <v>404</v>
      </c>
      <c r="B43" s="93"/>
      <c r="C43" s="93"/>
      <c r="D43" s="93"/>
      <c r="E43" s="93"/>
      <c r="F43" s="94">
        <f>SUM(B43:E43)</f>
        <v>0</v>
      </c>
      <c r="I43" s="430">
        <f t="shared" si="4"/>
        <v>0</v>
      </c>
      <c r="M43" s="432"/>
    </row>
    <row r="44" spans="1:13" ht="22.5" customHeight="1" thickBot="1" x14ac:dyDescent="0.3">
      <c r="A44" s="91" t="s">
        <v>471</v>
      </c>
      <c r="B44" s="95"/>
      <c r="C44" s="95"/>
      <c r="D44" s="95"/>
      <c r="E44" s="95"/>
      <c r="F44" s="98">
        <f>SUM(B44:E44)</f>
        <v>0</v>
      </c>
      <c r="I44" s="430">
        <f t="shared" si="4"/>
        <v>0</v>
      </c>
      <c r="M44" s="432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61" priority="12" operator="lessThan">
      <formula>0</formula>
    </cfRule>
    <cfRule type="cellIs" dxfId="60" priority="13" operator="greaterThan">
      <formula>0</formula>
    </cfRule>
  </conditionalFormatting>
  <conditionalFormatting sqref="M1">
    <cfRule type="cellIs" priority="9" stopIfTrue="1" operator="greaterThan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407" hidden="1" customWidth="1" outlineLevel="1"/>
    <col min="9" max="11" width="12.7109375" style="408" hidden="1" customWidth="1" outlineLevel="1"/>
    <col min="12" max="12" width="18" style="412" customWidth="1" collapsed="1"/>
    <col min="14" max="14" width="27.42578125" style="414" customWidth="1"/>
    <col min="16" max="16" width="24.7109375" style="414" customWidth="1"/>
    <col min="17" max="17" width="27.7109375" customWidth="1"/>
  </cols>
  <sheetData>
    <row r="1" spans="1:16" x14ac:dyDescent="0.25">
      <c r="A1" s="99" t="s">
        <v>209</v>
      </c>
      <c r="B1" s="20"/>
      <c r="C1" s="20"/>
      <c r="D1" s="20"/>
      <c r="E1" s="20"/>
      <c r="F1" s="20"/>
      <c r="H1" s="1319" t="s">
        <v>1139</v>
      </c>
      <c r="I1" s="1320"/>
      <c r="J1" s="1320"/>
      <c r="K1" s="1320"/>
      <c r="L1" s="1321"/>
      <c r="N1" s="420" t="s">
        <v>1143</v>
      </c>
      <c r="P1" s="422" t="s">
        <v>1141</v>
      </c>
    </row>
    <row r="2" spans="1:16" ht="15.75" thickBot="1" x14ac:dyDescent="0.3">
      <c r="A2" s="20" t="s">
        <v>8</v>
      </c>
      <c r="B2" s="20"/>
      <c r="C2" s="20"/>
      <c r="D2" s="20"/>
      <c r="E2" s="20"/>
      <c r="F2" s="20"/>
      <c r="N2" s="430"/>
    </row>
    <row r="3" spans="1:16" ht="16.5" thickTop="1" thickBot="1" x14ac:dyDescent="0.3">
      <c r="A3" s="1330" t="s">
        <v>131</v>
      </c>
      <c r="B3" s="1316" t="s">
        <v>2</v>
      </c>
      <c r="C3" s="1317"/>
      <c r="D3" s="1317"/>
      <c r="E3" s="1317"/>
      <c r="F3" s="1318"/>
      <c r="N3" s="430"/>
    </row>
    <row r="4" spans="1:16" s="4" customFormat="1" ht="33" customHeight="1" thickTop="1" thickBot="1" x14ac:dyDescent="0.3">
      <c r="A4" s="1332"/>
      <c r="B4" s="21" t="s">
        <v>32</v>
      </c>
      <c r="C4" s="21" t="s">
        <v>124</v>
      </c>
      <c r="D4" s="102" t="s">
        <v>210</v>
      </c>
      <c r="E4" s="662" t="s">
        <v>211</v>
      </c>
      <c r="F4" s="21" t="s">
        <v>30</v>
      </c>
      <c r="H4" s="59" t="s">
        <v>32</v>
      </c>
      <c r="I4" s="59" t="s">
        <v>124</v>
      </c>
      <c r="J4" s="59" t="s">
        <v>210</v>
      </c>
      <c r="K4" s="59" t="s">
        <v>211</v>
      </c>
      <c r="L4" s="59" t="s">
        <v>30</v>
      </c>
      <c r="N4" s="59" t="s">
        <v>472</v>
      </c>
      <c r="P4" s="59" t="s">
        <v>30</v>
      </c>
    </row>
    <row r="5" spans="1:16" ht="21" customHeight="1" thickTop="1" thickBot="1" x14ac:dyDescent="0.3">
      <c r="A5" s="86" t="s">
        <v>212</v>
      </c>
      <c r="B5" s="85">
        <f>SUM(B6:B10)</f>
        <v>0</v>
      </c>
      <c r="C5" s="85">
        <f>SUM(C6:C10)</f>
        <v>0</v>
      </c>
      <c r="D5" s="85">
        <f t="shared" ref="D5:E5" si="0">SUM(D6:D10)</f>
        <v>0</v>
      </c>
      <c r="E5" s="85">
        <f t="shared" si="0"/>
        <v>0</v>
      </c>
      <c r="F5" s="143">
        <f>SUM(B5:E5)</f>
        <v>0</v>
      </c>
      <c r="H5" s="410">
        <f>SUM(B6:B10)-B5</f>
        <v>0</v>
      </c>
      <c r="I5" s="409">
        <f t="shared" ref="I5:K5" si="1">SUM(C6:C10)-C5</f>
        <v>0</v>
      </c>
      <c r="J5" s="409">
        <f t="shared" si="1"/>
        <v>0</v>
      </c>
      <c r="K5" s="409">
        <f t="shared" si="1"/>
        <v>0</v>
      </c>
      <c r="L5" s="413">
        <f>SUM(B5:E5)-F5</f>
        <v>0</v>
      </c>
      <c r="N5" s="421">
        <f>B5-F23</f>
        <v>0</v>
      </c>
      <c r="P5" s="421">
        <f>F5-BS!$D$105-BS!$D$107</f>
        <v>0</v>
      </c>
    </row>
    <row r="6" spans="1:16" ht="21" customHeight="1" thickTop="1" thickBot="1" x14ac:dyDescent="0.3">
      <c r="A6" s="108"/>
      <c r="B6" s="79"/>
      <c r="C6" s="79"/>
      <c r="D6" s="144"/>
      <c r="E6" s="144"/>
      <c r="F6" s="145">
        <f t="shared" ref="F6:F17" si="2">SUM(B6:E6)</f>
        <v>0</v>
      </c>
      <c r="L6" s="413">
        <f>SUM(B6:E6)-F6</f>
        <v>0</v>
      </c>
      <c r="N6" s="421">
        <f>B6-F24</f>
        <v>0</v>
      </c>
    </row>
    <row r="7" spans="1:16" ht="21" customHeight="1" thickBot="1" x14ac:dyDescent="0.3">
      <c r="A7" s="108"/>
      <c r="B7" s="79"/>
      <c r="C7" s="79"/>
      <c r="D7" s="120"/>
      <c r="E7" s="120"/>
      <c r="F7" s="145">
        <f t="shared" si="2"/>
        <v>0</v>
      </c>
      <c r="L7" s="413">
        <f t="shared" ref="L7:L10" si="3">SUM(B7:E7)-F7</f>
        <v>0</v>
      </c>
      <c r="N7" s="421">
        <f t="shared" ref="N7:N17" si="4">B7-F25</f>
        <v>0</v>
      </c>
    </row>
    <row r="8" spans="1:16" ht="21" customHeight="1" thickBot="1" x14ac:dyDescent="0.3">
      <c r="A8" s="108"/>
      <c r="B8" s="79"/>
      <c r="C8" s="79"/>
      <c r="D8" s="120"/>
      <c r="E8" s="120"/>
      <c r="F8" s="145">
        <f t="shared" si="2"/>
        <v>0</v>
      </c>
      <c r="L8" s="413">
        <f t="shared" si="3"/>
        <v>0</v>
      </c>
      <c r="N8" s="421">
        <f t="shared" si="4"/>
        <v>0</v>
      </c>
    </row>
    <row r="9" spans="1:16" ht="21" customHeight="1" thickBot="1" x14ac:dyDescent="0.3">
      <c r="A9" s="108"/>
      <c r="B9" s="79"/>
      <c r="C9" s="79"/>
      <c r="D9" s="120"/>
      <c r="E9" s="120"/>
      <c r="F9" s="145">
        <f t="shared" si="2"/>
        <v>0</v>
      </c>
      <c r="L9" s="413">
        <f t="shared" si="3"/>
        <v>0</v>
      </c>
      <c r="N9" s="421">
        <f t="shared" si="4"/>
        <v>0</v>
      </c>
    </row>
    <row r="10" spans="1:16" ht="21" customHeight="1" thickBot="1" x14ac:dyDescent="0.3">
      <c r="A10" s="150"/>
      <c r="B10" s="85"/>
      <c r="C10" s="85"/>
      <c r="D10" s="146"/>
      <c r="E10" s="146"/>
      <c r="F10" s="147">
        <f t="shared" si="2"/>
        <v>0</v>
      </c>
      <c r="L10" s="413">
        <f t="shared" si="3"/>
        <v>0</v>
      </c>
      <c r="N10" s="421">
        <f t="shared" si="4"/>
        <v>0</v>
      </c>
    </row>
    <row r="11" spans="1:16" ht="21" customHeight="1" thickTop="1" thickBot="1" x14ac:dyDescent="0.3">
      <c r="A11" s="86" t="s">
        <v>213</v>
      </c>
      <c r="B11" s="85">
        <f>SUM(B12:B17)</f>
        <v>0</v>
      </c>
      <c r="C11" s="85">
        <f>SUM(C12:C17)</f>
        <v>0</v>
      </c>
      <c r="D11" s="85">
        <f t="shared" ref="D11:E11" si="5">SUM(D12:D17)</f>
        <v>0</v>
      </c>
      <c r="E11" s="85">
        <f t="shared" si="5"/>
        <v>0</v>
      </c>
      <c r="F11" s="143">
        <f>SUM(B11:E11)</f>
        <v>0</v>
      </c>
      <c r="H11" s="410">
        <f>SUM(B12:B17)-B11</f>
        <v>0</v>
      </c>
      <c r="I11" s="409">
        <f t="shared" ref="I11:K11" si="6">SUM(C12:C17)-C11</f>
        <v>0</v>
      </c>
      <c r="J11" s="409">
        <f t="shared" si="6"/>
        <v>0</v>
      </c>
      <c r="K11" s="409">
        <f t="shared" si="6"/>
        <v>0</v>
      </c>
      <c r="L11" s="413">
        <f>SUM(B11:E11)-F11</f>
        <v>0</v>
      </c>
      <c r="N11" s="421">
        <f t="shared" si="4"/>
        <v>0</v>
      </c>
      <c r="P11" s="421">
        <f>F11-BS!$D$106-BS!$D$108</f>
        <v>0</v>
      </c>
    </row>
    <row r="12" spans="1:16" ht="21" customHeight="1" thickTop="1" thickBot="1" x14ac:dyDescent="0.3">
      <c r="A12" s="108"/>
      <c r="B12" s="79"/>
      <c r="C12" s="79"/>
      <c r="D12" s="144"/>
      <c r="E12" s="144"/>
      <c r="F12" s="145">
        <f t="shared" si="2"/>
        <v>0</v>
      </c>
      <c r="L12" s="413">
        <f>SUM(B12:E12)-F12</f>
        <v>0</v>
      </c>
      <c r="N12" s="421">
        <f t="shared" si="4"/>
        <v>0</v>
      </c>
    </row>
    <row r="13" spans="1:16" ht="21" customHeight="1" thickBot="1" x14ac:dyDescent="0.3">
      <c r="A13" s="108"/>
      <c r="B13" s="79"/>
      <c r="C13" s="79"/>
      <c r="D13" s="120"/>
      <c r="E13" s="120"/>
      <c r="F13" s="145">
        <f t="shared" si="2"/>
        <v>0</v>
      </c>
      <c r="L13" s="413">
        <f>SUM(B13:E13)-F13</f>
        <v>0</v>
      </c>
      <c r="N13" s="421">
        <f>B13-F31</f>
        <v>0</v>
      </c>
    </row>
    <row r="14" spans="1:16" ht="21" customHeight="1" thickBot="1" x14ac:dyDescent="0.3">
      <c r="A14" s="108"/>
      <c r="B14" s="79"/>
      <c r="C14" s="79"/>
      <c r="D14" s="120"/>
      <c r="E14" s="120"/>
      <c r="F14" s="145">
        <f t="shared" si="2"/>
        <v>0</v>
      </c>
      <c r="L14" s="413">
        <f t="shared" ref="L14:L17" si="7">SUM(B14:E14)-F14</f>
        <v>0</v>
      </c>
      <c r="N14" s="421">
        <f t="shared" si="4"/>
        <v>0</v>
      </c>
    </row>
    <row r="15" spans="1:16" ht="21" customHeight="1" thickBot="1" x14ac:dyDescent="0.3">
      <c r="A15" s="108"/>
      <c r="B15" s="79"/>
      <c r="C15" s="79"/>
      <c r="D15" s="120"/>
      <c r="E15" s="120"/>
      <c r="F15" s="145">
        <f t="shared" si="2"/>
        <v>0</v>
      </c>
      <c r="L15" s="413">
        <f t="shared" si="7"/>
        <v>0</v>
      </c>
      <c r="N15" s="421">
        <f t="shared" si="4"/>
        <v>0</v>
      </c>
    </row>
    <row r="16" spans="1:16" ht="21" customHeight="1" thickBot="1" x14ac:dyDescent="0.3">
      <c r="A16" s="108"/>
      <c r="B16" s="79"/>
      <c r="C16" s="79"/>
      <c r="D16" s="120"/>
      <c r="E16" s="120"/>
      <c r="F16" s="145">
        <f t="shared" si="2"/>
        <v>0</v>
      </c>
      <c r="L16" s="413">
        <f t="shared" si="7"/>
        <v>0</v>
      </c>
      <c r="N16" s="421">
        <f t="shared" si="4"/>
        <v>0</v>
      </c>
    </row>
    <row r="17" spans="1:16" ht="21" customHeight="1" thickBot="1" x14ac:dyDescent="0.3">
      <c r="A17" s="150"/>
      <c r="B17" s="81"/>
      <c r="C17" s="81"/>
      <c r="D17" s="148"/>
      <c r="E17" s="148"/>
      <c r="F17" s="149">
        <f t="shared" si="2"/>
        <v>0</v>
      </c>
      <c r="L17" s="413">
        <f t="shared" si="7"/>
        <v>0</v>
      </c>
      <c r="N17" s="421">
        <f t="shared" si="4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421"/>
    </row>
    <row r="19" spans="1:16" ht="16.5" x14ac:dyDescent="0.3">
      <c r="A19" s="2"/>
      <c r="N19" s="421"/>
    </row>
    <row r="20" spans="1:16" ht="15.75" thickBot="1" x14ac:dyDescent="0.3">
      <c r="A20" s="20" t="s">
        <v>15</v>
      </c>
      <c r="B20" s="20"/>
      <c r="C20" s="20"/>
      <c r="D20" s="20"/>
      <c r="E20" s="20"/>
      <c r="F20" s="20"/>
      <c r="N20" s="421"/>
    </row>
    <row r="21" spans="1:16" ht="16.5" thickTop="1" thickBot="1" x14ac:dyDescent="0.3">
      <c r="A21" s="1330" t="s">
        <v>131</v>
      </c>
      <c r="B21" s="1316" t="s">
        <v>3</v>
      </c>
      <c r="C21" s="1317"/>
      <c r="D21" s="1317"/>
      <c r="E21" s="1317"/>
      <c r="F21" s="1318"/>
      <c r="N21" s="421"/>
    </row>
    <row r="22" spans="1:16" s="4" customFormat="1" ht="35.25" thickTop="1" thickBot="1" x14ac:dyDescent="0.3">
      <c r="A22" s="1332"/>
      <c r="B22" s="21" t="s">
        <v>32</v>
      </c>
      <c r="C22" s="21" t="s">
        <v>124</v>
      </c>
      <c r="D22" s="102" t="s">
        <v>210</v>
      </c>
      <c r="E22" s="30" t="s">
        <v>211</v>
      </c>
      <c r="F22" s="21" t="s">
        <v>30</v>
      </c>
      <c r="H22" s="434"/>
      <c r="I22" s="433"/>
      <c r="J22" s="433"/>
      <c r="K22" s="433"/>
      <c r="L22" s="416"/>
      <c r="N22" s="421"/>
      <c r="P22" s="435"/>
    </row>
    <row r="23" spans="1:16" ht="21" customHeight="1" thickTop="1" thickBot="1" x14ac:dyDescent="0.3">
      <c r="A23" s="150" t="s">
        <v>212</v>
      </c>
      <c r="B23" s="85">
        <f>SUM(B24:B28)</f>
        <v>0</v>
      </c>
      <c r="C23" s="85">
        <f>SUM(C24:C28)</f>
        <v>0</v>
      </c>
      <c r="D23" s="85">
        <f t="shared" ref="D23" si="8">SUM(D24:D28)</f>
        <v>0</v>
      </c>
      <c r="E23" s="85">
        <f t="shared" ref="E23" si="9">SUM(E24:E28)</f>
        <v>0</v>
      </c>
      <c r="F23" s="143">
        <f>SUM(B23:E23)</f>
        <v>0</v>
      </c>
      <c r="H23" s="410">
        <f>SUM(B24:B28)-B23</f>
        <v>0</v>
      </c>
      <c r="I23" s="409">
        <f t="shared" ref="I23" si="10">SUM(C24:C28)-C23</f>
        <v>0</v>
      </c>
      <c r="J23" s="409">
        <f t="shared" ref="J23" si="11">SUM(D24:D28)-D23</f>
        <v>0</v>
      </c>
      <c r="K23" s="409">
        <f t="shared" ref="K23" si="12">SUM(E24:E28)-E23</f>
        <v>0</v>
      </c>
      <c r="L23" s="413">
        <f>SUM(B23:E23)-F23</f>
        <v>0</v>
      </c>
      <c r="N23" s="421"/>
      <c r="P23" s="421">
        <f>F23-BS!E105-BS!E107</f>
        <v>0</v>
      </c>
    </row>
    <row r="24" spans="1:16" ht="21" customHeight="1" thickTop="1" thickBot="1" x14ac:dyDescent="0.3">
      <c r="A24" s="108"/>
      <c r="B24" s="79"/>
      <c r="C24" s="79"/>
      <c r="D24" s="144"/>
      <c r="E24" s="144"/>
      <c r="F24" s="145">
        <f t="shared" ref="F24:F35" si="13">SUM(B24:E24)</f>
        <v>0</v>
      </c>
      <c r="L24" s="413">
        <f>SUM(B24:E24)-F24</f>
        <v>0</v>
      </c>
      <c r="N24" s="421"/>
    </row>
    <row r="25" spans="1:16" ht="21" customHeight="1" thickBot="1" x14ac:dyDescent="0.3">
      <c r="A25" s="108"/>
      <c r="B25" s="79"/>
      <c r="C25" s="79"/>
      <c r="D25" s="120"/>
      <c r="E25" s="120"/>
      <c r="F25" s="145">
        <f t="shared" si="13"/>
        <v>0</v>
      </c>
      <c r="L25" s="413">
        <f t="shared" ref="L25:L28" si="14">SUM(B25:E25)-F25</f>
        <v>0</v>
      </c>
      <c r="N25" s="421"/>
    </row>
    <row r="26" spans="1:16" ht="21" customHeight="1" thickBot="1" x14ac:dyDescent="0.3">
      <c r="A26" s="108"/>
      <c r="B26" s="79"/>
      <c r="C26" s="79"/>
      <c r="D26" s="120"/>
      <c r="E26" s="120"/>
      <c r="F26" s="145">
        <f t="shared" si="13"/>
        <v>0</v>
      </c>
      <c r="L26" s="413">
        <f t="shared" si="14"/>
        <v>0</v>
      </c>
      <c r="N26" s="421"/>
    </row>
    <row r="27" spans="1:16" ht="21" customHeight="1" thickBot="1" x14ac:dyDescent="0.3">
      <c r="A27" s="108"/>
      <c r="B27" s="79"/>
      <c r="C27" s="79"/>
      <c r="D27" s="120"/>
      <c r="E27" s="120"/>
      <c r="F27" s="145">
        <f t="shared" si="13"/>
        <v>0</v>
      </c>
      <c r="L27" s="413">
        <f t="shared" si="14"/>
        <v>0</v>
      </c>
      <c r="N27" s="421"/>
    </row>
    <row r="28" spans="1:16" ht="21" customHeight="1" thickBot="1" x14ac:dyDescent="0.3">
      <c r="A28" s="150"/>
      <c r="B28" s="85"/>
      <c r="C28" s="85"/>
      <c r="D28" s="146"/>
      <c r="E28" s="146"/>
      <c r="F28" s="147">
        <f t="shared" si="13"/>
        <v>0</v>
      </c>
      <c r="L28" s="413">
        <f t="shared" si="14"/>
        <v>0</v>
      </c>
      <c r="N28" s="421"/>
    </row>
    <row r="29" spans="1:16" ht="21" customHeight="1" thickTop="1" thickBot="1" x14ac:dyDescent="0.3">
      <c r="A29" s="150" t="s">
        <v>213</v>
      </c>
      <c r="B29" s="85">
        <f>SUM(B30:B34)</f>
        <v>0</v>
      </c>
      <c r="C29" s="85">
        <f>SUM(C30:C34)</f>
        <v>0</v>
      </c>
      <c r="D29" s="85">
        <f t="shared" ref="D29" si="15">SUM(D30:D34)</f>
        <v>0</v>
      </c>
      <c r="E29" s="85">
        <f t="shared" ref="E29" si="16">SUM(E30:E34)</f>
        <v>0</v>
      </c>
      <c r="F29" s="143">
        <f>SUM(B29:E29)</f>
        <v>0</v>
      </c>
      <c r="H29" s="410">
        <f>SUM(B30:B35)-B29</f>
        <v>0</v>
      </c>
      <c r="I29" s="409">
        <f t="shared" ref="I29" si="17">SUM(C30:C35)-C29</f>
        <v>0</v>
      </c>
      <c r="J29" s="409">
        <f t="shared" ref="J29" si="18">SUM(D30:D35)-D29</f>
        <v>0</v>
      </c>
      <c r="K29" s="409">
        <f t="shared" ref="K29" si="19">SUM(E30:E35)-E29</f>
        <v>0</v>
      </c>
      <c r="L29" s="413">
        <f>SUM(B29:E29)-F29</f>
        <v>0</v>
      </c>
      <c r="N29" s="421"/>
      <c r="P29" s="421">
        <f>F29-BS!E106-BS!E108</f>
        <v>0</v>
      </c>
    </row>
    <row r="30" spans="1:16" ht="21" customHeight="1" thickTop="1" thickBot="1" x14ac:dyDescent="0.3">
      <c r="A30" s="108"/>
      <c r="B30" s="79"/>
      <c r="C30" s="79"/>
      <c r="D30" s="144"/>
      <c r="E30" s="144"/>
      <c r="F30" s="145">
        <f t="shared" si="13"/>
        <v>0</v>
      </c>
      <c r="L30" s="413">
        <f>SUM(B30:E30)-F30</f>
        <v>0</v>
      </c>
      <c r="N30" s="421"/>
    </row>
    <row r="31" spans="1:16" ht="21" customHeight="1" thickBot="1" x14ac:dyDescent="0.3">
      <c r="A31" s="108"/>
      <c r="B31" s="79"/>
      <c r="C31" s="79"/>
      <c r="D31" s="120"/>
      <c r="E31" s="120"/>
      <c r="F31" s="145">
        <f t="shared" si="13"/>
        <v>0</v>
      </c>
      <c r="L31" s="413">
        <f t="shared" ref="L31:L35" si="20">SUM(B31:E31)-F31</f>
        <v>0</v>
      </c>
      <c r="N31" s="421"/>
    </row>
    <row r="32" spans="1:16" ht="21" customHeight="1" thickBot="1" x14ac:dyDescent="0.3">
      <c r="A32" s="108"/>
      <c r="B32" s="79"/>
      <c r="C32" s="79"/>
      <c r="D32" s="120"/>
      <c r="E32" s="120"/>
      <c r="F32" s="145">
        <f t="shared" si="13"/>
        <v>0</v>
      </c>
      <c r="L32" s="413">
        <f t="shared" si="20"/>
        <v>0</v>
      </c>
      <c r="N32" s="421"/>
    </row>
    <row r="33" spans="1:14" ht="21" customHeight="1" thickBot="1" x14ac:dyDescent="0.3">
      <c r="A33" s="108"/>
      <c r="B33" s="79"/>
      <c r="C33" s="79"/>
      <c r="D33" s="120"/>
      <c r="E33" s="120"/>
      <c r="F33" s="145">
        <f t="shared" si="13"/>
        <v>0</v>
      </c>
      <c r="L33" s="413">
        <f t="shared" si="20"/>
        <v>0</v>
      </c>
      <c r="N33" s="421"/>
    </row>
    <row r="34" spans="1:14" ht="21" customHeight="1" thickBot="1" x14ac:dyDescent="0.3">
      <c r="A34" s="108"/>
      <c r="B34" s="79"/>
      <c r="C34" s="79"/>
      <c r="D34" s="120"/>
      <c r="E34" s="120"/>
      <c r="F34" s="145">
        <f t="shared" si="13"/>
        <v>0</v>
      </c>
      <c r="L34" s="413">
        <f t="shared" si="20"/>
        <v>0</v>
      </c>
      <c r="N34" s="421"/>
    </row>
    <row r="35" spans="1:14" ht="21" customHeight="1" thickBot="1" x14ac:dyDescent="0.3">
      <c r="A35" s="150"/>
      <c r="B35" s="81"/>
      <c r="C35" s="81"/>
      <c r="D35" s="148"/>
      <c r="E35" s="148"/>
      <c r="F35" s="149">
        <f t="shared" si="13"/>
        <v>0</v>
      </c>
      <c r="L35" s="413">
        <f t="shared" si="20"/>
        <v>0</v>
      </c>
      <c r="N35" s="421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59" priority="31" operator="lessThan">
      <formula>0</formula>
    </cfRule>
    <cfRule type="cellIs" dxfId="58" priority="32" operator="greaterThan">
      <formula>0</formula>
    </cfRule>
  </conditionalFormatting>
  <conditionalFormatting sqref="H5:L36">
    <cfRule type="cellIs" dxfId="57" priority="26" operator="lessThan">
      <formula>0</formula>
    </cfRule>
    <cfRule type="cellIs" dxfId="56" priority="27" operator="greaterThan">
      <formula>0</formula>
    </cfRule>
    <cfRule type="cellIs" priority="28" stopIfTrue="1" operator="greaterThan">
      <formula>0</formula>
    </cfRule>
    <cfRule type="cellIs" priority="29" stopIfTrue="1" operator="greaterThan">
      <formula>0</formula>
    </cfRule>
    <cfRule type="cellIs" priority="30" stopIfTrue="1" operator="greaterThan">
      <formula>0</formula>
    </cfRule>
  </conditionalFormatting>
  <conditionalFormatting sqref="P1">
    <cfRule type="cellIs" priority="25" stopIfTrue="1" operator="greaterThan">
      <formula>0</formula>
    </cfRule>
  </conditionalFormatting>
  <conditionalFormatting sqref="N5:N17">
    <cfRule type="cellIs" dxfId="55" priority="23" operator="lessThan">
      <formula>0</formula>
    </cfRule>
    <cfRule type="cellIs" dxfId="54" priority="24" operator="greaterThan">
      <formula>0</formula>
    </cfRule>
  </conditionalFormatting>
  <conditionalFormatting sqref="P5:P29">
    <cfRule type="cellIs" dxfId="53" priority="21" operator="lessThan">
      <formula>0</formula>
    </cfRule>
    <cfRule type="cellIs" dxfId="52" priority="22" operator="greaterThan">
      <formula>0</formula>
    </cfRule>
  </conditionalFormatting>
  <conditionalFormatting sqref="L5">
    <cfRule type="cellIs" dxfId="51" priority="16" operator="lessThan">
      <formula>0</formula>
    </cfRule>
    <cfRule type="cellIs" dxfId="50" priority="17" operator="greaterThan">
      <formula>0</formula>
    </cfRule>
    <cfRule type="cellIs" priority="18" stopIfTrue="1" operator="greaterThan">
      <formula>0</formula>
    </cfRule>
    <cfRule type="cellIs" priority="19" stopIfTrue="1" operator="greaterThan">
      <formula>0</formula>
    </cfRule>
    <cfRule type="cellIs" priority="20" stopIfTrue="1" operator="greaterThan">
      <formula>0</formula>
    </cfRule>
  </conditionalFormatting>
  <conditionalFormatting sqref="L11">
    <cfRule type="cellIs" dxfId="49" priority="11" operator="lessThan">
      <formula>0</formula>
    </cfRule>
    <cfRule type="cellIs" dxfId="48" priority="12" operator="greaterThan">
      <formula>0</formula>
    </cfRule>
    <cfRule type="cellIs" priority="13" stopIfTrue="1" operator="greaterThan">
      <formula>0</formula>
    </cfRule>
    <cfRule type="cellIs" priority="14" stopIfTrue="1" operator="greaterThan">
      <formula>0</formula>
    </cfRule>
    <cfRule type="cellIs" priority="15" stopIfTrue="1" operator="greaterThan">
      <formula>0</formula>
    </cfRule>
  </conditionalFormatting>
  <conditionalFormatting sqref="L23">
    <cfRule type="cellIs" dxfId="47" priority="6" operator="lessThan">
      <formula>0</formula>
    </cfRule>
    <cfRule type="cellIs" dxfId="46" priority="7" operator="greaterThan">
      <formula>0</formula>
    </cfRule>
    <cfRule type="cellIs" priority="8" stopIfTrue="1" operator="greaterThan">
      <formula>0</formula>
    </cfRule>
    <cfRule type="cellIs" priority="9" stopIfTrue="1" operator="greaterThan">
      <formula>0</formula>
    </cfRule>
    <cfRule type="cellIs" priority="10" stopIfTrue="1" operator="greaterThan">
      <formula>0</formula>
    </cfRule>
  </conditionalFormatting>
  <conditionalFormatting sqref="L29">
    <cfRule type="cellIs" dxfId="45" priority="1" operator="lessThan">
      <formula>0</formula>
    </cfRule>
    <cfRule type="cellIs" dxfId="44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407" customWidth="1"/>
    <col min="6" max="6" width="25.28515625" style="412" customWidth="1"/>
    <col min="7" max="7" width="5.85546875" customWidth="1"/>
    <col min="8" max="8" width="29.42578125" style="407" customWidth="1"/>
    <col min="9" max="9" width="30.85546875" style="412" customWidth="1"/>
  </cols>
  <sheetData>
    <row r="1" spans="1:9" ht="17.25" thickBot="1" x14ac:dyDescent="0.35">
      <c r="A1" s="1" t="s">
        <v>214</v>
      </c>
      <c r="E1" s="1325" t="s">
        <v>1139</v>
      </c>
      <c r="F1" s="1327"/>
      <c r="H1" s="1325" t="s">
        <v>1141</v>
      </c>
      <c r="I1" s="1327"/>
    </row>
    <row r="2" spans="1:9" ht="26.25" customHeight="1" thickTop="1" thickBot="1" x14ac:dyDescent="0.3">
      <c r="A2" s="84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14" t="s">
        <v>215</v>
      </c>
      <c r="B3" s="151"/>
      <c r="C3" s="152"/>
    </row>
    <row r="4" spans="1:9" ht="20.25" customHeight="1" thickBot="1" x14ac:dyDescent="0.3">
      <c r="A4" s="14" t="s">
        <v>473</v>
      </c>
      <c r="B4" s="151"/>
      <c r="C4" s="152"/>
    </row>
    <row r="5" spans="1:9" ht="20.25" customHeight="1" thickBot="1" x14ac:dyDescent="0.3">
      <c r="A5" s="44" t="s">
        <v>216</v>
      </c>
      <c r="B5" s="79">
        <f>B3+B4</f>
        <v>0</v>
      </c>
      <c r="C5" s="80">
        <f>C3+C4</f>
        <v>0</v>
      </c>
      <c r="E5" s="410">
        <f>SUM(B3:B4)-B5</f>
        <v>0</v>
      </c>
      <c r="F5" s="413">
        <f>SUM(C3:C4)-C5</f>
        <v>0</v>
      </c>
      <c r="H5" s="410">
        <f>B5-BS!$D$121</f>
        <v>0</v>
      </c>
      <c r="I5" s="413">
        <f>C5-BS!$E$121</f>
        <v>0</v>
      </c>
    </row>
    <row r="6" spans="1:9" ht="20.25" customHeight="1" thickBot="1" x14ac:dyDescent="0.3">
      <c r="A6" s="14" t="s">
        <v>217</v>
      </c>
      <c r="B6" s="79"/>
      <c r="C6" s="80"/>
    </row>
    <row r="7" spans="1:9" ht="20.25" customHeight="1" thickBot="1" x14ac:dyDescent="0.3">
      <c r="A7" s="14" t="s">
        <v>218</v>
      </c>
      <c r="B7" s="153"/>
      <c r="C7" s="126"/>
    </row>
    <row r="8" spans="1:9" ht="20.25" customHeight="1" thickBot="1" x14ac:dyDescent="0.3">
      <c r="A8" s="25" t="s">
        <v>219</v>
      </c>
      <c r="B8" s="146">
        <f>B6+B7</f>
        <v>0</v>
      </c>
      <c r="C8" s="127">
        <f>C6+C7</f>
        <v>0</v>
      </c>
      <c r="E8" s="410">
        <f>SUM(B6:B7)-B8</f>
        <v>0</v>
      </c>
      <c r="F8" s="413">
        <f>SUM(C6:C7)-C8</f>
        <v>0</v>
      </c>
      <c r="H8" s="410">
        <f>B8-BS!$D$109</f>
        <v>0</v>
      </c>
      <c r="I8" s="413">
        <f>C8-BS!$E$109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407" customWidth="1"/>
    <col min="6" max="6" width="27.85546875" style="412" customWidth="1"/>
    <col min="7" max="7" width="10.42578125" customWidth="1"/>
    <col min="8" max="8" width="23.140625" style="407" customWidth="1"/>
    <col min="9" max="9" width="23.140625" style="412" customWidth="1"/>
  </cols>
  <sheetData>
    <row r="1" spans="1:9" ht="17.25" thickBot="1" x14ac:dyDescent="0.35">
      <c r="A1" s="1" t="s">
        <v>478</v>
      </c>
      <c r="E1" s="1325" t="s">
        <v>1139</v>
      </c>
      <c r="F1" s="1327"/>
      <c r="H1" s="1325" t="s">
        <v>1141</v>
      </c>
      <c r="I1" s="1327"/>
    </row>
    <row r="2" spans="1:9" ht="21.7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1.75" customHeight="1" thickTop="1" thickBot="1" x14ac:dyDescent="0.3">
      <c r="A3" s="103" t="s">
        <v>234</v>
      </c>
      <c r="B3" s="79"/>
      <c r="C3" s="80"/>
    </row>
    <row r="4" spans="1:9" ht="21.75" customHeight="1" thickBot="1" x14ac:dyDescent="0.3">
      <c r="A4" s="71" t="s">
        <v>235</v>
      </c>
      <c r="B4" s="79"/>
      <c r="C4" s="80"/>
    </row>
    <row r="5" spans="1:9" ht="21.75" customHeight="1" thickBot="1" x14ac:dyDescent="0.3">
      <c r="A5" s="71" t="s">
        <v>236</v>
      </c>
      <c r="B5" s="79"/>
      <c r="C5" s="80"/>
    </row>
    <row r="6" spans="1:9" ht="21.75" customHeight="1" thickBot="1" x14ac:dyDescent="0.3">
      <c r="A6" s="71" t="s">
        <v>237</v>
      </c>
      <c r="B6" s="79"/>
      <c r="C6" s="80"/>
    </row>
    <row r="7" spans="1:9" ht="21.75" customHeight="1" thickBot="1" x14ac:dyDescent="0.3">
      <c r="A7" s="103" t="s">
        <v>238</v>
      </c>
      <c r="B7" s="79">
        <f>SUM(B4:B6)</f>
        <v>0</v>
      </c>
      <c r="C7" s="80">
        <f>SUM(C4:C6)</f>
        <v>0</v>
      </c>
      <c r="E7" s="410">
        <f>SUM(B4:B6)-B7</f>
        <v>0</v>
      </c>
      <c r="F7" s="413">
        <f>SUM(C4:C6)-C7</f>
        <v>0</v>
      </c>
    </row>
    <row r="8" spans="1:9" ht="21.75" customHeight="1" thickBot="1" x14ac:dyDescent="0.3">
      <c r="A8" s="103" t="s">
        <v>239</v>
      </c>
      <c r="B8" s="79"/>
      <c r="C8" s="80"/>
    </row>
    <row r="9" spans="1:9" ht="21.75" customHeight="1" thickBot="1" x14ac:dyDescent="0.3">
      <c r="A9" s="72" t="s">
        <v>240</v>
      </c>
      <c r="B9" s="85">
        <f>B3+B7+B8</f>
        <v>0</v>
      </c>
      <c r="C9" s="78">
        <f>C3+C7+C8</f>
        <v>0</v>
      </c>
      <c r="E9" s="410">
        <f>B3+B7+B8-B9</f>
        <v>0</v>
      </c>
      <c r="F9" s="413">
        <f>C3+C7+C8-C9</f>
        <v>0</v>
      </c>
      <c r="H9" s="410">
        <f>B9-BS!$D$118</f>
        <v>0</v>
      </c>
      <c r="I9" s="413">
        <f>C9-BS!$E$118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41" priority="4" operator="lessThan">
      <formula>0</formula>
    </cfRule>
    <cfRule type="cellIs" dxfId="40" priority="5" operator="greaterThan">
      <formula>0</formula>
    </cfRule>
  </conditionalFormatting>
  <conditionalFormatting sqref="H1">
    <cfRule type="cellIs" priority="3" stopIfTrue="1" operator="greaterThan">
      <formula>0</formula>
    </cfRule>
  </conditionalFormatting>
  <conditionalFormatting sqref="H9:I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479</v>
      </c>
    </row>
    <row r="2" spans="1:6" s="4" customFormat="1" ht="21.75" customHeight="1" thickTop="1" thickBot="1" x14ac:dyDescent="0.3">
      <c r="A2" s="59" t="s">
        <v>241</v>
      </c>
      <c r="B2" s="38" t="s">
        <v>242</v>
      </c>
      <c r="C2" s="38" t="s">
        <v>243</v>
      </c>
      <c r="D2" s="38" t="s">
        <v>244</v>
      </c>
      <c r="E2" s="38" t="s">
        <v>245</v>
      </c>
      <c r="F2" s="38" t="s">
        <v>184</v>
      </c>
    </row>
    <row r="3" spans="1:6" ht="21.75" customHeight="1" thickTop="1" thickBot="1" x14ac:dyDescent="0.3">
      <c r="A3" s="108"/>
      <c r="B3" s="106"/>
      <c r="C3" s="79"/>
      <c r="D3" s="79"/>
      <c r="E3" s="79"/>
      <c r="F3" s="80"/>
    </row>
    <row r="4" spans="1:6" ht="21.75" customHeight="1" thickBot="1" x14ac:dyDescent="0.3">
      <c r="A4" s="108"/>
      <c r="B4" s="106"/>
      <c r="C4" s="79"/>
      <c r="D4" s="79"/>
      <c r="E4" s="79"/>
      <c r="F4" s="80"/>
    </row>
    <row r="5" spans="1:6" ht="21.75" customHeight="1" thickBot="1" x14ac:dyDescent="0.3">
      <c r="A5" s="108"/>
      <c r="B5" s="106"/>
      <c r="C5" s="79"/>
      <c r="D5" s="79"/>
      <c r="E5" s="79"/>
      <c r="F5" s="80"/>
    </row>
    <row r="6" spans="1:6" ht="21.75" customHeight="1" thickBot="1" x14ac:dyDescent="0.3">
      <c r="A6" s="109"/>
      <c r="B6" s="107"/>
      <c r="C6" s="85"/>
      <c r="D6" s="85"/>
      <c r="E6" s="85"/>
      <c r="F6" s="78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20" customWidth="1"/>
    <col min="2" max="2" width="8.28515625" style="20" customWidth="1"/>
    <col min="3" max="6" width="13.85546875" style="20" customWidth="1"/>
    <col min="7" max="7" width="23.28515625" style="20" customWidth="1"/>
    <col min="8" max="8" width="18.28515625" style="429" customWidth="1"/>
    <col min="9" max="9" width="18.28515625" style="428" customWidth="1"/>
    <col min="10" max="16384" width="9.140625" style="20"/>
  </cols>
  <sheetData>
    <row r="1" spans="1:9" ht="15" x14ac:dyDescent="0.25">
      <c r="A1" s="99" t="s">
        <v>480</v>
      </c>
      <c r="H1" s="1319" t="s">
        <v>1141</v>
      </c>
      <c r="I1" s="1321"/>
    </row>
    <row r="2" spans="1:9" ht="12" thickBot="1" x14ac:dyDescent="0.3">
      <c r="A2" s="20" t="s">
        <v>8</v>
      </c>
    </row>
    <row r="3" spans="1:9" ht="66.75" customHeight="1" thickTop="1" thickBot="1" x14ac:dyDescent="0.3">
      <c r="A3" s="19" t="s">
        <v>131</v>
      </c>
      <c r="B3" s="19" t="s">
        <v>246</v>
      </c>
      <c r="C3" s="50" t="s">
        <v>477</v>
      </c>
      <c r="D3" s="19" t="s">
        <v>247</v>
      </c>
      <c r="E3" s="19" t="s">
        <v>248</v>
      </c>
      <c r="F3" s="19" t="s">
        <v>249</v>
      </c>
      <c r="H3" s="59" t="s">
        <v>248</v>
      </c>
      <c r="I3" s="59" t="s">
        <v>249</v>
      </c>
    </row>
    <row r="4" spans="1:9" ht="21.75" customHeight="1" thickTop="1" thickBot="1" x14ac:dyDescent="0.3">
      <c r="A4" s="52" t="s">
        <v>250</v>
      </c>
      <c r="B4" s="87"/>
      <c r="C4" s="87"/>
      <c r="D4" s="87"/>
      <c r="E4" s="87"/>
      <c r="F4" s="83"/>
      <c r="H4" s="439">
        <f>SUM(E5:E7)-BS!$D$134</f>
        <v>0</v>
      </c>
      <c r="I4" s="437">
        <f>SUM(F5:F7)-BS!$E$134</f>
        <v>0</v>
      </c>
    </row>
    <row r="5" spans="1:9" ht="21.75" customHeight="1" thickTop="1" thickBot="1" x14ac:dyDescent="0.3">
      <c r="A5" s="71"/>
      <c r="B5" s="110"/>
      <c r="C5" s="113"/>
      <c r="D5" s="117"/>
      <c r="E5" s="79"/>
      <c r="F5" s="80"/>
    </row>
    <row r="6" spans="1:9" ht="21.75" customHeight="1" thickBot="1" x14ac:dyDescent="0.3">
      <c r="A6" s="71"/>
      <c r="B6" s="110"/>
      <c r="C6" s="113"/>
      <c r="D6" s="93"/>
      <c r="E6" s="79"/>
      <c r="F6" s="80"/>
    </row>
    <row r="7" spans="1:9" ht="21.75" customHeight="1" thickBot="1" x14ac:dyDescent="0.3">
      <c r="A7" s="71"/>
      <c r="B7" s="110"/>
      <c r="C7" s="113"/>
      <c r="D7" s="93"/>
      <c r="E7" s="79"/>
      <c r="F7" s="80"/>
    </row>
    <row r="8" spans="1:9" ht="21.75" customHeight="1" thickBot="1" x14ac:dyDescent="0.3">
      <c r="A8" s="100" t="s">
        <v>251</v>
      </c>
      <c r="B8" s="111"/>
      <c r="C8" s="114"/>
      <c r="D8" s="114"/>
      <c r="E8" s="114"/>
      <c r="F8" s="115"/>
      <c r="H8" s="439">
        <f>SUM(E9:E11)-BS!$D$135</f>
        <v>0</v>
      </c>
      <c r="I8" s="437">
        <f>SUM(F9:F11)-BS!$E$135</f>
        <v>0</v>
      </c>
    </row>
    <row r="9" spans="1:9" ht="21.75" customHeight="1" thickTop="1" thickBot="1" x14ac:dyDescent="0.3">
      <c r="A9" s="71"/>
      <c r="B9" s="110"/>
      <c r="C9" s="113"/>
      <c r="D9" s="93"/>
      <c r="E9" s="79"/>
      <c r="F9" s="80"/>
    </row>
    <row r="10" spans="1:9" ht="21.75" customHeight="1" thickBot="1" x14ac:dyDescent="0.3">
      <c r="A10" s="71"/>
      <c r="B10" s="110"/>
      <c r="C10" s="113"/>
      <c r="D10" s="93"/>
      <c r="E10" s="79"/>
      <c r="F10" s="80"/>
    </row>
    <row r="11" spans="1:9" ht="21.75" customHeight="1" thickBot="1" x14ac:dyDescent="0.3">
      <c r="A11" s="72"/>
      <c r="B11" s="112"/>
      <c r="C11" s="116"/>
      <c r="D11" s="95"/>
      <c r="E11" s="85"/>
      <c r="F11" s="78"/>
    </row>
    <row r="12" spans="1:9" ht="12" thickTop="1" x14ac:dyDescent="0.25">
      <c r="A12" s="99"/>
    </row>
    <row r="13" spans="1:9" ht="12" thickBot="1" x14ac:dyDescent="0.3">
      <c r="A13" s="20" t="s">
        <v>15</v>
      </c>
    </row>
    <row r="14" spans="1:9" ht="66.75" customHeight="1" thickTop="1" thickBot="1" x14ac:dyDescent="0.3">
      <c r="A14" s="19" t="s">
        <v>131</v>
      </c>
      <c r="B14" s="19" t="s">
        <v>246</v>
      </c>
      <c r="C14" s="50" t="s">
        <v>477</v>
      </c>
      <c r="D14" s="19" t="s">
        <v>247</v>
      </c>
      <c r="E14" s="19" t="s">
        <v>248</v>
      </c>
      <c r="F14" s="19" t="s">
        <v>249</v>
      </c>
    </row>
    <row r="15" spans="1:9" ht="21.75" customHeight="1" thickTop="1" thickBot="1" x14ac:dyDescent="0.3">
      <c r="A15" s="52" t="s">
        <v>474</v>
      </c>
      <c r="B15" s="87"/>
      <c r="C15" s="87"/>
      <c r="D15" s="87"/>
      <c r="E15" s="87"/>
      <c r="F15" s="83"/>
      <c r="H15" s="440"/>
      <c r="I15" s="438"/>
    </row>
    <row r="16" spans="1:9" ht="21.75" customHeight="1" thickTop="1" thickBot="1" x14ac:dyDescent="0.3">
      <c r="A16" s="71"/>
      <c r="B16" s="110"/>
      <c r="C16" s="113"/>
      <c r="D16" s="93"/>
      <c r="E16" s="79"/>
      <c r="F16" s="80"/>
    </row>
    <row r="17" spans="1:9" ht="21.75" customHeight="1" thickBot="1" x14ac:dyDescent="0.3">
      <c r="A17" s="71"/>
      <c r="B17" s="110"/>
      <c r="C17" s="113"/>
      <c r="D17" s="93"/>
      <c r="E17" s="79"/>
      <c r="F17" s="80"/>
    </row>
    <row r="18" spans="1:9" ht="21.75" customHeight="1" thickBot="1" x14ac:dyDescent="0.3">
      <c r="A18" s="71"/>
      <c r="B18" s="110"/>
      <c r="C18" s="113"/>
      <c r="D18" s="93"/>
      <c r="E18" s="79"/>
      <c r="F18" s="80"/>
    </row>
    <row r="19" spans="1:9" ht="21.75" customHeight="1" thickBot="1" x14ac:dyDescent="0.3">
      <c r="A19" s="100" t="s">
        <v>475</v>
      </c>
      <c r="B19" s="111"/>
      <c r="C19" s="114"/>
      <c r="D19" s="114"/>
      <c r="E19" s="114"/>
      <c r="F19" s="115"/>
      <c r="H19" s="439">
        <f>SUM(E20:E22,E24:E25)-BS!$D$132</f>
        <v>0</v>
      </c>
      <c r="I19" s="437">
        <f>SUM(F20:F22,F24:F25)-BS!$E$132</f>
        <v>0</v>
      </c>
    </row>
    <row r="20" spans="1:9" ht="21.75" customHeight="1" thickTop="1" thickBot="1" x14ac:dyDescent="0.3">
      <c r="A20" s="71"/>
      <c r="B20" s="110"/>
      <c r="C20" s="113"/>
      <c r="D20" s="93"/>
      <c r="E20" s="79"/>
      <c r="F20" s="80"/>
    </row>
    <row r="21" spans="1:9" ht="21.75" customHeight="1" thickBot="1" x14ac:dyDescent="0.4">
      <c r="A21" s="71"/>
      <c r="B21" s="110"/>
      <c r="C21" s="113"/>
      <c r="D21" s="93"/>
      <c r="E21" s="79"/>
      <c r="F21" s="80"/>
    </row>
    <row r="22" spans="1:9" ht="21.75" customHeight="1" thickBot="1" x14ac:dyDescent="0.4">
      <c r="A22" s="71"/>
      <c r="B22" s="110"/>
      <c r="C22" s="113"/>
      <c r="D22" s="93"/>
      <c r="E22" s="79"/>
      <c r="F22" s="80"/>
    </row>
    <row r="23" spans="1:9" ht="21.75" customHeight="1" thickBot="1" x14ac:dyDescent="0.3">
      <c r="A23" s="100" t="s">
        <v>476</v>
      </c>
      <c r="B23" s="111"/>
      <c r="C23" s="114"/>
      <c r="D23" s="114"/>
      <c r="E23" s="114"/>
      <c r="F23" s="115"/>
    </row>
    <row r="24" spans="1:9" ht="21.75" customHeight="1" thickTop="1" thickBot="1" x14ac:dyDescent="0.4">
      <c r="A24" s="71"/>
      <c r="B24" s="110"/>
      <c r="C24" s="113"/>
      <c r="D24" s="93"/>
      <c r="E24" s="79"/>
      <c r="F24" s="80"/>
    </row>
    <row r="25" spans="1:9" ht="21.75" customHeight="1" thickBot="1" x14ac:dyDescent="0.3">
      <c r="A25" s="72"/>
      <c r="B25" s="112"/>
      <c r="C25" s="116"/>
      <c r="D25" s="95"/>
      <c r="E25" s="85"/>
      <c r="F25" s="78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37" priority="3" operator="lessThan">
      <formula>0</formula>
    </cfRule>
    <cfRule type="cellIs" dxfId="36" priority="4" operator="greaterThan">
      <formula>0</formula>
    </cfRule>
  </conditionalFormatting>
  <conditionalFormatting sqref="H4:I8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  <pageSetUpPr fitToPage="1"/>
  </sheetPr>
  <dimension ref="A2:J201"/>
  <sheetViews>
    <sheetView showGridLines="0" zoomScale="60" zoomScaleNormal="60" zoomScaleSheetLayoutView="55" workbookViewId="0">
      <selection activeCell="J13" sqref="J13"/>
    </sheetView>
  </sheetViews>
  <sheetFormatPr defaultColWidth="10.28515625" defaultRowHeight="18" x14ac:dyDescent="0.25"/>
  <cols>
    <col min="1" max="1" width="10.42578125" style="322" customWidth="1"/>
    <col min="2" max="2" width="140.42578125" style="324" customWidth="1"/>
    <col min="3" max="3" width="4.28515625" style="324" customWidth="1"/>
    <col min="4" max="4" width="19.42578125" style="325" customWidth="1"/>
    <col min="5" max="5" width="19.7109375" style="325" customWidth="1"/>
    <col min="6" max="6" width="3" style="322" customWidth="1"/>
    <col min="7" max="7" width="57.140625" style="322" hidden="1" customWidth="1"/>
    <col min="8" max="8" width="11.5703125" style="326" bestFit="1" customWidth="1"/>
    <col min="9" max="9" width="11.5703125" style="328" bestFit="1" customWidth="1"/>
    <col min="10" max="16384" width="10.28515625" style="328"/>
  </cols>
  <sheetData>
    <row r="2" spans="1:9" ht="33.75" x14ac:dyDescent="0.5">
      <c r="B2" s="323" t="s">
        <v>981</v>
      </c>
      <c r="I2" s="327"/>
    </row>
    <row r="3" spans="1:9" ht="24" customHeight="1" x14ac:dyDescent="0.4">
      <c r="B3" s="329" t="s">
        <v>1144</v>
      </c>
      <c r="C3" s="329"/>
      <c r="D3" s="330"/>
      <c r="F3" s="331"/>
      <c r="G3" s="332"/>
    </row>
    <row r="4" spans="1:9" ht="24" customHeight="1" x14ac:dyDescent="0.4">
      <c r="B4" s="333" t="s">
        <v>982</v>
      </c>
      <c r="C4" s="329"/>
      <c r="D4" s="330"/>
      <c r="F4" s="331"/>
      <c r="G4" s="332"/>
      <c r="H4" s="327"/>
      <c r="I4" s="327"/>
    </row>
    <row r="5" spans="1:9" ht="24" customHeight="1" x14ac:dyDescent="0.4">
      <c r="B5" s="333"/>
      <c r="C5" s="329"/>
      <c r="D5" s="330"/>
      <c r="F5" s="331"/>
      <c r="G5" s="332"/>
      <c r="H5" s="327"/>
      <c r="I5" s="327"/>
    </row>
    <row r="6" spans="1:9" ht="24" customHeight="1" x14ac:dyDescent="0.4">
      <c r="B6" s="334">
        <f>'[2]Import - Prelim'!B1</f>
        <v>0</v>
      </c>
      <c r="C6" s="329"/>
      <c r="D6" s="330"/>
      <c r="F6" s="331"/>
      <c r="G6" s="332"/>
      <c r="H6" s="327"/>
      <c r="I6" s="327"/>
    </row>
    <row r="7" spans="1:9" ht="20.100000000000001" customHeight="1" thickBot="1" x14ac:dyDescent="0.35">
      <c r="A7" s="335"/>
      <c r="B7" s="336"/>
      <c r="F7" s="337"/>
      <c r="G7" s="336"/>
    </row>
    <row r="8" spans="1:9" s="343" customFormat="1" ht="40.5" customHeight="1" x14ac:dyDescent="0.25">
      <c r="A8" s="338" t="s">
        <v>983</v>
      </c>
      <c r="B8" s="339" t="s">
        <v>984</v>
      </c>
      <c r="C8" s="340"/>
      <c r="D8" s="1303" t="s">
        <v>985</v>
      </c>
      <c r="E8" s="1304"/>
      <c r="F8" s="341"/>
      <c r="G8" s="342"/>
      <c r="H8" s="326"/>
    </row>
    <row r="9" spans="1:9" s="343" customFormat="1" x14ac:dyDescent="0.25">
      <c r="A9" s="344"/>
      <c r="B9" s="345"/>
      <c r="C9" s="345"/>
      <c r="D9" s="1305" t="s">
        <v>986</v>
      </c>
      <c r="E9" s="1306" t="s">
        <v>987</v>
      </c>
      <c r="F9" s="341"/>
      <c r="G9" s="342"/>
      <c r="H9" s="326"/>
    </row>
    <row r="10" spans="1:9" s="343" customFormat="1" x14ac:dyDescent="0.25">
      <c r="A10" s="344" t="s">
        <v>518</v>
      </c>
      <c r="B10" s="345" t="s">
        <v>519</v>
      </c>
      <c r="C10" s="345" t="s">
        <v>520</v>
      </c>
      <c r="D10" s="1305"/>
      <c r="E10" s="1306"/>
      <c r="F10" s="341"/>
      <c r="G10" s="342"/>
      <c r="H10" s="326"/>
    </row>
    <row r="11" spans="1:9" s="343" customFormat="1" ht="23.25" customHeight="1" thickBot="1" x14ac:dyDescent="0.3">
      <c r="A11" s="346"/>
      <c r="B11" s="347"/>
      <c r="C11" s="347"/>
      <c r="D11" s="348"/>
      <c r="E11" s="349"/>
      <c r="F11" s="341"/>
      <c r="G11" s="350"/>
      <c r="H11" s="326"/>
    </row>
    <row r="12" spans="1:9" s="343" customFormat="1" ht="20.25" customHeight="1" x14ac:dyDescent="0.25">
      <c r="A12" s="351"/>
      <c r="B12" s="352"/>
      <c r="C12" s="353"/>
      <c r="D12" s="354"/>
      <c r="E12" s="355"/>
      <c r="F12" s="356"/>
      <c r="G12" s="357"/>
      <c r="H12" s="326"/>
    </row>
    <row r="13" spans="1:9" s="343" customFormat="1" ht="27.95" customHeight="1" x14ac:dyDescent="0.25">
      <c r="A13" s="358" t="s">
        <v>988</v>
      </c>
      <c r="B13" s="359" t="s">
        <v>989</v>
      </c>
      <c r="C13" s="360"/>
      <c r="D13" s="361">
        <v>-615541</v>
      </c>
      <c r="E13" s="361">
        <v>-821752</v>
      </c>
      <c r="F13" s="356"/>
      <c r="G13" s="357"/>
      <c r="H13" s="326"/>
    </row>
    <row r="14" spans="1:9" s="343" customFormat="1" ht="21.95" customHeight="1" x14ac:dyDescent="0.25">
      <c r="A14" s="362"/>
      <c r="B14" s="363"/>
      <c r="C14" s="364"/>
      <c r="D14" s="365"/>
      <c r="E14" s="366"/>
      <c r="F14" s="356"/>
      <c r="G14" s="357"/>
      <c r="H14" s="326"/>
    </row>
    <row r="15" spans="1:9" s="343" customFormat="1" ht="21.95" customHeight="1" x14ac:dyDescent="0.25">
      <c r="A15" s="367" t="s">
        <v>990</v>
      </c>
      <c r="B15" s="368" t="s">
        <v>991</v>
      </c>
      <c r="C15" s="369"/>
      <c r="D15" s="873">
        <f>SUM(D16:D28)</f>
        <v>35533</v>
      </c>
      <c r="E15" s="874">
        <f>SUM(E16:E28)</f>
        <v>-172664</v>
      </c>
      <c r="F15" s="372"/>
      <c r="G15" s="373"/>
      <c r="H15" s="326"/>
    </row>
    <row r="16" spans="1:9" s="343" customFormat="1" ht="21.95" customHeight="1" x14ac:dyDescent="0.25">
      <c r="A16" s="367" t="s">
        <v>992</v>
      </c>
      <c r="B16" s="368" t="s">
        <v>993</v>
      </c>
      <c r="C16" s="369"/>
      <c r="D16" s="374">
        <v>9943</v>
      </c>
      <c r="E16" s="375">
        <v>10344</v>
      </c>
      <c r="F16" s="372"/>
      <c r="G16" s="373"/>
      <c r="H16" s="326"/>
    </row>
    <row r="17" spans="1:10" s="343" customFormat="1" ht="21.75" customHeight="1" x14ac:dyDescent="0.25">
      <c r="A17" s="367" t="s">
        <v>994</v>
      </c>
      <c r="B17" s="368" t="s">
        <v>995</v>
      </c>
      <c r="C17" s="369"/>
      <c r="D17" s="374"/>
      <c r="E17" s="375"/>
      <c r="F17" s="372"/>
      <c r="G17" s="373"/>
      <c r="H17" s="326"/>
    </row>
    <row r="18" spans="1:10" s="343" customFormat="1" ht="21.95" customHeight="1" x14ac:dyDescent="0.25">
      <c r="A18" s="367" t="s">
        <v>996</v>
      </c>
      <c r="B18" s="368" t="s">
        <v>997</v>
      </c>
      <c r="C18" s="369"/>
      <c r="D18" s="374"/>
      <c r="E18" s="375"/>
      <c r="F18" s="372"/>
      <c r="G18" s="373"/>
      <c r="H18" s="326"/>
      <c r="I18" s="376"/>
    </row>
    <row r="19" spans="1:10" s="343" customFormat="1" ht="21.95" customHeight="1" x14ac:dyDescent="0.25">
      <c r="A19" s="367" t="s">
        <v>998</v>
      </c>
      <c r="B19" s="368" t="s">
        <v>999</v>
      </c>
      <c r="C19" s="369"/>
      <c r="D19" s="374">
        <v>19961</v>
      </c>
      <c r="E19" s="375">
        <v>142030</v>
      </c>
      <c r="F19" s="372"/>
      <c r="G19" s="373"/>
      <c r="H19" s="326"/>
      <c r="I19" s="376"/>
      <c r="J19" s="343" t="s">
        <v>1549</v>
      </c>
    </row>
    <row r="20" spans="1:10" s="343" customFormat="1" ht="21.95" customHeight="1" x14ac:dyDescent="0.25">
      <c r="A20" s="367" t="s">
        <v>1000</v>
      </c>
      <c r="B20" s="368" t="s">
        <v>1001</v>
      </c>
      <c r="C20" s="369"/>
      <c r="D20" s="374">
        <v>-5449</v>
      </c>
      <c r="E20" s="375">
        <v>-32388</v>
      </c>
      <c r="F20" s="372"/>
      <c r="G20" s="373"/>
      <c r="H20" s="326"/>
      <c r="I20" s="376"/>
      <c r="J20" s="343" t="s">
        <v>1550</v>
      </c>
    </row>
    <row r="21" spans="1:10" s="343" customFormat="1" ht="21.95" customHeight="1" x14ac:dyDescent="0.25">
      <c r="A21" s="367" t="s">
        <v>1002</v>
      </c>
      <c r="B21" s="368" t="s">
        <v>1003</v>
      </c>
      <c r="C21" s="369"/>
      <c r="D21" s="374">
        <v>8758</v>
      </c>
      <c r="E21" s="375">
        <v>-288756</v>
      </c>
      <c r="F21" s="372"/>
      <c r="G21" s="373"/>
      <c r="H21" s="326"/>
      <c r="I21" s="376"/>
      <c r="J21" s="343" t="s">
        <v>1551</v>
      </c>
    </row>
    <row r="22" spans="1:10" s="343" customFormat="1" ht="21.95" customHeight="1" x14ac:dyDescent="0.25">
      <c r="A22" s="367" t="s">
        <v>1004</v>
      </c>
      <c r="B22" s="368" t="s">
        <v>1005</v>
      </c>
      <c r="C22" s="369"/>
      <c r="D22" s="374"/>
      <c r="E22" s="375"/>
      <c r="F22" s="372"/>
      <c r="G22" s="373"/>
      <c r="H22" s="326"/>
      <c r="I22" s="376"/>
    </row>
    <row r="23" spans="1:10" s="343" customFormat="1" ht="21.95" customHeight="1" x14ac:dyDescent="0.25">
      <c r="A23" s="367" t="s">
        <v>1006</v>
      </c>
      <c r="B23" s="368" t="s">
        <v>1007</v>
      </c>
      <c r="C23" s="369"/>
      <c r="D23" s="374">
        <v>5520</v>
      </c>
      <c r="E23" s="375">
        <v>5189</v>
      </c>
      <c r="F23" s="372"/>
      <c r="G23" s="373"/>
      <c r="H23" s="326"/>
      <c r="I23" s="376"/>
    </row>
    <row r="24" spans="1:10" s="343" customFormat="1" ht="21.95" customHeight="1" x14ac:dyDescent="0.25">
      <c r="A24" s="367" t="s">
        <v>1008</v>
      </c>
      <c r="B24" s="368" t="s">
        <v>1009</v>
      </c>
      <c r="C24" s="369"/>
      <c r="D24" s="374"/>
      <c r="E24" s="375"/>
      <c r="F24" s="372"/>
      <c r="G24" s="373"/>
      <c r="H24" s="326"/>
      <c r="I24" s="376"/>
    </row>
    <row r="25" spans="1:10" s="343" customFormat="1" ht="21.95" customHeight="1" x14ac:dyDescent="0.25">
      <c r="A25" s="367" t="s">
        <v>1010</v>
      </c>
      <c r="B25" s="368" t="s">
        <v>1011</v>
      </c>
      <c r="C25" s="369"/>
      <c r="D25" s="374"/>
      <c r="E25" s="375"/>
      <c r="F25" s="372"/>
      <c r="G25" s="373"/>
      <c r="H25" s="326"/>
      <c r="I25" s="376"/>
    </row>
    <row r="26" spans="1:10" s="343" customFormat="1" ht="21.95" customHeight="1" x14ac:dyDescent="0.25">
      <c r="A26" s="367" t="s">
        <v>1012</v>
      </c>
      <c r="B26" s="368" t="s">
        <v>1013</v>
      </c>
      <c r="C26" s="369"/>
      <c r="D26" s="374"/>
      <c r="E26" s="375"/>
      <c r="F26" s="372"/>
      <c r="G26" s="373"/>
      <c r="H26" s="326"/>
      <c r="I26" s="376"/>
    </row>
    <row r="27" spans="1:10" s="343" customFormat="1" ht="21.95" customHeight="1" x14ac:dyDescent="0.25">
      <c r="A27" s="367" t="s">
        <v>1014</v>
      </c>
      <c r="B27" s="368" t="s">
        <v>1015</v>
      </c>
      <c r="C27" s="369"/>
      <c r="D27" s="374">
        <v>-3200</v>
      </c>
      <c r="E27" s="375">
        <v>-9083</v>
      </c>
      <c r="F27" s="372"/>
      <c r="G27" s="373"/>
      <c r="H27" s="326"/>
      <c r="I27" s="376"/>
    </row>
    <row r="28" spans="1:10" s="343" customFormat="1" ht="21.95" customHeight="1" x14ac:dyDescent="0.25">
      <c r="A28" s="367" t="s">
        <v>1016</v>
      </c>
      <c r="B28" s="368" t="s">
        <v>1017</v>
      </c>
      <c r="C28" s="369"/>
      <c r="D28" s="374"/>
      <c r="E28" s="375">
        <v>0</v>
      </c>
      <c r="F28" s="372"/>
      <c r="G28" s="373"/>
      <c r="H28" s="326"/>
      <c r="I28" s="376"/>
    </row>
    <row r="29" spans="1:10" s="343" customFormat="1" ht="21.95" customHeight="1" x14ac:dyDescent="0.25">
      <c r="A29" s="367" t="s">
        <v>1018</v>
      </c>
      <c r="B29" s="368" t="s">
        <v>1019</v>
      </c>
      <c r="C29" s="369"/>
      <c r="D29" s="874">
        <f>SUM(D30:D33)</f>
        <v>583380</v>
      </c>
      <c r="E29" s="874">
        <f>SUM(E30:E33)</f>
        <v>992712</v>
      </c>
      <c r="F29" s="356"/>
      <c r="G29" s="357"/>
      <c r="H29" s="377"/>
    </row>
    <row r="30" spans="1:10" s="343" customFormat="1" ht="21.95" customHeight="1" x14ac:dyDescent="0.25">
      <c r="A30" s="367" t="s">
        <v>1020</v>
      </c>
      <c r="B30" s="368" t="s">
        <v>1021</v>
      </c>
      <c r="C30" s="369"/>
      <c r="D30" s="374">
        <v>457793</v>
      </c>
      <c r="E30" s="375">
        <v>936239</v>
      </c>
      <c r="F30" s="356"/>
      <c r="G30" s="357"/>
      <c r="H30" s="377"/>
      <c r="I30" s="378"/>
      <c r="J30" s="343" t="s">
        <v>1546</v>
      </c>
    </row>
    <row r="31" spans="1:10" s="343" customFormat="1" ht="21.95" customHeight="1" x14ac:dyDescent="0.25">
      <c r="A31" s="367" t="s">
        <v>1022</v>
      </c>
      <c r="B31" s="368" t="s">
        <v>1023</v>
      </c>
      <c r="C31" s="369"/>
      <c r="D31" s="374">
        <v>127334</v>
      </c>
      <c r="E31" s="375">
        <v>-155127</v>
      </c>
      <c r="F31" s="356"/>
      <c r="G31" s="357"/>
      <c r="H31" s="377"/>
      <c r="J31" s="343" t="s">
        <v>1547</v>
      </c>
    </row>
    <row r="32" spans="1:10" s="343" customFormat="1" ht="21.95" customHeight="1" x14ac:dyDescent="0.25">
      <c r="A32" s="367" t="s">
        <v>1024</v>
      </c>
      <c r="B32" s="368" t="s">
        <v>1025</v>
      </c>
      <c r="C32" s="369"/>
      <c r="D32" s="374">
        <v>-1747</v>
      </c>
      <c r="E32" s="375">
        <v>211600</v>
      </c>
      <c r="F32" s="356"/>
      <c r="G32" s="357"/>
      <c r="H32" s="377"/>
      <c r="J32" s="343" t="s">
        <v>1548</v>
      </c>
    </row>
    <row r="33" spans="1:10" s="343" customFormat="1" ht="21.95" customHeight="1" x14ac:dyDescent="0.25">
      <c r="A33" s="367" t="s">
        <v>1026</v>
      </c>
      <c r="B33" s="368" t="s">
        <v>1027</v>
      </c>
      <c r="C33" s="369"/>
      <c r="D33" s="374"/>
      <c r="E33" s="375"/>
      <c r="F33" s="356"/>
      <c r="G33" s="357"/>
      <c r="H33" s="377"/>
    </row>
    <row r="34" spans="1:10" s="343" customFormat="1" ht="21.95" customHeight="1" x14ac:dyDescent="0.25">
      <c r="A34" s="367" t="s">
        <v>1028</v>
      </c>
      <c r="B34" s="368" t="s">
        <v>1029</v>
      </c>
      <c r="C34" s="369"/>
      <c r="D34" s="374"/>
      <c r="E34" s="375"/>
      <c r="F34" s="356"/>
      <c r="G34" s="357"/>
      <c r="H34" s="377"/>
    </row>
    <row r="35" spans="1:10" s="343" customFormat="1" ht="21.95" customHeight="1" x14ac:dyDescent="0.25">
      <c r="A35" s="367" t="s">
        <v>1030</v>
      </c>
      <c r="B35" s="368" t="s">
        <v>1031</v>
      </c>
      <c r="C35" s="369"/>
      <c r="D35" s="374">
        <v>-5520</v>
      </c>
      <c r="E35" s="375">
        <v>-5189</v>
      </c>
      <c r="F35" s="356"/>
      <c r="G35" s="357"/>
      <c r="H35" s="377"/>
      <c r="J35" s="343" t="s">
        <v>1552</v>
      </c>
    </row>
    <row r="36" spans="1:10" s="343" customFormat="1" ht="21.95" customHeight="1" x14ac:dyDescent="0.25">
      <c r="A36" s="367" t="s">
        <v>1032</v>
      </c>
      <c r="B36" s="368" t="s">
        <v>1033</v>
      </c>
      <c r="C36" s="369"/>
      <c r="D36" s="374"/>
      <c r="E36" s="375"/>
      <c r="F36" s="356"/>
      <c r="G36" s="357"/>
      <c r="H36" s="377"/>
    </row>
    <row r="37" spans="1:10" s="343" customFormat="1" ht="21.95" customHeight="1" x14ac:dyDescent="0.25">
      <c r="A37" s="367" t="s">
        <v>1034</v>
      </c>
      <c r="B37" s="368" t="s">
        <v>1035</v>
      </c>
      <c r="C37" s="369"/>
      <c r="D37" s="374"/>
      <c r="E37" s="375"/>
      <c r="F37" s="356"/>
      <c r="G37" s="357"/>
      <c r="H37" s="377"/>
    </row>
    <row r="38" spans="1:10" s="343" customFormat="1" ht="21.95" customHeight="1" x14ac:dyDescent="0.25">
      <c r="A38" s="367" t="s">
        <v>1036</v>
      </c>
      <c r="B38" s="363" t="s">
        <v>1037</v>
      </c>
      <c r="C38" s="369"/>
      <c r="D38" s="374"/>
      <c r="E38" s="375"/>
      <c r="F38" s="356"/>
      <c r="G38" s="357"/>
      <c r="H38" s="377"/>
    </row>
    <row r="39" spans="1:10" s="343" customFormat="1" ht="21.95" customHeight="1" x14ac:dyDescent="0.25">
      <c r="A39" s="367" t="s">
        <v>1038</v>
      </c>
      <c r="B39" s="363" t="s">
        <v>1039</v>
      </c>
      <c r="C39" s="369"/>
      <c r="D39" s="374"/>
      <c r="E39" s="375"/>
      <c r="F39" s="356"/>
      <c r="G39" s="357"/>
      <c r="H39" s="377"/>
    </row>
    <row r="40" spans="1:10" s="343" customFormat="1" ht="21.95" customHeight="1" x14ac:dyDescent="0.25">
      <c r="A40" s="367" t="s">
        <v>1040</v>
      </c>
      <c r="B40" s="363" t="s">
        <v>1041</v>
      </c>
      <c r="C40" s="369"/>
      <c r="D40" s="374"/>
      <c r="E40" s="375"/>
      <c r="F40" s="356"/>
      <c r="G40" s="357"/>
      <c r="H40" s="377"/>
    </row>
    <row r="41" spans="1:10" s="382" customFormat="1" ht="27.95" customHeight="1" x14ac:dyDescent="0.25">
      <c r="A41" s="358" t="s">
        <v>523</v>
      </c>
      <c r="B41" s="359" t="s">
        <v>1042</v>
      </c>
      <c r="C41" s="360"/>
      <c r="D41" s="875">
        <f>D13+D15+D29+SUM(D34:D40)</f>
        <v>-2148</v>
      </c>
      <c r="E41" s="876">
        <f>E13+E15+E29+SUM(E34:E40)</f>
        <v>-6893</v>
      </c>
      <c r="F41" s="379"/>
      <c r="G41" s="380"/>
      <c r="H41" s="381"/>
    </row>
    <row r="42" spans="1:10" s="343" customFormat="1" ht="21.95" customHeight="1" x14ac:dyDescent="0.25">
      <c r="A42" s="362" t="s">
        <v>833</v>
      </c>
      <c r="B42" s="363" t="s">
        <v>1043</v>
      </c>
      <c r="C42" s="364"/>
      <c r="D42" s="365"/>
      <c r="E42" s="366"/>
      <c r="F42" s="356"/>
      <c r="G42" s="380"/>
      <c r="H42" s="377"/>
    </row>
    <row r="43" spans="1:10" s="343" customFormat="1" ht="21.95" customHeight="1" x14ac:dyDescent="0.25">
      <c r="A43" s="362" t="s">
        <v>1044</v>
      </c>
      <c r="B43" s="363" t="s">
        <v>1045</v>
      </c>
      <c r="C43" s="364"/>
      <c r="D43" s="365">
        <v>-1407</v>
      </c>
      <c r="E43" s="366">
        <v>-1967</v>
      </c>
      <c r="F43" s="356"/>
      <c r="G43" s="380"/>
      <c r="H43" s="377"/>
    </row>
    <row r="44" spans="1:10" s="343" customFormat="1" ht="21.95" customHeight="1" x14ac:dyDescent="0.25">
      <c r="A44" s="362" t="s">
        <v>1046</v>
      </c>
      <c r="B44" s="363" t="s">
        <v>1047</v>
      </c>
      <c r="C44" s="364"/>
      <c r="D44" s="365"/>
      <c r="E44" s="366"/>
      <c r="F44" s="356"/>
      <c r="G44" s="380"/>
      <c r="H44" s="377"/>
    </row>
    <row r="45" spans="1:10" s="343" customFormat="1" ht="21.95" customHeight="1" x14ac:dyDescent="0.25">
      <c r="A45" s="362" t="s">
        <v>1048</v>
      </c>
      <c r="B45" s="363" t="s">
        <v>1049</v>
      </c>
      <c r="C45" s="364"/>
      <c r="D45" s="365"/>
      <c r="E45" s="366"/>
      <c r="F45" s="356"/>
      <c r="G45" s="380"/>
      <c r="H45" s="377"/>
    </row>
    <row r="46" spans="1:10" s="343" customFormat="1" ht="21.95" customHeight="1" x14ac:dyDescent="0.25">
      <c r="A46" s="362" t="s">
        <v>1050</v>
      </c>
      <c r="B46" s="363" t="s">
        <v>1051</v>
      </c>
      <c r="C46" s="364"/>
      <c r="D46" s="365">
        <v>3200</v>
      </c>
      <c r="E46" s="366">
        <v>9083</v>
      </c>
      <c r="F46" s="356"/>
      <c r="G46" s="380"/>
      <c r="H46" s="377"/>
    </row>
    <row r="47" spans="1:10" s="343" customFormat="1" ht="21.95" customHeight="1" x14ac:dyDescent="0.25">
      <c r="A47" s="362" t="s">
        <v>1052</v>
      </c>
      <c r="B47" s="363" t="s">
        <v>1053</v>
      </c>
      <c r="C47" s="364"/>
      <c r="D47" s="365"/>
      <c r="E47" s="366"/>
      <c r="F47" s="356"/>
      <c r="G47" s="380"/>
      <c r="H47" s="377"/>
    </row>
    <row r="48" spans="1:10" s="343" customFormat="1" ht="21.95" customHeight="1" x14ac:dyDescent="0.25">
      <c r="A48" s="362" t="s">
        <v>1054</v>
      </c>
      <c r="B48" s="363" t="s">
        <v>1055</v>
      </c>
      <c r="C48" s="364"/>
      <c r="D48" s="365"/>
      <c r="E48" s="366"/>
      <c r="F48" s="356"/>
      <c r="G48" s="357"/>
      <c r="H48" s="377"/>
      <c r="I48" s="378"/>
    </row>
    <row r="49" spans="1:8" s="343" customFormat="1" ht="21.95" customHeight="1" x14ac:dyDescent="0.25">
      <c r="A49" s="362" t="s">
        <v>1056</v>
      </c>
      <c r="B49" s="363" t="s">
        <v>1057</v>
      </c>
      <c r="C49" s="364"/>
      <c r="D49" s="365"/>
      <c r="E49" s="366"/>
      <c r="F49" s="356"/>
      <c r="G49" s="357"/>
      <c r="H49" s="377"/>
    </row>
    <row r="50" spans="1:8" s="343" customFormat="1" ht="21.95" customHeight="1" x14ac:dyDescent="0.25">
      <c r="A50" s="362" t="s">
        <v>1058</v>
      </c>
      <c r="B50" s="363" t="s">
        <v>1059</v>
      </c>
      <c r="C50" s="364"/>
      <c r="D50" s="365"/>
      <c r="E50" s="366"/>
      <c r="F50" s="356"/>
      <c r="G50" s="357"/>
      <c r="H50" s="377"/>
    </row>
    <row r="51" spans="1:8" s="343" customFormat="1" ht="21.95" customHeight="1" x14ac:dyDescent="0.25">
      <c r="A51" s="362" t="s">
        <v>1060</v>
      </c>
      <c r="B51" s="363" t="s">
        <v>1061</v>
      </c>
      <c r="C51" s="364"/>
      <c r="D51" s="365"/>
      <c r="E51" s="366"/>
      <c r="F51" s="356"/>
      <c r="G51" s="357"/>
      <c r="H51" s="377"/>
    </row>
    <row r="52" spans="1:8" s="343" customFormat="1" ht="21.95" customHeight="1" x14ac:dyDescent="0.25">
      <c r="A52" s="362" t="s">
        <v>1062</v>
      </c>
      <c r="B52" s="363" t="s">
        <v>1063</v>
      </c>
      <c r="C52" s="364"/>
      <c r="D52" s="365"/>
      <c r="E52" s="366"/>
      <c r="F52" s="356"/>
      <c r="G52" s="357"/>
      <c r="H52" s="377"/>
    </row>
    <row r="53" spans="1:8" s="343" customFormat="1" ht="21.95" customHeight="1" x14ac:dyDescent="0.25">
      <c r="A53" s="362" t="s">
        <v>1064</v>
      </c>
      <c r="B53" s="363" t="s">
        <v>1065</v>
      </c>
      <c r="C53" s="364"/>
      <c r="D53" s="365"/>
      <c r="E53" s="366"/>
      <c r="F53" s="356"/>
      <c r="G53" s="357"/>
      <c r="H53" s="377"/>
    </row>
    <row r="54" spans="1:8" s="343" customFormat="1" ht="21.95" customHeight="1" x14ac:dyDescent="0.25">
      <c r="A54" s="362" t="s">
        <v>1066</v>
      </c>
      <c r="B54" s="363" t="s">
        <v>1067</v>
      </c>
      <c r="C54" s="364"/>
      <c r="D54" s="365"/>
      <c r="E54" s="366"/>
      <c r="F54" s="356"/>
      <c r="G54" s="357"/>
      <c r="H54" s="377"/>
    </row>
    <row r="55" spans="1:8" s="343" customFormat="1" ht="21.95" customHeight="1" x14ac:dyDescent="0.25">
      <c r="A55" s="362" t="s">
        <v>1068</v>
      </c>
      <c r="B55" s="363" t="s">
        <v>1069</v>
      </c>
      <c r="C55" s="364"/>
      <c r="D55" s="365"/>
      <c r="E55" s="366"/>
      <c r="F55" s="356"/>
      <c r="G55" s="357"/>
      <c r="H55" s="377"/>
    </row>
    <row r="56" spans="1:8" s="343" customFormat="1" ht="21.95" customHeight="1" x14ac:dyDescent="0.25">
      <c r="A56" s="362" t="s">
        <v>1070</v>
      </c>
      <c r="B56" s="363" t="s">
        <v>1071</v>
      </c>
      <c r="C56" s="364"/>
      <c r="D56" s="365"/>
      <c r="E56" s="366"/>
      <c r="F56" s="356"/>
      <c r="G56" s="357"/>
      <c r="H56" s="377"/>
    </row>
    <row r="57" spans="1:8" s="343" customFormat="1" ht="21.95" customHeight="1" x14ac:dyDescent="0.25">
      <c r="A57" s="362" t="s">
        <v>1072</v>
      </c>
      <c r="B57" s="363" t="s">
        <v>1073</v>
      </c>
      <c r="C57" s="364"/>
      <c r="D57" s="365"/>
      <c r="E57" s="366"/>
      <c r="F57" s="356"/>
      <c r="G57" s="357"/>
      <c r="H57" s="377"/>
    </row>
    <row r="58" spans="1:8" s="343" customFormat="1" ht="21.95" customHeight="1" x14ac:dyDescent="0.25">
      <c r="A58" s="362" t="s">
        <v>1074</v>
      </c>
      <c r="B58" s="363" t="s">
        <v>1075</v>
      </c>
      <c r="C58" s="364"/>
      <c r="D58" s="365"/>
      <c r="E58" s="366"/>
      <c r="F58" s="356"/>
      <c r="G58" s="357"/>
      <c r="H58" s="377"/>
    </row>
    <row r="59" spans="1:8" s="343" customFormat="1" ht="21.95" customHeight="1" x14ac:dyDescent="0.25">
      <c r="A59" s="362" t="s">
        <v>1076</v>
      </c>
      <c r="B59" s="363" t="s">
        <v>1077</v>
      </c>
      <c r="C59" s="364"/>
      <c r="D59" s="365"/>
      <c r="E59" s="366"/>
      <c r="F59" s="356"/>
      <c r="G59" s="357"/>
      <c r="H59" s="377"/>
    </row>
    <row r="60" spans="1:8" s="343" customFormat="1" ht="21.95" customHeight="1" x14ac:dyDescent="0.25">
      <c r="A60" s="362" t="s">
        <v>1078</v>
      </c>
      <c r="B60" s="363" t="s">
        <v>1079</v>
      </c>
      <c r="C60" s="364"/>
      <c r="D60" s="365"/>
      <c r="E60" s="366"/>
      <c r="F60" s="356"/>
      <c r="G60" s="357"/>
      <c r="H60" s="377"/>
    </row>
    <row r="61" spans="1:8" s="382" customFormat="1" ht="27.95" customHeight="1" x14ac:dyDescent="0.25">
      <c r="A61" s="358" t="s">
        <v>594</v>
      </c>
      <c r="B61" s="359" t="s">
        <v>1080</v>
      </c>
      <c r="C61" s="360"/>
      <c r="D61" s="875">
        <f>SUM(D42:D60)</f>
        <v>1793</v>
      </c>
      <c r="E61" s="876">
        <f>SUM(E42:E60)</f>
        <v>7116</v>
      </c>
      <c r="F61" s="379"/>
      <c r="G61" s="380"/>
      <c r="H61" s="381"/>
    </row>
    <row r="62" spans="1:8" s="382" customFormat="1" ht="22.5" customHeight="1" x14ac:dyDescent="0.25">
      <c r="A62" s="362" t="s">
        <v>666</v>
      </c>
      <c r="B62" s="363" t="s">
        <v>1081</v>
      </c>
      <c r="C62" s="364"/>
      <c r="D62" s="370"/>
      <c r="E62" s="371"/>
      <c r="F62" s="379"/>
      <c r="G62" s="380"/>
      <c r="H62" s="381"/>
    </row>
    <row r="63" spans="1:8" s="382" customFormat="1" ht="22.5" customHeight="1" x14ac:dyDescent="0.25">
      <c r="A63" s="362" t="s">
        <v>1082</v>
      </c>
      <c r="B63" s="363" t="s">
        <v>1083</v>
      </c>
      <c r="C63" s="364"/>
      <c r="D63" s="383"/>
      <c r="E63" s="384"/>
      <c r="F63" s="379"/>
      <c r="G63" s="380"/>
      <c r="H63" s="381"/>
    </row>
    <row r="64" spans="1:8" s="382" customFormat="1" ht="22.5" customHeight="1" x14ac:dyDescent="0.25">
      <c r="A64" s="362" t="s">
        <v>1084</v>
      </c>
      <c r="B64" s="363" t="s">
        <v>1085</v>
      </c>
      <c r="C64" s="364"/>
      <c r="D64" s="383"/>
      <c r="E64" s="384"/>
      <c r="F64" s="379"/>
      <c r="G64" s="380"/>
      <c r="H64" s="381"/>
    </row>
    <row r="65" spans="1:8" s="382" customFormat="1" ht="22.5" customHeight="1" x14ac:dyDescent="0.25">
      <c r="A65" s="362" t="s">
        <v>1086</v>
      </c>
      <c r="B65" s="363" t="s">
        <v>1087</v>
      </c>
      <c r="C65" s="364"/>
      <c r="D65" s="383"/>
      <c r="E65" s="384"/>
      <c r="F65" s="379"/>
      <c r="G65" s="380"/>
      <c r="H65" s="381"/>
    </row>
    <row r="66" spans="1:8" s="382" customFormat="1" ht="22.5" customHeight="1" x14ac:dyDescent="0.25">
      <c r="A66" s="362" t="s">
        <v>1088</v>
      </c>
      <c r="B66" s="363" t="s">
        <v>1089</v>
      </c>
      <c r="C66" s="364"/>
      <c r="D66" s="383"/>
      <c r="E66" s="384"/>
      <c r="F66" s="379"/>
      <c r="G66" s="380"/>
      <c r="H66" s="381"/>
    </row>
    <row r="67" spans="1:8" s="382" customFormat="1" ht="22.5" customHeight="1" x14ac:dyDescent="0.25">
      <c r="A67" s="362" t="s">
        <v>1090</v>
      </c>
      <c r="B67" s="363" t="s">
        <v>1091</v>
      </c>
      <c r="C67" s="364"/>
      <c r="D67" s="383"/>
      <c r="E67" s="384"/>
      <c r="F67" s="379"/>
      <c r="G67" s="380"/>
      <c r="H67" s="381"/>
    </row>
    <row r="68" spans="1:8" s="382" customFormat="1" ht="22.5" customHeight="1" x14ac:dyDescent="0.25">
      <c r="A68" s="362" t="s">
        <v>1092</v>
      </c>
      <c r="B68" s="363" t="s">
        <v>1093</v>
      </c>
      <c r="C68" s="364"/>
      <c r="D68" s="383"/>
      <c r="E68" s="384"/>
      <c r="F68" s="379"/>
      <c r="G68" s="380"/>
      <c r="H68" s="381"/>
    </row>
    <row r="69" spans="1:8" s="382" customFormat="1" ht="22.5" customHeight="1" x14ac:dyDescent="0.25">
      <c r="A69" s="362" t="s">
        <v>1094</v>
      </c>
      <c r="B69" s="363" t="s">
        <v>1095</v>
      </c>
      <c r="C69" s="364"/>
      <c r="D69" s="383"/>
      <c r="E69" s="384"/>
      <c r="F69" s="379"/>
      <c r="G69" s="380"/>
      <c r="H69" s="381"/>
    </row>
    <row r="70" spans="1:8" s="382" customFormat="1" ht="22.5" customHeight="1" x14ac:dyDescent="0.25">
      <c r="A70" s="362" t="s">
        <v>1096</v>
      </c>
      <c r="B70" s="363" t="s">
        <v>1097</v>
      </c>
      <c r="C70" s="364"/>
      <c r="D70" s="383"/>
      <c r="E70" s="384"/>
      <c r="F70" s="379"/>
      <c r="G70" s="380"/>
      <c r="H70" s="381"/>
    </row>
    <row r="71" spans="1:8" s="382" customFormat="1" ht="22.5" customHeight="1" x14ac:dyDescent="0.25">
      <c r="A71" s="362" t="s">
        <v>1098</v>
      </c>
      <c r="B71" s="363" t="s">
        <v>1099</v>
      </c>
      <c r="C71" s="364"/>
      <c r="D71" s="873">
        <f>SUM(D72:D80)</f>
        <v>0</v>
      </c>
      <c r="E71" s="873">
        <f>SUM(E72:E80)</f>
        <v>0</v>
      </c>
      <c r="F71" s="379"/>
      <c r="G71" s="380"/>
      <c r="H71" s="381"/>
    </row>
    <row r="72" spans="1:8" s="382" customFormat="1" ht="22.5" customHeight="1" x14ac:dyDescent="0.25">
      <c r="A72" s="362" t="s">
        <v>1100</v>
      </c>
      <c r="B72" s="363" t="s">
        <v>1101</v>
      </c>
      <c r="C72" s="364"/>
      <c r="D72" s="383"/>
      <c r="E72" s="384">
        <v>0</v>
      </c>
      <c r="F72" s="379"/>
      <c r="G72" s="380"/>
      <c r="H72" s="381"/>
    </row>
    <row r="73" spans="1:8" s="382" customFormat="1" ht="22.5" customHeight="1" x14ac:dyDescent="0.25">
      <c r="A73" s="362" t="s">
        <v>1102</v>
      </c>
      <c r="B73" s="363" t="s">
        <v>1103</v>
      </c>
      <c r="C73" s="364"/>
      <c r="D73" s="383"/>
      <c r="E73" s="384">
        <v>0</v>
      </c>
      <c r="F73" s="379"/>
      <c r="G73" s="380"/>
      <c r="H73" s="381"/>
    </row>
    <row r="74" spans="1:8" s="382" customFormat="1" ht="22.5" customHeight="1" x14ac:dyDescent="0.25">
      <c r="A74" s="362" t="s">
        <v>1104</v>
      </c>
      <c r="B74" s="363" t="s">
        <v>1105</v>
      </c>
      <c r="C74" s="364"/>
      <c r="D74" s="383"/>
      <c r="E74" s="384">
        <v>0</v>
      </c>
      <c r="F74" s="379"/>
      <c r="G74" s="380"/>
      <c r="H74" s="381"/>
    </row>
    <row r="75" spans="1:8" s="382" customFormat="1" ht="22.5" customHeight="1" x14ac:dyDescent="0.25">
      <c r="A75" s="362" t="s">
        <v>1106</v>
      </c>
      <c r="B75" s="363" t="s">
        <v>1107</v>
      </c>
      <c r="C75" s="364"/>
      <c r="D75" s="383"/>
      <c r="E75" s="384">
        <v>0</v>
      </c>
      <c r="F75" s="379"/>
      <c r="G75" s="380"/>
      <c r="H75" s="381"/>
    </row>
    <row r="76" spans="1:8" s="382" customFormat="1" ht="22.5" customHeight="1" x14ac:dyDescent="0.25">
      <c r="A76" s="362" t="s">
        <v>1108</v>
      </c>
      <c r="B76" s="363" t="s">
        <v>1109</v>
      </c>
      <c r="C76" s="364"/>
      <c r="D76" s="383"/>
      <c r="E76" s="384"/>
      <c r="F76" s="379"/>
      <c r="G76" s="380"/>
      <c r="H76" s="381"/>
    </row>
    <row r="77" spans="1:8" s="382" customFormat="1" ht="22.5" customHeight="1" x14ac:dyDescent="0.25">
      <c r="A77" s="362" t="s">
        <v>1110</v>
      </c>
      <c r="B77" s="363" t="s">
        <v>1111</v>
      </c>
      <c r="C77" s="364"/>
      <c r="D77" s="383"/>
      <c r="E77" s="384">
        <v>0</v>
      </c>
      <c r="F77" s="379"/>
      <c r="G77" s="380"/>
      <c r="H77" s="381"/>
    </row>
    <row r="78" spans="1:8" s="382" customFormat="1" ht="22.5" customHeight="1" x14ac:dyDescent="0.25">
      <c r="A78" s="362" t="s">
        <v>1112</v>
      </c>
      <c r="B78" s="363" t="s">
        <v>1113</v>
      </c>
      <c r="C78" s="364"/>
      <c r="D78" s="383"/>
      <c r="E78" s="384">
        <v>0</v>
      </c>
      <c r="F78" s="379"/>
      <c r="G78" s="380"/>
      <c r="H78" s="381"/>
    </row>
    <row r="79" spans="1:8" s="382" customFormat="1" ht="22.5" customHeight="1" x14ac:dyDescent="0.25">
      <c r="A79" s="362" t="s">
        <v>1114</v>
      </c>
      <c r="B79" s="363" t="s">
        <v>1115</v>
      </c>
      <c r="C79" s="364"/>
      <c r="D79" s="383"/>
      <c r="E79" s="384"/>
      <c r="F79" s="379"/>
      <c r="G79" s="380"/>
      <c r="H79" s="381"/>
    </row>
    <row r="80" spans="1:8" s="382" customFormat="1" ht="22.5" customHeight="1" x14ac:dyDescent="0.25">
      <c r="A80" s="362" t="s">
        <v>1116</v>
      </c>
      <c r="B80" s="363" t="s">
        <v>1117</v>
      </c>
      <c r="C80" s="364"/>
      <c r="D80" s="383"/>
      <c r="E80" s="384"/>
      <c r="F80" s="379"/>
      <c r="G80" s="380"/>
      <c r="H80" s="381"/>
    </row>
    <row r="81" spans="1:8" s="382" customFormat="1" ht="22.5" customHeight="1" x14ac:dyDescent="0.25">
      <c r="A81" s="362" t="s">
        <v>1118</v>
      </c>
      <c r="B81" s="363" t="s">
        <v>1119</v>
      </c>
      <c r="C81" s="364"/>
      <c r="D81" s="383"/>
      <c r="E81" s="384"/>
      <c r="F81" s="379"/>
      <c r="G81" s="380"/>
      <c r="H81" s="381"/>
    </row>
    <row r="82" spans="1:8" s="382" customFormat="1" ht="22.5" customHeight="1" x14ac:dyDescent="0.25">
      <c r="A82" s="362" t="s">
        <v>1120</v>
      </c>
      <c r="B82" s="363" t="s">
        <v>1121</v>
      </c>
      <c r="C82" s="364"/>
      <c r="D82" s="383"/>
      <c r="E82" s="384"/>
      <c r="F82" s="379"/>
      <c r="G82" s="380"/>
      <c r="H82" s="381"/>
    </row>
    <row r="83" spans="1:8" s="382" customFormat="1" ht="22.5" customHeight="1" x14ac:dyDescent="0.25">
      <c r="A83" s="362" t="s">
        <v>1122</v>
      </c>
      <c r="B83" s="363" t="s">
        <v>1123</v>
      </c>
      <c r="C83" s="364"/>
      <c r="D83" s="383"/>
      <c r="E83" s="384"/>
      <c r="F83" s="379"/>
      <c r="G83" s="380"/>
      <c r="H83" s="381"/>
    </row>
    <row r="84" spans="1:8" s="382" customFormat="1" ht="22.5" customHeight="1" x14ac:dyDescent="0.25">
      <c r="A84" s="362" t="s">
        <v>1124</v>
      </c>
      <c r="B84" s="363" t="s">
        <v>1125</v>
      </c>
      <c r="C84" s="364"/>
      <c r="D84" s="383"/>
      <c r="E84" s="384"/>
      <c r="F84" s="379"/>
      <c r="G84" s="380"/>
      <c r="H84" s="381"/>
    </row>
    <row r="85" spans="1:8" s="382" customFormat="1" ht="22.5" customHeight="1" x14ac:dyDescent="0.25">
      <c r="A85" s="362" t="s">
        <v>1126</v>
      </c>
      <c r="B85" s="363" t="s">
        <v>1127</v>
      </c>
      <c r="C85" s="364"/>
      <c r="D85" s="383"/>
      <c r="E85" s="384"/>
      <c r="F85" s="379"/>
      <c r="G85" s="380"/>
      <c r="H85" s="381"/>
    </row>
    <row r="86" spans="1:8" s="382" customFormat="1" ht="22.5" customHeight="1" x14ac:dyDescent="0.25">
      <c r="A86" s="362" t="s">
        <v>1128</v>
      </c>
      <c r="B86" s="363" t="s">
        <v>1129</v>
      </c>
      <c r="C86" s="364"/>
      <c r="D86" s="383"/>
      <c r="E86" s="384"/>
      <c r="F86" s="379"/>
      <c r="G86" s="380"/>
      <c r="H86" s="381"/>
    </row>
    <row r="87" spans="1:8" s="382" customFormat="1" ht="22.5" customHeight="1" x14ac:dyDescent="0.25">
      <c r="A87" s="362" t="s">
        <v>1130</v>
      </c>
      <c r="B87" s="363" t="s">
        <v>1131</v>
      </c>
      <c r="C87" s="364"/>
      <c r="D87" s="383"/>
      <c r="E87" s="384"/>
      <c r="F87" s="379"/>
      <c r="G87" s="380"/>
      <c r="H87" s="381"/>
    </row>
    <row r="88" spans="1:8" s="382" customFormat="1" ht="27.95" customHeight="1" x14ac:dyDescent="0.25">
      <c r="A88" s="358" t="s">
        <v>663</v>
      </c>
      <c r="B88" s="359" t="s">
        <v>1132</v>
      </c>
      <c r="C88" s="360"/>
      <c r="D88" s="875">
        <f>D62+D71+SUM(D81:D87)</f>
        <v>0</v>
      </c>
      <c r="E88" s="876">
        <f>E62+E71+SUM(E81:E87)</f>
        <v>0</v>
      </c>
      <c r="F88" s="379"/>
      <c r="G88" s="380"/>
      <c r="H88" s="381"/>
    </row>
    <row r="89" spans="1:8" s="343" customFormat="1" ht="27.95" customHeight="1" x14ac:dyDescent="0.25">
      <c r="A89" s="358" t="s">
        <v>853</v>
      </c>
      <c r="B89" s="359" t="s">
        <v>1133</v>
      </c>
      <c r="C89" s="360"/>
      <c r="D89" s="875">
        <f>D41+D61+D88</f>
        <v>-355</v>
      </c>
      <c r="E89" s="876">
        <f>E41+E61+E88</f>
        <v>223</v>
      </c>
      <c r="F89" s="356"/>
      <c r="G89" s="357"/>
      <c r="H89" s="377"/>
    </row>
    <row r="90" spans="1:8" s="382" customFormat="1" ht="27.95" customHeight="1" x14ac:dyDescent="0.25">
      <c r="A90" s="358" t="s">
        <v>856</v>
      </c>
      <c r="B90" s="359" t="s">
        <v>1134</v>
      </c>
      <c r="C90" s="360"/>
      <c r="D90" s="875">
        <v>12504</v>
      </c>
      <c r="E90" s="876">
        <v>12248</v>
      </c>
      <c r="F90" s="379"/>
      <c r="G90" s="380"/>
      <c r="H90" s="381"/>
    </row>
    <row r="91" spans="1:8" s="382" customFormat="1" ht="27.95" customHeight="1" x14ac:dyDescent="0.25">
      <c r="A91" s="358" t="s">
        <v>862</v>
      </c>
      <c r="B91" s="359" t="s">
        <v>1135</v>
      </c>
      <c r="C91" s="360"/>
      <c r="D91" s="875">
        <v>12148</v>
      </c>
      <c r="E91" s="875">
        <v>12504</v>
      </c>
      <c r="F91" s="379"/>
      <c r="G91" s="385"/>
      <c r="H91" s="381"/>
    </row>
    <row r="92" spans="1:8" s="343" customFormat="1" ht="27.95" customHeight="1" x14ac:dyDescent="0.25">
      <c r="A92" s="358" t="s">
        <v>865</v>
      </c>
      <c r="B92" s="386" t="s">
        <v>1136</v>
      </c>
      <c r="C92" s="360"/>
      <c r="D92" s="387"/>
      <c r="E92" s="388"/>
      <c r="F92" s="356"/>
      <c r="G92" s="357"/>
      <c r="H92" s="377"/>
    </row>
    <row r="93" spans="1:8" s="382" customFormat="1" ht="27.95" customHeight="1" thickBot="1" x14ac:dyDescent="0.3">
      <c r="A93" s="389" t="s">
        <v>871</v>
      </c>
      <c r="B93" s="390" t="s">
        <v>1137</v>
      </c>
      <c r="C93" s="391"/>
      <c r="D93" s="877">
        <f>D89+D90+D92</f>
        <v>12149</v>
      </c>
      <c r="E93" s="878">
        <f>E89+E90+E92</f>
        <v>12471</v>
      </c>
      <c r="F93" s="379"/>
      <c r="G93" s="392"/>
      <c r="H93" s="381"/>
    </row>
    <row r="94" spans="1:8" s="343" customFormat="1" ht="14.1" customHeight="1" x14ac:dyDescent="0.25">
      <c r="A94" s="356"/>
      <c r="B94" s="393"/>
      <c r="C94" s="394"/>
      <c r="D94" s="395"/>
      <c r="E94" s="396"/>
      <c r="F94" s="356"/>
      <c r="G94" s="397"/>
      <c r="H94" s="377"/>
    </row>
    <row r="95" spans="1:8" s="343" customFormat="1" ht="14.1" customHeight="1" x14ac:dyDescent="0.25">
      <c r="A95" s="356"/>
      <c r="B95" s="356"/>
      <c r="C95" s="394"/>
      <c r="D95" s="395"/>
      <c r="E95" s="396"/>
      <c r="F95" s="356"/>
      <c r="G95" s="397"/>
      <c r="H95" s="377"/>
    </row>
    <row r="96" spans="1:8" s="343" customFormat="1" ht="14.1" customHeight="1" x14ac:dyDescent="0.25">
      <c r="A96" s="397"/>
      <c r="B96" s="398"/>
      <c r="C96" s="398"/>
      <c r="D96" s="399"/>
      <c r="E96" s="400"/>
      <c r="F96" s="356"/>
      <c r="G96" s="397"/>
      <c r="H96" s="377"/>
    </row>
    <row r="97" spans="1:8" s="343" customFormat="1" ht="14.1" customHeight="1" x14ac:dyDescent="0.25">
      <c r="A97" s="397"/>
      <c r="B97" s="398"/>
      <c r="C97" s="398"/>
      <c r="D97" s="399"/>
      <c r="E97" s="400"/>
      <c r="F97" s="356"/>
      <c r="G97" s="397"/>
      <c r="H97" s="377"/>
    </row>
    <row r="98" spans="1:8" s="343" customFormat="1" ht="14.1" customHeight="1" x14ac:dyDescent="0.25">
      <c r="A98" s="397"/>
      <c r="B98" s="398"/>
      <c r="C98" s="398"/>
      <c r="D98" s="399"/>
      <c r="E98" s="400"/>
      <c r="F98" s="356"/>
      <c r="G98" s="397"/>
      <c r="H98" s="377"/>
    </row>
    <row r="99" spans="1:8" s="343" customFormat="1" ht="20.25" customHeight="1" x14ac:dyDescent="0.25">
      <c r="A99" s="397"/>
      <c r="B99" s="401" t="s">
        <v>1138</v>
      </c>
      <c r="C99" s="401"/>
      <c r="D99" s="402">
        <f>D91-D93</f>
        <v>-1</v>
      </c>
      <c r="E99" s="402">
        <f>E91-E93</f>
        <v>33</v>
      </c>
      <c r="F99" s="356"/>
      <c r="G99" s="397"/>
      <c r="H99" s="377"/>
    </row>
    <row r="100" spans="1:8" s="343" customFormat="1" ht="14.1" customHeight="1" x14ac:dyDescent="0.25">
      <c r="A100" s="397"/>
      <c r="B100" s="398"/>
      <c r="C100" s="398"/>
      <c r="D100" s="399"/>
      <c r="E100" s="400"/>
      <c r="F100" s="356"/>
      <c r="G100" s="397"/>
      <c r="H100" s="377"/>
    </row>
    <row r="101" spans="1:8" s="343" customFormat="1" ht="14.1" customHeight="1" x14ac:dyDescent="0.25">
      <c r="A101" s="397"/>
      <c r="B101" s="398"/>
      <c r="C101" s="398"/>
      <c r="D101" s="399"/>
      <c r="E101" s="400"/>
      <c r="F101" s="356"/>
      <c r="G101" s="397"/>
      <c r="H101" s="377"/>
    </row>
    <row r="102" spans="1:8" s="343" customFormat="1" ht="14.1" customHeight="1" x14ac:dyDescent="0.25">
      <c r="A102" s="397"/>
      <c r="B102" s="398"/>
      <c r="C102" s="398"/>
      <c r="D102" s="399"/>
      <c r="E102" s="400"/>
      <c r="F102" s="356"/>
      <c r="G102" s="397"/>
      <c r="H102" s="377"/>
    </row>
    <row r="103" spans="1:8" s="343" customFormat="1" ht="14.1" customHeight="1" x14ac:dyDescent="0.25">
      <c r="A103" s="397"/>
      <c r="B103" s="398"/>
      <c r="C103" s="398"/>
      <c r="D103" s="399"/>
      <c r="E103" s="400"/>
      <c r="F103" s="356"/>
      <c r="G103" s="397"/>
      <c r="H103" s="377"/>
    </row>
    <row r="104" spans="1:8" s="343" customFormat="1" ht="14.1" customHeight="1" x14ac:dyDescent="0.25">
      <c r="A104" s="397"/>
      <c r="B104" s="398"/>
      <c r="C104" s="398"/>
      <c r="D104" s="399"/>
      <c r="E104" s="400"/>
      <c r="F104" s="356"/>
      <c r="G104" s="397"/>
      <c r="H104" s="377"/>
    </row>
    <row r="105" spans="1:8" s="343" customFormat="1" ht="14.1" customHeight="1" x14ac:dyDescent="0.25">
      <c r="A105" s="397"/>
      <c r="B105" s="398"/>
      <c r="C105" s="398"/>
      <c r="D105" s="399"/>
      <c r="E105" s="400"/>
      <c r="F105" s="356"/>
      <c r="G105" s="397"/>
      <c r="H105" s="377"/>
    </row>
    <row r="106" spans="1:8" s="343" customFormat="1" ht="14.1" customHeight="1" x14ac:dyDescent="0.25">
      <c r="A106" s="397"/>
      <c r="B106" s="398"/>
      <c r="C106" s="398"/>
      <c r="D106" s="399"/>
      <c r="E106" s="400"/>
      <c r="F106" s="356"/>
      <c r="G106" s="397"/>
      <c r="H106" s="377"/>
    </row>
    <row r="107" spans="1:8" s="343" customFormat="1" ht="14.1" customHeight="1" x14ac:dyDescent="0.25">
      <c r="A107" s="397"/>
      <c r="B107" s="398"/>
      <c r="C107" s="398"/>
      <c r="D107" s="399"/>
      <c r="E107" s="400"/>
      <c r="F107" s="356"/>
      <c r="G107" s="397"/>
      <c r="H107" s="377"/>
    </row>
    <row r="108" spans="1:8" s="343" customFormat="1" ht="14.1" customHeight="1" x14ac:dyDescent="0.25">
      <c r="A108" s="397"/>
      <c r="B108" s="398"/>
      <c r="C108" s="398"/>
      <c r="D108" s="399"/>
      <c r="E108" s="400"/>
      <c r="F108" s="356"/>
      <c r="G108" s="397"/>
      <c r="H108" s="377"/>
    </row>
    <row r="109" spans="1:8" s="343" customFormat="1" ht="14.1" customHeight="1" x14ac:dyDescent="0.25">
      <c r="A109" s="397"/>
      <c r="B109" s="398"/>
      <c r="C109" s="398"/>
      <c r="D109" s="399"/>
      <c r="E109" s="400"/>
      <c r="F109" s="356"/>
      <c r="G109" s="397"/>
      <c r="H109" s="377"/>
    </row>
    <row r="110" spans="1:8" s="343" customFormat="1" ht="14.1" customHeight="1" x14ac:dyDescent="0.25">
      <c r="A110" s="397"/>
      <c r="B110" s="398"/>
      <c r="C110" s="398"/>
      <c r="D110" s="399"/>
      <c r="E110" s="400"/>
      <c r="F110" s="356"/>
      <c r="G110" s="397"/>
      <c r="H110" s="377"/>
    </row>
    <row r="111" spans="1:8" s="343" customFormat="1" ht="14.1" customHeight="1" x14ac:dyDescent="0.25">
      <c r="A111" s="397"/>
      <c r="B111" s="398"/>
      <c r="C111" s="398"/>
      <c r="D111" s="399"/>
      <c r="E111" s="400"/>
      <c r="F111" s="356"/>
      <c r="G111" s="397"/>
      <c r="H111" s="377"/>
    </row>
    <row r="112" spans="1:8" s="343" customFormat="1" ht="14.1" customHeight="1" x14ac:dyDescent="0.25">
      <c r="A112" s="397"/>
      <c r="B112" s="398"/>
      <c r="C112" s="398"/>
      <c r="D112" s="399"/>
      <c r="E112" s="400"/>
      <c r="F112" s="356"/>
      <c r="G112" s="397"/>
      <c r="H112" s="377"/>
    </row>
    <row r="113" spans="1:8" s="343" customFormat="1" ht="14.1" customHeight="1" x14ac:dyDescent="0.25">
      <c r="A113" s="397"/>
      <c r="B113" s="398"/>
      <c r="C113" s="398"/>
      <c r="D113" s="399"/>
      <c r="E113" s="400"/>
      <c r="F113" s="356"/>
      <c r="G113" s="397"/>
      <c r="H113" s="377"/>
    </row>
    <row r="114" spans="1:8" s="343" customFormat="1" ht="14.1" customHeight="1" x14ac:dyDescent="0.25">
      <c r="A114" s="397"/>
      <c r="B114" s="398"/>
      <c r="C114" s="398"/>
      <c r="D114" s="399"/>
      <c r="E114" s="400"/>
      <c r="F114" s="356"/>
      <c r="G114" s="397"/>
      <c r="H114" s="377"/>
    </row>
    <row r="115" spans="1:8" s="343" customFormat="1" ht="14.1" customHeight="1" x14ac:dyDescent="0.25">
      <c r="A115" s="397"/>
      <c r="B115" s="398"/>
      <c r="C115" s="398"/>
      <c r="D115" s="399"/>
      <c r="E115" s="400"/>
      <c r="F115" s="356"/>
      <c r="G115" s="397"/>
      <c r="H115" s="377"/>
    </row>
    <row r="116" spans="1:8" s="343" customFormat="1" ht="14.1" customHeight="1" x14ac:dyDescent="0.25">
      <c r="A116" s="1307"/>
      <c r="B116" s="1307"/>
      <c r="C116" s="1307"/>
      <c r="D116" s="1307"/>
      <c r="E116" s="1307"/>
      <c r="F116" s="356"/>
      <c r="G116" s="397"/>
      <c r="H116" s="377"/>
    </row>
    <row r="117" spans="1:8" x14ac:dyDescent="0.25">
      <c r="A117" s="403"/>
      <c r="B117" s="404"/>
      <c r="C117" s="404"/>
      <c r="D117" s="400"/>
      <c r="E117" s="400"/>
      <c r="F117" s="405"/>
      <c r="G117" s="403"/>
      <c r="H117" s="377"/>
    </row>
    <row r="118" spans="1:8" x14ac:dyDescent="0.25">
      <c r="A118" s="403"/>
      <c r="B118" s="404"/>
      <c r="C118" s="404"/>
      <c r="D118" s="400"/>
      <c r="E118" s="400"/>
      <c r="F118" s="405"/>
      <c r="G118" s="403"/>
      <c r="H118" s="377"/>
    </row>
    <row r="119" spans="1:8" x14ac:dyDescent="0.25">
      <c r="A119" s="403"/>
      <c r="B119" s="404"/>
      <c r="C119" s="404"/>
      <c r="D119" s="400"/>
      <c r="E119" s="400"/>
      <c r="F119" s="405"/>
      <c r="G119" s="403"/>
      <c r="H119" s="377"/>
    </row>
    <row r="120" spans="1:8" x14ac:dyDescent="0.25">
      <c r="A120" s="403"/>
      <c r="B120" s="404"/>
      <c r="C120" s="404"/>
      <c r="D120" s="400"/>
      <c r="E120" s="400"/>
      <c r="F120" s="405"/>
      <c r="G120" s="403"/>
      <c r="H120" s="377"/>
    </row>
    <row r="121" spans="1:8" x14ac:dyDescent="0.25">
      <c r="A121" s="403"/>
      <c r="B121" s="404"/>
      <c r="C121" s="404"/>
      <c r="D121" s="400"/>
      <c r="E121" s="400"/>
      <c r="F121" s="405"/>
      <c r="G121" s="403"/>
      <c r="H121" s="377"/>
    </row>
    <row r="122" spans="1:8" x14ac:dyDescent="0.25">
      <c r="A122" s="403"/>
      <c r="B122" s="404"/>
      <c r="C122" s="404"/>
      <c r="D122" s="400"/>
      <c r="E122" s="400"/>
      <c r="F122" s="405"/>
      <c r="G122" s="403"/>
      <c r="H122" s="377"/>
    </row>
    <row r="123" spans="1:8" x14ac:dyDescent="0.25">
      <c r="A123" s="403"/>
      <c r="B123" s="404"/>
      <c r="C123" s="404"/>
      <c r="D123" s="400"/>
      <c r="E123" s="400"/>
      <c r="F123" s="405"/>
      <c r="G123" s="403"/>
      <c r="H123" s="377"/>
    </row>
    <row r="124" spans="1:8" x14ac:dyDescent="0.25">
      <c r="A124" s="403"/>
      <c r="B124" s="404"/>
      <c r="C124" s="404"/>
      <c r="D124" s="400"/>
      <c r="E124" s="400"/>
      <c r="F124" s="405"/>
      <c r="G124" s="403"/>
      <c r="H124" s="377"/>
    </row>
    <row r="125" spans="1:8" x14ac:dyDescent="0.25">
      <c r="A125" s="403"/>
      <c r="B125" s="404"/>
      <c r="C125" s="404"/>
      <c r="D125" s="400"/>
      <c r="E125" s="400"/>
      <c r="F125" s="405"/>
      <c r="G125" s="403"/>
      <c r="H125" s="377"/>
    </row>
    <row r="126" spans="1:8" x14ac:dyDescent="0.25">
      <c r="A126" s="403"/>
      <c r="B126" s="404"/>
      <c r="C126" s="404"/>
      <c r="D126" s="400"/>
      <c r="E126" s="400"/>
      <c r="F126" s="403"/>
      <c r="G126" s="403"/>
      <c r="H126" s="377"/>
    </row>
    <row r="127" spans="1:8" x14ac:dyDescent="0.25">
      <c r="A127" s="403"/>
      <c r="B127" s="404"/>
      <c r="C127" s="404"/>
      <c r="D127" s="400"/>
      <c r="E127" s="400"/>
      <c r="F127" s="403"/>
      <c r="G127" s="403"/>
      <c r="H127" s="377"/>
    </row>
    <row r="128" spans="1:8" x14ac:dyDescent="0.25">
      <c r="A128" s="403"/>
      <c r="B128" s="404"/>
      <c r="C128" s="404"/>
      <c r="D128" s="400"/>
      <c r="E128" s="400"/>
      <c r="F128" s="403"/>
      <c r="G128" s="403"/>
      <c r="H128" s="377"/>
    </row>
    <row r="129" spans="1:8" x14ac:dyDescent="0.25">
      <c r="A129" s="403"/>
      <c r="B129" s="404"/>
      <c r="C129" s="404"/>
      <c r="D129" s="400"/>
      <c r="E129" s="400"/>
      <c r="F129" s="403"/>
      <c r="G129" s="403"/>
      <c r="H129" s="377"/>
    </row>
    <row r="130" spans="1:8" x14ac:dyDescent="0.25">
      <c r="A130" s="403"/>
      <c r="B130" s="404"/>
      <c r="C130" s="404"/>
      <c r="D130" s="400"/>
      <c r="E130" s="400"/>
      <c r="F130" s="403"/>
      <c r="G130" s="403"/>
      <c r="H130" s="377"/>
    </row>
    <row r="131" spans="1:8" x14ac:dyDescent="0.25">
      <c r="A131" s="403"/>
      <c r="B131" s="404"/>
      <c r="C131" s="404"/>
      <c r="D131" s="400"/>
      <c r="E131" s="400"/>
      <c r="F131" s="403"/>
      <c r="G131" s="403"/>
      <c r="H131" s="377"/>
    </row>
    <row r="132" spans="1:8" x14ac:dyDescent="0.25">
      <c r="A132" s="403"/>
      <c r="B132" s="404"/>
      <c r="C132" s="404"/>
      <c r="D132" s="400"/>
      <c r="E132" s="400"/>
      <c r="F132" s="403"/>
      <c r="G132" s="403"/>
      <c r="H132" s="377"/>
    </row>
    <row r="133" spans="1:8" x14ac:dyDescent="0.25">
      <c r="A133" s="403"/>
      <c r="B133" s="404"/>
      <c r="C133" s="404"/>
      <c r="D133" s="400"/>
      <c r="E133" s="400"/>
      <c r="F133" s="403"/>
      <c r="G133" s="403"/>
      <c r="H133" s="377"/>
    </row>
    <row r="134" spans="1:8" x14ac:dyDescent="0.25">
      <c r="A134" s="403"/>
      <c r="B134" s="404"/>
      <c r="C134" s="404"/>
      <c r="D134" s="400"/>
      <c r="E134" s="400"/>
      <c r="F134" s="403"/>
      <c r="G134" s="403"/>
      <c r="H134" s="377"/>
    </row>
    <row r="135" spans="1:8" x14ac:dyDescent="0.25">
      <c r="A135" s="403"/>
      <c r="B135" s="404"/>
      <c r="C135" s="404"/>
      <c r="D135" s="400"/>
      <c r="E135" s="400"/>
      <c r="F135" s="403"/>
      <c r="G135" s="403"/>
      <c r="H135" s="377"/>
    </row>
    <row r="136" spans="1:8" x14ac:dyDescent="0.25">
      <c r="A136" s="403"/>
      <c r="B136" s="404"/>
      <c r="C136" s="404"/>
      <c r="D136" s="400"/>
      <c r="E136" s="400"/>
      <c r="F136" s="403"/>
      <c r="G136" s="403"/>
      <c r="H136" s="377"/>
    </row>
    <row r="137" spans="1:8" x14ac:dyDescent="0.25">
      <c r="A137" s="403"/>
      <c r="B137" s="404"/>
      <c r="C137" s="404"/>
      <c r="D137" s="400"/>
      <c r="E137" s="400"/>
      <c r="F137" s="403"/>
      <c r="G137" s="403"/>
      <c r="H137" s="377"/>
    </row>
    <row r="138" spans="1:8" x14ac:dyDescent="0.25">
      <c r="A138" s="403"/>
      <c r="B138" s="404"/>
      <c r="C138" s="404"/>
      <c r="D138" s="400"/>
      <c r="E138" s="400"/>
      <c r="F138" s="403"/>
      <c r="G138" s="403"/>
      <c r="H138" s="377"/>
    </row>
    <row r="139" spans="1:8" x14ac:dyDescent="0.25">
      <c r="A139" s="403"/>
      <c r="B139" s="404"/>
      <c r="C139" s="404"/>
      <c r="D139" s="400"/>
      <c r="E139" s="400"/>
      <c r="F139" s="403"/>
      <c r="G139" s="403"/>
      <c r="H139" s="377"/>
    </row>
    <row r="140" spans="1:8" x14ac:dyDescent="0.25">
      <c r="A140" s="403"/>
      <c r="B140" s="404"/>
      <c r="C140" s="404"/>
      <c r="D140" s="400"/>
      <c r="E140" s="400"/>
      <c r="F140" s="403"/>
      <c r="G140" s="403"/>
      <c r="H140" s="377"/>
    </row>
    <row r="141" spans="1:8" x14ac:dyDescent="0.25">
      <c r="A141" s="403"/>
      <c r="B141" s="404"/>
      <c r="C141" s="404"/>
      <c r="D141" s="400"/>
      <c r="E141" s="400"/>
      <c r="F141" s="403"/>
      <c r="G141" s="403"/>
      <c r="H141" s="377"/>
    </row>
    <row r="142" spans="1:8" x14ac:dyDescent="0.25">
      <c r="A142" s="403"/>
      <c r="B142" s="404"/>
      <c r="C142" s="404"/>
      <c r="D142" s="400"/>
      <c r="E142" s="400"/>
      <c r="F142" s="403"/>
      <c r="G142" s="403"/>
      <c r="H142" s="377"/>
    </row>
    <row r="143" spans="1:8" x14ac:dyDescent="0.25">
      <c r="A143" s="403"/>
      <c r="B143" s="404"/>
      <c r="C143" s="404"/>
      <c r="D143" s="400"/>
      <c r="E143" s="400"/>
      <c r="F143" s="403"/>
      <c r="G143" s="403"/>
      <c r="H143" s="377"/>
    </row>
    <row r="144" spans="1:8" x14ac:dyDescent="0.25">
      <c r="A144" s="403"/>
      <c r="B144" s="404"/>
      <c r="C144" s="404"/>
      <c r="D144" s="400"/>
      <c r="E144" s="400"/>
      <c r="F144" s="403"/>
      <c r="G144" s="403"/>
      <c r="H144" s="377"/>
    </row>
    <row r="145" spans="1:8" x14ac:dyDescent="0.25">
      <c r="A145" s="403"/>
      <c r="B145" s="404"/>
      <c r="C145" s="404"/>
      <c r="D145" s="400"/>
      <c r="E145" s="400"/>
      <c r="F145" s="403"/>
      <c r="G145" s="403"/>
      <c r="H145" s="377"/>
    </row>
    <row r="146" spans="1:8" x14ac:dyDescent="0.25">
      <c r="A146" s="403"/>
      <c r="B146" s="404"/>
      <c r="C146" s="404"/>
      <c r="D146" s="400"/>
      <c r="E146" s="400"/>
      <c r="F146" s="403"/>
      <c r="G146" s="403"/>
      <c r="H146" s="377"/>
    </row>
    <row r="147" spans="1:8" x14ac:dyDescent="0.25">
      <c r="A147" s="403"/>
      <c r="B147" s="404"/>
      <c r="C147" s="404"/>
      <c r="D147" s="400"/>
      <c r="E147" s="400"/>
      <c r="F147" s="403"/>
      <c r="G147" s="403"/>
      <c r="H147" s="377"/>
    </row>
    <row r="148" spans="1:8" x14ac:dyDescent="0.25">
      <c r="A148" s="403"/>
      <c r="B148" s="404"/>
      <c r="C148" s="404"/>
      <c r="D148" s="400"/>
      <c r="E148" s="400"/>
      <c r="F148" s="403"/>
      <c r="G148" s="403"/>
      <c r="H148" s="377"/>
    </row>
    <row r="149" spans="1:8" x14ac:dyDescent="0.25">
      <c r="A149" s="403"/>
      <c r="B149" s="404"/>
      <c r="C149" s="404"/>
      <c r="D149" s="400"/>
      <c r="E149" s="400"/>
      <c r="F149" s="403"/>
      <c r="G149" s="403"/>
      <c r="H149" s="377"/>
    </row>
    <row r="150" spans="1:8" x14ac:dyDescent="0.25">
      <c r="A150" s="403"/>
      <c r="B150" s="404"/>
      <c r="C150" s="404"/>
      <c r="D150" s="400"/>
      <c r="E150" s="400"/>
      <c r="F150" s="403"/>
      <c r="G150" s="403"/>
      <c r="H150" s="377"/>
    </row>
    <row r="151" spans="1:8" x14ac:dyDescent="0.25">
      <c r="A151" s="403"/>
      <c r="B151" s="404"/>
      <c r="C151" s="404"/>
      <c r="D151" s="400"/>
      <c r="E151" s="400"/>
      <c r="F151" s="403"/>
      <c r="G151" s="403"/>
      <c r="H151" s="377"/>
    </row>
    <row r="152" spans="1:8" x14ac:dyDescent="0.25">
      <c r="A152" s="403"/>
      <c r="B152" s="404"/>
      <c r="C152" s="404"/>
      <c r="D152" s="400"/>
      <c r="E152" s="400"/>
      <c r="F152" s="403"/>
      <c r="G152" s="403"/>
      <c r="H152" s="377"/>
    </row>
    <row r="153" spans="1:8" x14ac:dyDescent="0.25">
      <c r="A153" s="403"/>
      <c r="B153" s="404"/>
      <c r="C153" s="404"/>
      <c r="D153" s="400"/>
      <c r="E153" s="400"/>
      <c r="F153" s="403"/>
      <c r="G153" s="403"/>
      <c r="H153" s="377"/>
    </row>
    <row r="154" spans="1:8" x14ac:dyDescent="0.25">
      <c r="A154" s="403"/>
      <c r="B154" s="404"/>
      <c r="C154" s="404"/>
      <c r="D154" s="400"/>
      <c r="E154" s="400"/>
      <c r="F154" s="403"/>
      <c r="G154" s="403"/>
      <c r="H154" s="377"/>
    </row>
    <row r="155" spans="1:8" x14ac:dyDescent="0.25">
      <c r="A155" s="403"/>
      <c r="B155" s="404"/>
      <c r="C155" s="404"/>
      <c r="D155" s="400"/>
      <c r="E155" s="400"/>
      <c r="F155" s="403"/>
      <c r="G155" s="403"/>
      <c r="H155" s="377"/>
    </row>
    <row r="156" spans="1:8" x14ac:dyDescent="0.25">
      <c r="A156" s="403"/>
      <c r="B156" s="404"/>
      <c r="C156" s="404"/>
      <c r="D156" s="400"/>
      <c r="E156" s="400"/>
      <c r="F156" s="403"/>
      <c r="G156" s="403"/>
      <c r="H156" s="377"/>
    </row>
    <row r="157" spans="1:8" x14ac:dyDescent="0.25">
      <c r="A157" s="403"/>
      <c r="B157" s="404"/>
      <c r="C157" s="404"/>
      <c r="D157" s="400"/>
      <c r="E157" s="400"/>
      <c r="F157" s="403"/>
      <c r="G157" s="403"/>
      <c r="H157" s="377"/>
    </row>
    <row r="158" spans="1:8" x14ac:dyDescent="0.25">
      <c r="A158" s="403"/>
      <c r="B158" s="404"/>
      <c r="C158" s="404"/>
      <c r="D158" s="400"/>
      <c r="E158" s="400"/>
      <c r="F158" s="403"/>
      <c r="G158" s="403"/>
      <c r="H158" s="377"/>
    </row>
    <row r="159" spans="1:8" x14ac:dyDescent="0.25">
      <c r="A159" s="403"/>
      <c r="B159" s="404"/>
      <c r="C159" s="404"/>
      <c r="D159" s="400"/>
      <c r="E159" s="400"/>
      <c r="F159" s="403"/>
      <c r="G159" s="403"/>
      <c r="H159" s="377"/>
    </row>
    <row r="160" spans="1:8" x14ac:dyDescent="0.25">
      <c r="A160" s="403"/>
      <c r="B160" s="404"/>
      <c r="C160" s="404"/>
      <c r="D160" s="400"/>
      <c r="E160" s="400"/>
      <c r="F160" s="403"/>
      <c r="G160" s="403"/>
      <c r="H160" s="377"/>
    </row>
    <row r="161" spans="1:8" x14ac:dyDescent="0.25">
      <c r="A161" s="403"/>
      <c r="B161" s="404"/>
      <c r="C161" s="404"/>
      <c r="D161" s="400"/>
      <c r="E161" s="400"/>
      <c r="F161" s="403"/>
      <c r="G161" s="403"/>
      <c r="H161" s="377"/>
    </row>
    <row r="162" spans="1:8" x14ac:dyDescent="0.25">
      <c r="A162" s="403"/>
      <c r="B162" s="404"/>
      <c r="C162" s="404"/>
      <c r="D162" s="400"/>
      <c r="E162" s="400"/>
      <c r="F162" s="403"/>
      <c r="G162" s="403"/>
      <c r="H162" s="377"/>
    </row>
    <row r="163" spans="1:8" x14ac:dyDescent="0.25">
      <c r="A163" s="403"/>
      <c r="B163" s="404"/>
      <c r="C163" s="404"/>
      <c r="D163" s="400"/>
      <c r="E163" s="400"/>
      <c r="F163" s="403"/>
      <c r="G163" s="403"/>
      <c r="H163" s="377"/>
    </row>
    <row r="164" spans="1:8" x14ac:dyDescent="0.25">
      <c r="A164" s="403"/>
      <c r="B164" s="404"/>
      <c r="C164" s="404"/>
      <c r="D164" s="400"/>
      <c r="E164" s="400"/>
      <c r="F164" s="403"/>
      <c r="G164" s="403"/>
      <c r="H164" s="377"/>
    </row>
    <row r="165" spans="1:8" x14ac:dyDescent="0.25">
      <c r="A165" s="403"/>
      <c r="B165" s="404"/>
      <c r="C165" s="404"/>
      <c r="D165" s="400"/>
      <c r="E165" s="400"/>
      <c r="F165" s="403"/>
      <c r="G165" s="403"/>
      <c r="H165" s="377"/>
    </row>
    <row r="166" spans="1:8" x14ac:dyDescent="0.25">
      <c r="A166" s="403"/>
      <c r="B166" s="404"/>
      <c r="C166" s="404"/>
      <c r="D166" s="400"/>
      <c r="E166" s="400"/>
      <c r="F166" s="403"/>
      <c r="G166" s="403"/>
      <c r="H166" s="377"/>
    </row>
    <row r="167" spans="1:8" x14ac:dyDescent="0.25">
      <c r="A167" s="403"/>
      <c r="B167" s="404"/>
      <c r="C167" s="404"/>
      <c r="D167" s="400"/>
      <c r="E167" s="400"/>
      <c r="F167" s="403"/>
      <c r="G167" s="403"/>
      <c r="H167" s="377"/>
    </row>
    <row r="168" spans="1:8" x14ac:dyDescent="0.25">
      <c r="A168" s="403"/>
      <c r="B168" s="404"/>
      <c r="C168" s="404"/>
      <c r="D168" s="400"/>
      <c r="E168" s="400"/>
      <c r="F168" s="403"/>
      <c r="G168" s="403"/>
      <c r="H168" s="377"/>
    </row>
    <row r="169" spans="1:8" x14ac:dyDescent="0.25">
      <c r="A169" s="403"/>
      <c r="B169" s="404"/>
      <c r="C169" s="404"/>
      <c r="D169" s="400"/>
      <c r="E169" s="400"/>
      <c r="F169" s="403"/>
      <c r="G169" s="403"/>
      <c r="H169" s="377"/>
    </row>
    <row r="170" spans="1:8" x14ac:dyDescent="0.25">
      <c r="A170" s="403"/>
      <c r="B170" s="404"/>
      <c r="C170" s="404"/>
      <c r="D170" s="400"/>
      <c r="E170" s="400"/>
      <c r="F170" s="403"/>
      <c r="G170" s="403"/>
      <c r="H170" s="377"/>
    </row>
    <row r="171" spans="1:8" x14ac:dyDescent="0.25">
      <c r="A171" s="403"/>
      <c r="B171" s="404"/>
      <c r="C171" s="404"/>
      <c r="D171" s="400"/>
      <c r="E171" s="400"/>
      <c r="F171" s="403"/>
      <c r="G171" s="403"/>
      <c r="H171" s="377"/>
    </row>
    <row r="172" spans="1:8" x14ac:dyDescent="0.25">
      <c r="A172" s="403"/>
      <c r="B172" s="404"/>
      <c r="C172" s="404"/>
      <c r="D172" s="400"/>
      <c r="E172" s="400"/>
      <c r="F172" s="403"/>
      <c r="G172" s="403"/>
      <c r="H172" s="377"/>
    </row>
    <row r="173" spans="1:8" x14ac:dyDescent="0.25">
      <c r="A173" s="403"/>
      <c r="B173" s="404"/>
      <c r="C173" s="404"/>
      <c r="D173" s="400"/>
      <c r="E173" s="400"/>
      <c r="F173" s="403"/>
      <c r="G173" s="403"/>
      <c r="H173" s="377"/>
    </row>
    <row r="174" spans="1:8" x14ac:dyDescent="0.25">
      <c r="A174" s="403"/>
      <c r="B174" s="404"/>
      <c r="C174" s="404"/>
      <c r="D174" s="400"/>
      <c r="E174" s="400"/>
      <c r="F174" s="403"/>
      <c r="G174" s="403"/>
      <c r="H174" s="377"/>
    </row>
    <row r="175" spans="1:8" x14ac:dyDescent="0.25">
      <c r="A175" s="403"/>
      <c r="B175" s="404"/>
      <c r="C175" s="404"/>
      <c r="D175" s="400"/>
      <c r="E175" s="400"/>
      <c r="F175" s="403"/>
      <c r="G175" s="403"/>
      <c r="H175" s="377"/>
    </row>
    <row r="176" spans="1:8" x14ac:dyDescent="0.25">
      <c r="A176" s="403"/>
      <c r="B176" s="404"/>
      <c r="C176" s="404"/>
      <c r="D176" s="400"/>
      <c r="E176" s="400"/>
      <c r="F176" s="403"/>
      <c r="G176" s="403"/>
      <c r="H176" s="377"/>
    </row>
    <row r="177" spans="1:8" x14ac:dyDescent="0.25">
      <c r="A177" s="403"/>
      <c r="B177" s="404"/>
      <c r="C177" s="404"/>
      <c r="D177" s="400"/>
      <c r="E177" s="400"/>
      <c r="F177" s="403"/>
      <c r="G177" s="403"/>
      <c r="H177" s="377"/>
    </row>
    <row r="178" spans="1:8" x14ac:dyDescent="0.25">
      <c r="A178" s="403"/>
      <c r="B178" s="404"/>
      <c r="C178" s="404"/>
      <c r="D178" s="400"/>
      <c r="E178" s="400"/>
      <c r="F178" s="403"/>
      <c r="G178" s="403"/>
      <c r="H178" s="377"/>
    </row>
    <row r="179" spans="1:8" x14ac:dyDescent="0.25">
      <c r="A179" s="403"/>
      <c r="B179" s="404"/>
      <c r="C179" s="404"/>
      <c r="D179" s="400"/>
      <c r="E179" s="400"/>
      <c r="F179" s="403"/>
      <c r="G179" s="403"/>
      <c r="H179" s="377"/>
    </row>
    <row r="180" spans="1:8" x14ac:dyDescent="0.25">
      <c r="A180" s="403"/>
      <c r="B180" s="404"/>
      <c r="C180" s="404"/>
      <c r="D180" s="400"/>
      <c r="E180" s="400"/>
      <c r="F180" s="403"/>
      <c r="G180" s="403"/>
      <c r="H180" s="377"/>
    </row>
    <row r="181" spans="1:8" x14ac:dyDescent="0.25">
      <c r="A181" s="403"/>
      <c r="B181" s="404"/>
      <c r="C181" s="404"/>
      <c r="D181" s="400"/>
      <c r="E181" s="400"/>
      <c r="F181" s="403"/>
      <c r="G181" s="403"/>
      <c r="H181" s="377"/>
    </row>
    <row r="182" spans="1:8" x14ac:dyDescent="0.25">
      <c r="A182" s="403"/>
      <c r="B182" s="404"/>
      <c r="C182" s="404"/>
      <c r="D182" s="400"/>
      <c r="E182" s="400"/>
      <c r="F182" s="403"/>
      <c r="G182" s="403"/>
      <c r="H182" s="377"/>
    </row>
    <row r="183" spans="1:8" x14ac:dyDescent="0.25">
      <c r="A183" s="403"/>
      <c r="B183" s="404"/>
      <c r="C183" s="404"/>
      <c r="D183" s="400"/>
      <c r="E183" s="400"/>
      <c r="F183" s="403"/>
      <c r="G183" s="403"/>
      <c r="H183" s="377"/>
    </row>
    <row r="184" spans="1:8" x14ac:dyDescent="0.25">
      <c r="A184" s="403"/>
      <c r="B184" s="404"/>
      <c r="C184" s="404"/>
      <c r="D184" s="400"/>
      <c r="E184" s="400"/>
      <c r="F184" s="403"/>
      <c r="G184" s="403"/>
      <c r="H184" s="377"/>
    </row>
    <row r="185" spans="1:8" x14ac:dyDescent="0.25">
      <c r="A185" s="403"/>
      <c r="B185" s="404"/>
      <c r="C185" s="404"/>
      <c r="D185" s="400"/>
      <c r="E185" s="400"/>
      <c r="F185" s="403"/>
      <c r="G185" s="403"/>
      <c r="H185" s="377"/>
    </row>
    <row r="186" spans="1:8" x14ac:dyDescent="0.25">
      <c r="A186" s="403"/>
      <c r="B186" s="404"/>
      <c r="C186" s="404"/>
      <c r="D186" s="400"/>
      <c r="E186" s="400"/>
      <c r="F186" s="403"/>
      <c r="G186" s="403"/>
      <c r="H186" s="377"/>
    </row>
    <row r="187" spans="1:8" x14ac:dyDescent="0.25">
      <c r="A187" s="403"/>
      <c r="B187" s="404"/>
      <c r="C187" s="404"/>
      <c r="D187" s="400"/>
      <c r="E187" s="400"/>
      <c r="F187" s="403"/>
      <c r="G187" s="403"/>
      <c r="H187" s="377"/>
    </row>
    <row r="188" spans="1:8" x14ac:dyDescent="0.25">
      <c r="A188" s="403"/>
      <c r="B188" s="404"/>
      <c r="C188" s="404"/>
      <c r="D188" s="400"/>
      <c r="E188" s="400"/>
      <c r="F188" s="403"/>
      <c r="G188" s="403"/>
      <c r="H188" s="377"/>
    </row>
    <row r="189" spans="1:8" x14ac:dyDescent="0.25">
      <c r="A189" s="403"/>
      <c r="B189" s="404"/>
      <c r="C189" s="404"/>
      <c r="D189" s="400"/>
      <c r="E189" s="400"/>
      <c r="F189" s="403"/>
      <c r="G189" s="403"/>
      <c r="H189" s="377"/>
    </row>
    <row r="190" spans="1:8" x14ac:dyDescent="0.25">
      <c r="A190" s="403"/>
      <c r="B190" s="404"/>
      <c r="C190" s="404"/>
      <c r="D190" s="400"/>
      <c r="E190" s="400"/>
      <c r="F190" s="403"/>
      <c r="G190" s="403"/>
      <c r="H190" s="377"/>
    </row>
    <row r="191" spans="1:8" x14ac:dyDescent="0.25">
      <c r="A191" s="403"/>
      <c r="B191" s="404"/>
      <c r="C191" s="404"/>
      <c r="D191" s="400"/>
      <c r="E191" s="400"/>
      <c r="F191" s="403"/>
      <c r="G191" s="403"/>
      <c r="H191" s="377"/>
    </row>
    <row r="192" spans="1:8" x14ac:dyDescent="0.25">
      <c r="A192" s="403"/>
      <c r="B192" s="404"/>
      <c r="C192" s="404"/>
      <c r="D192" s="400"/>
      <c r="E192" s="400"/>
      <c r="F192" s="403"/>
      <c r="G192" s="403"/>
      <c r="H192" s="377"/>
    </row>
    <row r="193" spans="1:8" x14ac:dyDescent="0.25">
      <c r="A193" s="403"/>
      <c r="B193" s="404"/>
      <c r="C193" s="404"/>
      <c r="D193" s="400"/>
      <c r="E193" s="400"/>
      <c r="F193" s="403"/>
      <c r="G193" s="403"/>
      <c r="H193" s="377"/>
    </row>
    <row r="194" spans="1:8" x14ac:dyDescent="0.25">
      <c r="A194" s="403"/>
      <c r="B194" s="404"/>
      <c r="C194" s="404"/>
      <c r="D194" s="400"/>
      <c r="E194" s="400"/>
      <c r="F194" s="403"/>
      <c r="G194" s="403"/>
      <c r="H194" s="377"/>
    </row>
    <row r="195" spans="1:8" x14ac:dyDescent="0.25">
      <c r="A195" s="403"/>
      <c r="B195" s="404"/>
      <c r="C195" s="404"/>
      <c r="D195" s="400"/>
      <c r="E195" s="400"/>
      <c r="F195" s="403"/>
      <c r="G195" s="403"/>
      <c r="H195" s="377"/>
    </row>
    <row r="196" spans="1:8" x14ac:dyDescent="0.25">
      <c r="A196" s="403"/>
      <c r="B196" s="404"/>
      <c r="C196" s="404"/>
      <c r="D196" s="400"/>
      <c r="E196" s="400"/>
      <c r="F196" s="403"/>
      <c r="G196" s="403"/>
      <c r="H196" s="377"/>
    </row>
    <row r="197" spans="1:8" x14ac:dyDescent="0.25">
      <c r="A197" s="403"/>
      <c r="B197" s="404"/>
      <c r="C197" s="404"/>
      <c r="D197" s="400"/>
      <c r="E197" s="400"/>
      <c r="F197" s="403"/>
      <c r="G197" s="403"/>
      <c r="H197" s="377"/>
    </row>
    <row r="198" spans="1:8" x14ac:dyDescent="0.25">
      <c r="A198" s="403"/>
      <c r="B198" s="404"/>
      <c r="C198" s="404"/>
      <c r="D198" s="400"/>
      <c r="E198" s="400"/>
      <c r="F198" s="403"/>
      <c r="G198" s="403"/>
      <c r="H198" s="377"/>
    </row>
    <row r="199" spans="1:8" x14ac:dyDescent="0.25">
      <c r="A199" s="403"/>
      <c r="B199" s="404"/>
      <c r="C199" s="404"/>
      <c r="D199" s="400"/>
      <c r="E199" s="400"/>
      <c r="F199" s="403"/>
      <c r="G199" s="403"/>
      <c r="H199" s="377"/>
    </row>
    <row r="200" spans="1:8" x14ac:dyDescent="0.25">
      <c r="A200" s="403"/>
      <c r="B200" s="404"/>
      <c r="C200" s="404"/>
      <c r="D200" s="400"/>
      <c r="E200" s="400"/>
      <c r="F200" s="403"/>
      <c r="G200" s="403"/>
      <c r="H200" s="377"/>
    </row>
    <row r="201" spans="1:8" x14ac:dyDescent="0.25">
      <c r="A201" s="403"/>
      <c r="B201" s="404"/>
      <c r="C201" s="404"/>
      <c r="D201" s="400"/>
      <c r="E201" s="400"/>
      <c r="F201" s="403"/>
      <c r="G201" s="403"/>
      <c r="H201" s="377"/>
    </row>
  </sheetData>
  <mergeCells count="4">
    <mergeCell ref="D8:E8"/>
    <mergeCell ref="D9:D10"/>
    <mergeCell ref="E9:E10"/>
    <mergeCell ref="A116:E116"/>
  </mergeCells>
  <pageMargins left="0.4" right="0.27559055118110237" top="0.74803149606299213" bottom="0.47244094488188981" header="0.11811023622047245" footer="0.51181102362204722"/>
  <pageSetup paperSize="9" scale="51" fitToHeight="2" orientation="portrait" r:id="rId1"/>
  <headerFooter alignWithMargins="0"/>
  <rowBreaks count="1" manualBreakCount="1">
    <brk id="96" max="7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481</v>
      </c>
    </row>
    <row r="2" spans="1:3" ht="24" thickTop="1" thickBot="1" x14ac:dyDescent="0.3">
      <c r="A2" s="84" t="s">
        <v>131</v>
      </c>
      <c r="B2" s="38" t="s">
        <v>2</v>
      </c>
      <c r="C2" s="38" t="s">
        <v>3</v>
      </c>
    </row>
    <row r="3" spans="1:3" ht="23.25" customHeight="1" thickTop="1" thickBot="1" x14ac:dyDescent="0.3">
      <c r="A3" s="44" t="s">
        <v>220</v>
      </c>
      <c r="B3" s="79"/>
      <c r="C3" s="80"/>
    </row>
    <row r="4" spans="1:3" ht="23.25" customHeight="1" thickBot="1" x14ac:dyDescent="0.3">
      <c r="A4" s="14" t="s">
        <v>221</v>
      </c>
      <c r="B4" s="79"/>
      <c r="C4" s="80"/>
    </row>
    <row r="5" spans="1:3" ht="23.25" customHeight="1" thickBot="1" x14ac:dyDescent="0.3">
      <c r="A5" s="14" t="s">
        <v>222</v>
      </c>
      <c r="B5" s="79"/>
      <c r="C5" s="80"/>
    </row>
    <row r="6" spans="1:3" ht="23.25" customHeight="1" thickBot="1" x14ac:dyDescent="0.3">
      <c r="A6" s="44" t="s">
        <v>223</v>
      </c>
      <c r="B6" s="79"/>
      <c r="C6" s="80"/>
    </row>
    <row r="7" spans="1:3" ht="23.25" customHeight="1" thickBot="1" x14ac:dyDescent="0.3">
      <c r="A7" s="14" t="s">
        <v>221</v>
      </c>
      <c r="B7" s="79"/>
      <c r="C7" s="80"/>
    </row>
    <row r="8" spans="1:3" ht="23.25" customHeight="1" thickBot="1" x14ac:dyDescent="0.3">
      <c r="A8" s="14" t="s">
        <v>222</v>
      </c>
      <c r="B8" s="79"/>
      <c r="C8" s="80"/>
    </row>
    <row r="9" spans="1:3" ht="23.25" customHeight="1" thickBot="1" x14ac:dyDescent="0.3">
      <c r="A9" s="44" t="s">
        <v>224</v>
      </c>
      <c r="B9" s="79"/>
      <c r="C9" s="80"/>
    </row>
    <row r="10" spans="1:3" ht="23.25" customHeight="1" thickBot="1" x14ac:dyDescent="0.3">
      <c r="A10" s="44" t="s">
        <v>225</v>
      </c>
      <c r="B10" s="79"/>
      <c r="C10" s="80"/>
    </row>
    <row r="11" spans="1:3" ht="23.25" customHeight="1" thickBot="1" x14ac:dyDescent="0.3">
      <c r="A11" s="44" t="s">
        <v>226</v>
      </c>
      <c r="B11" s="113">
        <v>0.19</v>
      </c>
      <c r="C11" s="118">
        <v>0.19</v>
      </c>
    </row>
    <row r="12" spans="1:3" ht="23.25" customHeight="1" thickBot="1" x14ac:dyDescent="0.3">
      <c r="A12" s="44" t="s">
        <v>227</v>
      </c>
      <c r="B12" s="79"/>
      <c r="C12" s="80"/>
    </row>
    <row r="13" spans="1:3" ht="23.25" customHeight="1" thickBot="1" x14ac:dyDescent="0.3">
      <c r="A13" s="44" t="s">
        <v>228</v>
      </c>
      <c r="B13" s="79"/>
      <c r="C13" s="80"/>
    </row>
    <row r="14" spans="1:3" ht="23.25" customHeight="1" thickBot="1" x14ac:dyDescent="0.3">
      <c r="A14" s="14" t="s">
        <v>229</v>
      </c>
      <c r="B14" s="79"/>
      <c r="C14" s="80"/>
    </row>
    <row r="15" spans="1:3" ht="23.25" customHeight="1" thickBot="1" x14ac:dyDescent="0.3">
      <c r="A15" s="14" t="s">
        <v>230</v>
      </c>
      <c r="B15" s="79"/>
      <c r="C15" s="80"/>
    </row>
    <row r="16" spans="1:3" ht="23.25" customHeight="1" thickBot="1" x14ac:dyDescent="0.3">
      <c r="A16" s="104" t="s">
        <v>231</v>
      </c>
      <c r="B16" s="79"/>
      <c r="C16" s="80"/>
    </row>
    <row r="17" spans="1:3" ht="23.25" customHeight="1" thickBot="1" x14ac:dyDescent="0.3">
      <c r="A17" s="105" t="s">
        <v>232</v>
      </c>
      <c r="B17" s="79"/>
      <c r="C17" s="80"/>
    </row>
    <row r="18" spans="1:3" ht="23.25" customHeight="1" thickBot="1" x14ac:dyDescent="0.3">
      <c r="A18" s="14" t="s">
        <v>233</v>
      </c>
      <c r="B18" s="79"/>
      <c r="C18" s="80"/>
    </row>
    <row r="19" spans="1:3" ht="23.25" customHeight="1" thickBot="1" x14ac:dyDescent="0.3">
      <c r="A19" s="16" t="s">
        <v>230</v>
      </c>
      <c r="B19" s="85"/>
      <c r="C19" s="78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407" customWidth="1"/>
    <col min="6" max="6" width="26" style="412" customWidth="1"/>
    <col min="7" max="7" width="5.140625" customWidth="1"/>
    <col min="8" max="8" width="22.5703125" style="443" customWidth="1"/>
    <col min="9" max="9" width="22.5703125" style="442" customWidth="1"/>
  </cols>
  <sheetData>
    <row r="1" spans="1:9" ht="17.25" thickBot="1" x14ac:dyDescent="0.3">
      <c r="A1" s="441" t="s">
        <v>252</v>
      </c>
      <c r="E1" s="1325" t="s">
        <v>1139</v>
      </c>
      <c r="F1" s="1327"/>
      <c r="G1" s="417"/>
      <c r="H1" s="1338" t="s">
        <v>1141</v>
      </c>
      <c r="I1" s="1339"/>
    </row>
    <row r="2" spans="1:9" ht="23.25" customHeight="1" thickTop="1" thickBot="1" x14ac:dyDescent="0.3">
      <c r="A2" s="84" t="s">
        <v>1</v>
      </c>
      <c r="B2" s="38" t="s">
        <v>2</v>
      </c>
      <c r="C2" s="38" t="s">
        <v>3</v>
      </c>
      <c r="E2" s="59" t="s">
        <v>2</v>
      </c>
      <c r="F2" s="59" t="s">
        <v>3</v>
      </c>
      <c r="H2" s="444" t="s">
        <v>2</v>
      </c>
      <c r="I2" s="444" t="s">
        <v>3</v>
      </c>
    </row>
    <row r="3" spans="1:9" ht="23.25" customHeight="1" thickTop="1" thickBot="1" x14ac:dyDescent="0.3">
      <c r="A3" s="73" t="s">
        <v>253</v>
      </c>
      <c r="B3" s="85">
        <f>SUM(B4:B5)</f>
        <v>0</v>
      </c>
      <c r="C3" s="78">
        <f>SUM(C4:C5)</f>
        <v>0</v>
      </c>
      <c r="E3" s="410">
        <f>SUM(B4:B5)-B3</f>
        <v>0</v>
      </c>
      <c r="F3" s="413">
        <f>SUM(C4:C5)-C3</f>
        <v>0</v>
      </c>
      <c r="H3" s="713">
        <f>B3-BS!$D$137</f>
        <v>0</v>
      </c>
      <c r="I3" s="714">
        <f>C3-BS!$E$137</f>
        <v>0</v>
      </c>
    </row>
    <row r="4" spans="1:9" ht="23.25" customHeight="1" thickTop="1" thickBot="1" x14ac:dyDescent="0.3">
      <c r="A4" s="14"/>
      <c r="B4" s="79"/>
      <c r="C4" s="80"/>
      <c r="H4" s="445"/>
      <c r="I4" s="446"/>
    </row>
    <row r="5" spans="1:9" ht="23.25" customHeight="1" thickBot="1" x14ac:dyDescent="0.3">
      <c r="A5" s="16"/>
      <c r="B5" s="85"/>
      <c r="C5" s="78"/>
      <c r="H5" s="445"/>
      <c r="I5" s="446"/>
    </row>
    <row r="6" spans="1:9" ht="23.25" customHeight="1" thickTop="1" thickBot="1" x14ac:dyDescent="0.3">
      <c r="A6" s="25" t="s">
        <v>254</v>
      </c>
      <c r="B6" s="85">
        <f>SUM(B7:B8)</f>
        <v>0</v>
      </c>
      <c r="C6" s="78">
        <f>SUM(C7:C8)</f>
        <v>0</v>
      </c>
      <c r="E6" s="410">
        <f>SUM(B7:B8)-B6</f>
        <v>0</v>
      </c>
      <c r="F6" s="413">
        <f>SUM(C7:C8)-C6</f>
        <v>0</v>
      </c>
      <c r="H6" s="713">
        <f>B6-BS!$D$138</f>
        <v>0</v>
      </c>
      <c r="I6" s="714">
        <f>C6-BS!$E$138</f>
        <v>0</v>
      </c>
    </row>
    <row r="7" spans="1:9" ht="23.25" customHeight="1" thickTop="1" thickBot="1" x14ac:dyDescent="0.3">
      <c r="A7" s="14"/>
      <c r="B7" s="79"/>
      <c r="C7" s="80"/>
      <c r="H7" s="445"/>
      <c r="I7" s="446"/>
    </row>
    <row r="8" spans="1:9" ht="23.25" customHeight="1" thickBot="1" x14ac:dyDescent="0.3">
      <c r="A8" s="16"/>
      <c r="B8" s="85"/>
      <c r="C8" s="78"/>
      <c r="H8" s="445"/>
      <c r="I8" s="446"/>
    </row>
    <row r="9" spans="1:9" ht="23.25" customHeight="1" thickTop="1" thickBot="1" x14ac:dyDescent="0.3">
      <c r="A9" s="25" t="s">
        <v>482</v>
      </c>
      <c r="B9" s="85">
        <f>SUM(B10:B12)</f>
        <v>0</v>
      </c>
      <c r="C9" s="78">
        <f>SUM(C10:C12)</f>
        <v>0</v>
      </c>
      <c r="E9" s="410">
        <f>SUM(B10:B12)-B9</f>
        <v>0</v>
      </c>
      <c r="F9" s="413">
        <f>SUM(C10:C12)-C9</f>
        <v>0</v>
      </c>
      <c r="H9" s="713">
        <f>B9-BS!$D$139</f>
        <v>0</v>
      </c>
      <c r="I9" s="714">
        <f>C9-BS!$E$139</f>
        <v>0</v>
      </c>
    </row>
    <row r="10" spans="1:9" ht="23.25" customHeight="1" thickTop="1" thickBot="1" x14ac:dyDescent="0.3">
      <c r="A10" s="14"/>
      <c r="B10" s="79"/>
      <c r="C10" s="80"/>
      <c r="H10" s="445"/>
      <c r="I10" s="446"/>
    </row>
    <row r="11" spans="1:9" ht="23.25" customHeight="1" thickBot="1" x14ac:dyDescent="0.3">
      <c r="A11" s="14"/>
      <c r="B11" s="79"/>
      <c r="C11" s="80"/>
      <c r="H11" s="445"/>
      <c r="I11" s="446"/>
    </row>
    <row r="12" spans="1:9" ht="23.25" customHeight="1" thickBot="1" x14ac:dyDescent="0.3">
      <c r="A12" s="16"/>
      <c r="B12" s="85"/>
      <c r="C12" s="78"/>
      <c r="H12" s="445"/>
      <c r="I12" s="446"/>
    </row>
    <row r="13" spans="1:9" ht="23.25" customHeight="1" thickTop="1" thickBot="1" x14ac:dyDescent="0.3">
      <c r="A13" s="25" t="s">
        <v>483</v>
      </c>
      <c r="B13" s="85">
        <f>SUM(B14:B16)</f>
        <v>0</v>
      </c>
      <c r="C13" s="78">
        <f>SUM(C14:C16)</f>
        <v>0</v>
      </c>
      <c r="E13" s="410">
        <f>SUM(B14:B16)-B13</f>
        <v>0</v>
      </c>
      <c r="F13" s="413">
        <f>SUM(C14:C16)-C13</f>
        <v>0</v>
      </c>
      <c r="H13" s="713">
        <f>B13-BS!$D$140</f>
        <v>0</v>
      </c>
      <c r="I13" s="714">
        <f>C13-BS!$E$140</f>
        <v>0</v>
      </c>
    </row>
    <row r="14" spans="1:9" ht="23.25" customHeight="1" thickTop="1" thickBot="1" x14ac:dyDescent="0.4">
      <c r="A14" s="14"/>
      <c r="B14" s="79"/>
      <c r="C14" s="80"/>
    </row>
    <row r="15" spans="1:9" ht="23.25" customHeight="1" thickBot="1" x14ac:dyDescent="0.4">
      <c r="A15" s="119"/>
      <c r="B15" s="120"/>
      <c r="C15" s="121"/>
    </row>
    <row r="16" spans="1:9" ht="23.25" customHeight="1" thickBot="1" x14ac:dyDescent="0.4">
      <c r="A16" s="16"/>
      <c r="B16" s="85"/>
      <c r="C16" s="78"/>
    </row>
    <row r="17" ht="15.75" thickTop="1" x14ac:dyDescent="0.25"/>
  </sheetData>
  <mergeCells count="2">
    <mergeCell ref="E1:F1"/>
    <mergeCell ref="H1:I1"/>
  </mergeCells>
  <conditionalFormatting sqref="E3:F13">
    <cfRule type="cellIs" dxfId="33" priority="4" operator="lessThan">
      <formula>0</formula>
    </cfRule>
    <cfRule type="cellIs" dxfId="32" priority="5" operator="greaterThan">
      <formula>0</formula>
    </cfRule>
  </conditionalFormatting>
  <conditionalFormatting sqref="H3:I13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20" t="s">
        <v>8</v>
      </c>
      <c r="B2" s="20"/>
      <c r="C2" s="20"/>
      <c r="D2" s="20"/>
      <c r="E2" s="20"/>
    </row>
    <row r="3" spans="1:5" ht="16.5" thickTop="1" thickBot="1" x14ac:dyDescent="0.3">
      <c r="A3" s="1330" t="s">
        <v>131</v>
      </c>
      <c r="B3" s="1310" t="s">
        <v>256</v>
      </c>
      <c r="C3" s="1315"/>
      <c r="D3" s="1308" t="s">
        <v>257</v>
      </c>
      <c r="E3" s="20"/>
    </row>
    <row r="4" spans="1:5" ht="16.5" thickTop="1" thickBot="1" x14ac:dyDescent="0.3">
      <c r="A4" s="1332"/>
      <c r="B4" s="21" t="s">
        <v>258</v>
      </c>
      <c r="C4" s="69" t="s">
        <v>259</v>
      </c>
      <c r="D4" s="1309"/>
      <c r="E4" s="20"/>
    </row>
    <row r="5" spans="1:5" ht="18.75" customHeight="1" thickTop="1" thickBot="1" x14ac:dyDescent="0.3">
      <c r="A5" s="25" t="s">
        <v>260</v>
      </c>
      <c r="B5" s="58"/>
      <c r="C5" s="58"/>
      <c r="D5" s="60"/>
      <c r="E5" s="20"/>
    </row>
    <row r="6" spans="1:5" ht="18.75" customHeight="1" thickTop="1" thickBot="1" x14ac:dyDescent="0.3">
      <c r="A6" s="14"/>
      <c r="B6" s="79"/>
      <c r="C6" s="79"/>
      <c r="D6" s="80"/>
      <c r="E6" s="20"/>
    </row>
    <row r="7" spans="1:5" ht="18.75" customHeight="1" thickBot="1" x14ac:dyDescent="0.3">
      <c r="A7" s="14"/>
      <c r="B7" s="79"/>
      <c r="C7" s="79"/>
      <c r="D7" s="80"/>
      <c r="E7" s="20"/>
    </row>
    <row r="8" spans="1:5" ht="18.75" customHeight="1" thickBot="1" x14ac:dyDescent="0.3">
      <c r="A8" s="14"/>
      <c r="B8" s="79"/>
      <c r="C8" s="79"/>
      <c r="D8" s="80"/>
      <c r="E8" s="20"/>
    </row>
    <row r="9" spans="1:5" ht="18.75" customHeight="1" thickBot="1" x14ac:dyDescent="0.3">
      <c r="A9" s="16"/>
      <c r="B9" s="85"/>
      <c r="C9" s="153"/>
      <c r="D9" s="78"/>
      <c r="E9" s="20"/>
    </row>
    <row r="10" spans="1:5" ht="18.75" customHeight="1" thickTop="1" thickBot="1" x14ac:dyDescent="0.3">
      <c r="A10" s="25" t="s">
        <v>261</v>
      </c>
      <c r="B10" s="85"/>
      <c r="C10" s="154"/>
      <c r="D10" s="78"/>
      <c r="E10" s="20"/>
    </row>
    <row r="11" spans="1:5" ht="18.75" customHeight="1" thickTop="1" thickBot="1" x14ac:dyDescent="0.3">
      <c r="A11" s="14"/>
      <c r="B11" s="79"/>
      <c r="C11" s="79"/>
      <c r="D11" s="80"/>
      <c r="E11" s="20"/>
    </row>
    <row r="12" spans="1:5" ht="18.75" customHeight="1" thickBot="1" x14ac:dyDescent="0.3">
      <c r="A12" s="14"/>
      <c r="B12" s="79"/>
      <c r="C12" s="79"/>
      <c r="D12" s="80"/>
      <c r="E12" s="20"/>
    </row>
    <row r="13" spans="1:5" ht="18.75" customHeight="1" thickBot="1" x14ac:dyDescent="0.3">
      <c r="A13" s="14"/>
      <c r="B13" s="79"/>
      <c r="C13" s="79"/>
      <c r="D13" s="80"/>
      <c r="E13" s="20"/>
    </row>
    <row r="14" spans="1:5" ht="18.75" customHeight="1" thickBot="1" x14ac:dyDescent="0.3">
      <c r="A14" s="25"/>
      <c r="B14" s="85"/>
      <c r="C14" s="85"/>
      <c r="D14" s="78"/>
      <c r="E14" s="20"/>
    </row>
    <row r="15" spans="1:5" ht="15.75" thickTop="1" x14ac:dyDescent="0.25">
      <c r="A15" s="20"/>
      <c r="B15" s="20"/>
      <c r="C15" s="20"/>
      <c r="D15" s="20"/>
      <c r="E15" s="20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x14ac:dyDescent="0.25">
      <c r="A2" s="20"/>
      <c r="B2" s="20"/>
      <c r="C2" s="20"/>
      <c r="D2" s="20"/>
      <c r="E2" s="20"/>
    </row>
    <row r="3" spans="1:5" ht="15.75" thickBot="1" x14ac:dyDescent="0.3">
      <c r="A3" s="20" t="s">
        <v>15</v>
      </c>
      <c r="B3" s="20"/>
      <c r="C3" s="20"/>
      <c r="D3" s="20"/>
      <c r="E3" s="20"/>
    </row>
    <row r="4" spans="1:5" ht="28.5" customHeight="1" thickTop="1" thickBot="1" x14ac:dyDescent="0.3">
      <c r="A4" s="1330" t="s">
        <v>131</v>
      </c>
      <c r="B4" s="1310" t="s">
        <v>2</v>
      </c>
      <c r="C4" s="1311"/>
      <c r="D4" s="1310" t="s">
        <v>3</v>
      </c>
      <c r="E4" s="1311"/>
    </row>
    <row r="5" spans="1:5" ht="17.25" customHeight="1" thickTop="1" thickBot="1" x14ac:dyDescent="0.3">
      <c r="A5" s="1331"/>
      <c r="B5" s="1310" t="s">
        <v>262</v>
      </c>
      <c r="C5" s="1311"/>
      <c r="D5" s="1310" t="s">
        <v>262</v>
      </c>
      <c r="E5" s="1311"/>
    </row>
    <row r="6" spans="1:5" ht="24" thickTop="1" thickBot="1" x14ac:dyDescent="0.3">
      <c r="A6" s="1332"/>
      <c r="B6" s="21" t="s">
        <v>263</v>
      </c>
      <c r="C6" s="21" t="s">
        <v>264</v>
      </c>
      <c r="D6" s="21" t="s">
        <v>263</v>
      </c>
      <c r="E6" s="21" t="s">
        <v>264</v>
      </c>
    </row>
    <row r="7" spans="1:5" ht="35.25" thickTop="1" thickBot="1" x14ac:dyDescent="0.3">
      <c r="A7" s="25" t="s">
        <v>260</v>
      </c>
      <c r="B7" s="58"/>
      <c r="C7" s="58"/>
      <c r="D7" s="60"/>
      <c r="E7" s="60"/>
    </row>
    <row r="8" spans="1:5" ht="18.75" customHeight="1" thickTop="1" thickBot="1" x14ac:dyDescent="0.3">
      <c r="A8" s="14"/>
      <c r="B8" s="79"/>
      <c r="C8" s="79"/>
      <c r="D8" s="80"/>
      <c r="E8" s="80"/>
    </row>
    <row r="9" spans="1:5" ht="18.75" customHeight="1" thickBot="1" x14ac:dyDescent="0.3">
      <c r="A9" s="14"/>
      <c r="B9" s="79"/>
      <c r="C9" s="79"/>
      <c r="D9" s="80"/>
      <c r="E9" s="80"/>
    </row>
    <row r="10" spans="1:5" ht="18.75" customHeight="1" thickBot="1" x14ac:dyDescent="0.3">
      <c r="A10" s="14"/>
      <c r="B10" s="79"/>
      <c r="C10" s="79"/>
      <c r="D10" s="80"/>
      <c r="E10" s="80"/>
    </row>
    <row r="11" spans="1:5" ht="18.75" customHeight="1" thickBot="1" x14ac:dyDescent="0.3">
      <c r="A11" s="16"/>
      <c r="B11" s="85"/>
      <c r="C11" s="153"/>
      <c r="D11" s="78"/>
      <c r="E11" s="78"/>
    </row>
    <row r="12" spans="1:5" ht="24" thickTop="1" thickBot="1" x14ac:dyDescent="0.3">
      <c r="A12" s="25" t="s">
        <v>261</v>
      </c>
      <c r="B12" s="85"/>
      <c r="C12" s="154"/>
      <c r="D12" s="78"/>
      <c r="E12" s="78"/>
    </row>
    <row r="13" spans="1:5" ht="18.75" customHeight="1" thickTop="1" thickBot="1" x14ac:dyDescent="0.3">
      <c r="A13" s="14"/>
      <c r="B13" s="79"/>
      <c r="C13" s="79"/>
      <c r="D13" s="80"/>
      <c r="E13" s="80"/>
    </row>
    <row r="14" spans="1:5" ht="18.75" customHeight="1" thickBot="1" x14ac:dyDescent="0.4">
      <c r="A14" s="14"/>
      <c r="B14" s="79"/>
      <c r="C14" s="79"/>
      <c r="D14" s="80"/>
      <c r="E14" s="80"/>
    </row>
    <row r="15" spans="1:5" ht="18.75" customHeight="1" thickBot="1" x14ac:dyDescent="0.4">
      <c r="A15" s="14"/>
      <c r="B15" s="79"/>
      <c r="C15" s="79"/>
      <c r="D15" s="80"/>
      <c r="E15" s="80"/>
    </row>
    <row r="16" spans="1:5" ht="18.75" customHeight="1" thickBot="1" x14ac:dyDescent="0.4">
      <c r="A16" s="25"/>
      <c r="B16" s="85"/>
      <c r="C16" s="85"/>
      <c r="D16" s="78"/>
      <c r="E16" s="78"/>
    </row>
    <row r="17" spans="1:5" thickTop="1" x14ac:dyDescent="0.35">
      <c r="A17" s="20"/>
      <c r="B17" s="20"/>
      <c r="C17" s="20"/>
      <c r="D17" s="20"/>
      <c r="E17" s="20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1330" t="s">
        <v>266</v>
      </c>
      <c r="B2" s="1310" t="s">
        <v>267</v>
      </c>
      <c r="C2" s="1311"/>
    </row>
    <row r="3" spans="1:3" ht="24" thickTop="1" thickBot="1" x14ac:dyDescent="0.3">
      <c r="A3" s="1332"/>
      <c r="B3" s="70" t="s">
        <v>2</v>
      </c>
      <c r="C3" s="70" t="s">
        <v>3</v>
      </c>
    </row>
    <row r="4" spans="1:3" ht="20.25" customHeight="1" thickTop="1" thickBot="1" x14ac:dyDescent="0.3">
      <c r="A4" s="14" t="s">
        <v>268</v>
      </c>
      <c r="B4" s="79"/>
      <c r="C4" s="80"/>
    </row>
    <row r="5" spans="1:3" ht="20.25" customHeight="1" thickBot="1" x14ac:dyDescent="0.3">
      <c r="A5" s="14" t="s">
        <v>269</v>
      </c>
      <c r="B5" s="79"/>
      <c r="C5" s="80"/>
    </row>
    <row r="6" spans="1:3" ht="20.25" customHeight="1" thickBot="1" x14ac:dyDescent="0.3">
      <c r="A6" s="14" t="s">
        <v>270</v>
      </c>
      <c r="B6" s="79"/>
      <c r="C6" s="80"/>
    </row>
    <row r="7" spans="1:3" ht="20.25" customHeight="1" thickBot="1" x14ac:dyDescent="0.3">
      <c r="A7" s="14" t="s">
        <v>271</v>
      </c>
      <c r="B7" s="79"/>
      <c r="C7" s="80"/>
    </row>
    <row r="8" spans="1:3" ht="20.25" customHeight="1" thickBot="1" x14ac:dyDescent="0.3">
      <c r="A8" s="25" t="s">
        <v>14</v>
      </c>
      <c r="B8" s="85">
        <f>SUM(B4:B7)</f>
        <v>0</v>
      </c>
      <c r="C8" s="78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407"/>
    <col min="11" max="14" width="9.140625" style="408"/>
    <col min="15" max="15" width="9.140625" style="412"/>
  </cols>
  <sheetData>
    <row r="1" spans="1:15" ht="17.25" thickBot="1" x14ac:dyDescent="0.35">
      <c r="A1" s="1" t="s">
        <v>272</v>
      </c>
      <c r="J1" s="1325" t="s">
        <v>1139</v>
      </c>
      <c r="K1" s="1326"/>
      <c r="L1" s="1326"/>
      <c r="M1" s="1326"/>
      <c r="N1" s="1326"/>
      <c r="O1" s="1327"/>
    </row>
    <row r="2" spans="1:15" ht="24.75" customHeight="1" thickTop="1" thickBot="1" x14ac:dyDescent="0.3">
      <c r="A2" s="1330" t="s">
        <v>1</v>
      </c>
      <c r="B2" s="1316" t="s">
        <v>2</v>
      </c>
      <c r="C2" s="1317"/>
      <c r="D2" s="1318"/>
      <c r="E2" s="1310" t="s">
        <v>3</v>
      </c>
      <c r="F2" s="1315"/>
      <c r="G2" s="1311"/>
      <c r="J2" s="1316" t="s">
        <v>2</v>
      </c>
      <c r="K2" s="1317"/>
      <c r="L2" s="1318"/>
      <c r="M2" s="1310" t="s">
        <v>492</v>
      </c>
      <c r="N2" s="1315"/>
      <c r="O2" s="1311"/>
    </row>
    <row r="3" spans="1:15" ht="16.5" customHeight="1" thickTop="1" thickBot="1" x14ac:dyDescent="0.3">
      <c r="A3" s="1331"/>
      <c r="B3" s="1316" t="s">
        <v>184</v>
      </c>
      <c r="C3" s="1317"/>
      <c r="D3" s="1318"/>
      <c r="E3" s="1316" t="s">
        <v>184</v>
      </c>
      <c r="F3" s="1317"/>
      <c r="G3" s="1318"/>
      <c r="J3" s="1316" t="s">
        <v>184</v>
      </c>
      <c r="K3" s="1317"/>
      <c r="L3" s="1318"/>
      <c r="M3" s="1316" t="s">
        <v>184</v>
      </c>
      <c r="N3" s="1317"/>
      <c r="O3" s="1318"/>
    </row>
    <row r="4" spans="1:15" s="4" customFormat="1" ht="45" customHeight="1" thickTop="1" thickBot="1" x14ac:dyDescent="0.3">
      <c r="A4" s="1332"/>
      <c r="B4" s="21" t="s">
        <v>185</v>
      </c>
      <c r="C4" s="21" t="s">
        <v>186</v>
      </c>
      <c r="D4" s="21" t="s">
        <v>187</v>
      </c>
      <c r="E4" s="21" t="s">
        <v>185</v>
      </c>
      <c r="F4" s="21" t="s">
        <v>186</v>
      </c>
      <c r="G4" s="21" t="s">
        <v>187</v>
      </c>
      <c r="J4" s="59" t="s">
        <v>185</v>
      </c>
      <c r="K4" s="21" t="s">
        <v>186</v>
      </c>
      <c r="L4" s="21" t="s">
        <v>187</v>
      </c>
      <c r="M4" s="21" t="s">
        <v>185</v>
      </c>
      <c r="N4" s="21" t="s">
        <v>186</v>
      </c>
      <c r="O4" s="21" t="s">
        <v>187</v>
      </c>
    </row>
    <row r="5" spans="1:15" ht="18.75" customHeight="1" thickTop="1" thickBot="1" x14ac:dyDescent="0.3">
      <c r="A5" s="74" t="s">
        <v>188</v>
      </c>
      <c r="B5" s="144"/>
      <c r="C5" s="144"/>
      <c r="D5" s="144"/>
      <c r="E5" s="144"/>
      <c r="F5" s="144"/>
      <c r="G5" s="77"/>
    </row>
    <row r="6" spans="1:15" ht="18.75" customHeight="1" thickBot="1" x14ac:dyDescent="0.3">
      <c r="A6" s="71" t="s">
        <v>273</v>
      </c>
      <c r="B6" s="79"/>
      <c r="C6" s="79"/>
      <c r="D6" s="79"/>
      <c r="E6" s="79"/>
      <c r="F6" s="79"/>
      <c r="G6" s="80"/>
    </row>
    <row r="7" spans="1:15" ht="18.75" customHeight="1" thickBot="1" x14ac:dyDescent="0.3">
      <c r="A7" s="72" t="s">
        <v>14</v>
      </c>
      <c r="B7" s="85">
        <f>B5+B6</f>
        <v>0</v>
      </c>
      <c r="C7" s="85">
        <f t="shared" ref="C7:G7" si="0">C5+C6</f>
        <v>0</v>
      </c>
      <c r="D7" s="85">
        <f t="shared" si="0"/>
        <v>0</v>
      </c>
      <c r="E7" s="85">
        <f t="shared" si="0"/>
        <v>0</v>
      </c>
      <c r="F7" s="85">
        <f t="shared" si="0"/>
        <v>0</v>
      </c>
      <c r="G7" s="78">
        <f t="shared" si="0"/>
        <v>0</v>
      </c>
      <c r="J7" s="410">
        <f>SUM(B5:B6)-B7</f>
        <v>0</v>
      </c>
      <c r="K7" s="409">
        <f t="shared" ref="K7:O7" si="1">SUM(C5:C6)-C7</f>
        <v>0</v>
      </c>
      <c r="L7" s="409">
        <f t="shared" si="1"/>
        <v>0</v>
      </c>
      <c r="M7" s="409">
        <f t="shared" si="1"/>
        <v>0</v>
      </c>
      <c r="N7" s="409">
        <f t="shared" si="1"/>
        <v>0</v>
      </c>
      <c r="O7" s="413">
        <f t="shared" si="1"/>
        <v>0</v>
      </c>
    </row>
    <row r="8" spans="1:15" ht="15.75" thickTop="1" x14ac:dyDescent="0.25"/>
  </sheetData>
  <mergeCells count="10">
    <mergeCell ref="J1:O1"/>
    <mergeCell ref="J2:L2"/>
    <mergeCell ref="M2:O2"/>
    <mergeCell ref="J3:L3"/>
    <mergeCell ref="M3:O3"/>
    <mergeCell ref="B2:D2"/>
    <mergeCell ref="E2:G2"/>
    <mergeCell ref="B3:D3"/>
    <mergeCell ref="E3:G3"/>
    <mergeCell ref="A2:A4"/>
  </mergeCells>
  <conditionalFormatting sqref="J5:O7">
    <cfRule type="cellIs" dxfId="29" priority="3" operator="lessThan">
      <formula>0</formula>
    </cfRule>
    <cfRule type="cellIs" dxfId="28" priority="4" operator="greaterThan">
      <formula>0</formula>
    </cfRule>
  </conditionalFormatting>
  <conditionalFormatting sqref="J7:O7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84" t="s">
        <v>131</v>
      </c>
      <c r="B2" s="70" t="s">
        <v>2</v>
      </c>
      <c r="C2" s="70" t="s">
        <v>3</v>
      </c>
    </row>
    <row r="3" spans="1:3" ht="18.75" customHeight="1" thickTop="1" thickBot="1" x14ac:dyDescent="0.3">
      <c r="A3" s="155" t="s">
        <v>339</v>
      </c>
      <c r="B3" s="80"/>
      <c r="C3" s="80"/>
    </row>
    <row r="4" spans="1:3" ht="18.75" customHeight="1" thickBot="1" x14ac:dyDescent="0.3">
      <c r="A4" s="156" t="s">
        <v>340</v>
      </c>
      <c r="B4" s="80"/>
      <c r="C4" s="80"/>
    </row>
    <row r="5" spans="1:3" ht="18.75" customHeight="1" thickBot="1" x14ac:dyDescent="0.3">
      <c r="A5" s="71" t="s">
        <v>341</v>
      </c>
      <c r="B5" s="80"/>
      <c r="C5" s="80"/>
    </row>
    <row r="6" spans="1:3" ht="18.75" customHeight="1" thickBot="1" x14ac:dyDescent="0.3">
      <c r="A6" s="155" t="s">
        <v>342</v>
      </c>
      <c r="B6" s="80"/>
      <c r="C6" s="80"/>
    </row>
    <row r="7" spans="1:3" ht="18.75" customHeight="1" thickBot="1" x14ac:dyDescent="0.3">
      <c r="A7" s="157" t="s">
        <v>343</v>
      </c>
      <c r="B7" s="80"/>
      <c r="C7" s="80"/>
    </row>
    <row r="8" spans="1:3" ht="18.75" customHeight="1" thickBot="1" x14ac:dyDescent="0.3">
      <c r="A8" s="129" t="s">
        <v>344</v>
      </c>
      <c r="B8" s="80"/>
      <c r="C8" s="80"/>
    </row>
    <row r="9" spans="1:3" ht="18.75" customHeight="1" thickBot="1" x14ac:dyDescent="0.3">
      <c r="A9" s="156" t="s">
        <v>345</v>
      </c>
      <c r="B9" s="80"/>
      <c r="C9" s="80"/>
    </row>
    <row r="10" spans="1:3" ht="18.75" customHeight="1" thickBot="1" x14ac:dyDescent="0.3">
      <c r="A10" s="155" t="s">
        <v>346</v>
      </c>
      <c r="B10" s="126"/>
      <c r="C10" s="126"/>
    </row>
    <row r="11" spans="1:3" ht="18.75" customHeight="1" thickBot="1" x14ac:dyDescent="0.3">
      <c r="A11" s="158" t="s">
        <v>347</v>
      </c>
      <c r="B11" s="127"/>
      <c r="C11" s="127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9" t="s">
        <v>8</v>
      </c>
      <c r="B2" s="20"/>
      <c r="C2" s="20"/>
      <c r="D2" s="20"/>
    </row>
    <row r="3" spans="1:4" ht="16.5" thickTop="1" thickBot="1" x14ac:dyDescent="0.3">
      <c r="A3" s="1330" t="s">
        <v>349</v>
      </c>
      <c r="B3" s="1310" t="s">
        <v>350</v>
      </c>
      <c r="C3" s="1311"/>
      <c r="D3" s="20"/>
    </row>
    <row r="4" spans="1:4" ht="16.5" thickTop="1" thickBot="1" x14ac:dyDescent="0.3">
      <c r="A4" s="1332"/>
      <c r="B4" s="21" t="s">
        <v>351</v>
      </c>
      <c r="C4" s="159" t="s">
        <v>352</v>
      </c>
      <c r="D4" s="20"/>
    </row>
    <row r="5" spans="1:4" ht="20.25" customHeight="1" thickTop="1" thickBot="1" x14ac:dyDescent="0.3">
      <c r="A5" s="14" t="s">
        <v>353</v>
      </c>
      <c r="B5" s="80"/>
      <c r="C5" s="80"/>
      <c r="D5" s="20"/>
    </row>
    <row r="6" spans="1:4" ht="20.25" customHeight="1" thickBot="1" x14ac:dyDescent="0.3">
      <c r="A6" s="14" t="s">
        <v>354</v>
      </c>
      <c r="B6" s="80"/>
      <c r="C6" s="80"/>
      <c r="D6" s="20"/>
    </row>
    <row r="7" spans="1:4" ht="20.25" customHeight="1" thickBot="1" x14ac:dyDescent="0.3">
      <c r="A7" s="14" t="s">
        <v>355</v>
      </c>
      <c r="B7" s="80"/>
      <c r="C7" s="80"/>
      <c r="D7" s="20"/>
    </row>
    <row r="8" spans="1:4" ht="20.25" customHeight="1" thickBot="1" x14ac:dyDescent="0.3">
      <c r="A8" s="14" t="s">
        <v>356</v>
      </c>
      <c r="B8" s="80"/>
      <c r="C8" s="80"/>
      <c r="D8" s="20"/>
    </row>
    <row r="9" spans="1:4" ht="20.25" customHeight="1" thickBot="1" x14ac:dyDescent="0.3">
      <c r="A9" s="14" t="s">
        <v>357</v>
      </c>
      <c r="B9" s="80"/>
      <c r="C9" s="80"/>
      <c r="D9" s="20"/>
    </row>
    <row r="10" spans="1:4" ht="20.25" customHeight="1" thickBot="1" x14ac:dyDescent="0.3">
      <c r="A10" s="16" t="s">
        <v>358</v>
      </c>
      <c r="B10" s="78"/>
      <c r="C10" s="78"/>
      <c r="D10" s="20"/>
    </row>
    <row r="11" spans="1:4" ht="16.5" thickTop="1" thickBot="1" x14ac:dyDescent="0.3">
      <c r="A11" s="160" t="s">
        <v>15</v>
      </c>
      <c r="B11" s="20"/>
      <c r="C11" s="20"/>
      <c r="D11" s="20"/>
    </row>
    <row r="12" spans="1:4" ht="16.5" thickTop="1" thickBot="1" x14ac:dyDescent="0.3">
      <c r="A12" s="1308" t="s">
        <v>349</v>
      </c>
      <c r="B12" s="1310" t="s">
        <v>359</v>
      </c>
      <c r="C12" s="1311"/>
      <c r="D12" s="20"/>
    </row>
    <row r="13" spans="1:4" ht="16.5" thickTop="1" thickBot="1" x14ac:dyDescent="0.3">
      <c r="A13" s="1309"/>
      <c r="B13" s="21" t="s">
        <v>351</v>
      </c>
      <c r="C13" s="159" t="s">
        <v>352</v>
      </c>
      <c r="D13" s="20"/>
    </row>
    <row r="14" spans="1:4" ht="20.25" customHeight="1" thickTop="1" thickBot="1" x14ac:dyDescent="0.3">
      <c r="A14" s="14" t="s">
        <v>353</v>
      </c>
      <c r="B14" s="80"/>
      <c r="C14" s="80"/>
      <c r="D14" s="20"/>
    </row>
    <row r="15" spans="1:4" ht="20.25" customHeight="1" thickBot="1" x14ac:dyDescent="0.3">
      <c r="A15" s="14" t="s">
        <v>354</v>
      </c>
      <c r="B15" s="80"/>
      <c r="C15" s="80"/>
      <c r="D15" s="20"/>
    </row>
    <row r="16" spans="1:4" ht="20.25" customHeight="1" thickBot="1" x14ac:dyDescent="0.3">
      <c r="A16" s="14" t="s">
        <v>355</v>
      </c>
      <c r="B16" s="80"/>
      <c r="C16" s="80"/>
      <c r="D16" s="20"/>
    </row>
    <row r="17" spans="1:4" ht="20.25" customHeight="1" thickBot="1" x14ac:dyDescent="0.3">
      <c r="A17" s="14" t="s">
        <v>356</v>
      </c>
      <c r="B17" s="80"/>
      <c r="C17" s="80"/>
      <c r="D17" s="20"/>
    </row>
    <row r="18" spans="1:4" ht="20.25" customHeight="1" thickBot="1" x14ac:dyDescent="0.3">
      <c r="A18" s="14" t="s">
        <v>357</v>
      </c>
      <c r="B18" s="80"/>
      <c r="C18" s="80"/>
      <c r="D18" s="20"/>
    </row>
    <row r="19" spans="1:4" ht="20.25" customHeight="1" thickBot="1" x14ac:dyDescent="0.3">
      <c r="A19" s="142" t="s">
        <v>358</v>
      </c>
      <c r="B19" s="78"/>
      <c r="C19" s="78"/>
      <c r="D19" s="20"/>
    </row>
    <row r="20" spans="1:4" ht="15.75" thickTop="1" x14ac:dyDescent="0.25">
      <c r="A20" s="20"/>
      <c r="B20" s="20"/>
      <c r="C20" s="20"/>
      <c r="D20" s="20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84" t="s">
        <v>361</v>
      </c>
      <c r="B2" s="70" t="s">
        <v>362</v>
      </c>
      <c r="C2" s="70" t="s">
        <v>363</v>
      </c>
    </row>
    <row r="3" spans="1:3" ht="20.25" customHeight="1" thickTop="1" thickBot="1" x14ac:dyDescent="0.3">
      <c r="A3" s="122" t="s">
        <v>364</v>
      </c>
      <c r="B3" s="80"/>
      <c r="C3" s="80"/>
    </row>
    <row r="4" spans="1:3" ht="20.25" customHeight="1" thickBot="1" x14ac:dyDescent="0.3">
      <c r="A4" s="129" t="s">
        <v>365</v>
      </c>
      <c r="B4" s="80"/>
      <c r="C4" s="80"/>
    </row>
    <row r="5" spans="1:3" ht="20.25" customHeight="1" thickBot="1" x14ac:dyDescent="0.3">
      <c r="A5" s="129" t="s">
        <v>366</v>
      </c>
      <c r="B5" s="80"/>
      <c r="C5" s="80"/>
    </row>
    <row r="6" spans="1:3" ht="20.25" customHeight="1" thickBot="1" x14ac:dyDescent="0.3">
      <c r="A6" s="129" t="s">
        <v>367</v>
      </c>
      <c r="B6" s="80"/>
      <c r="C6" s="80"/>
    </row>
    <row r="7" spans="1:3" ht="21" customHeight="1" thickBot="1" x14ac:dyDescent="0.3">
      <c r="A7" s="129" t="s">
        <v>493</v>
      </c>
      <c r="B7" s="80"/>
      <c r="C7" s="80"/>
    </row>
    <row r="8" spans="1:3" ht="20.25" customHeight="1" thickBot="1" x14ac:dyDescent="0.3">
      <c r="A8" s="119" t="s">
        <v>368</v>
      </c>
      <c r="B8" s="80"/>
      <c r="C8" s="80"/>
    </row>
    <row r="9" spans="1:3" ht="20.25" customHeight="1" thickBot="1" x14ac:dyDescent="0.3">
      <c r="A9" s="122" t="s">
        <v>369</v>
      </c>
      <c r="B9" s="80"/>
      <c r="C9" s="126"/>
    </row>
    <row r="10" spans="1:3" ht="20.25" customHeight="1" thickBot="1" x14ac:dyDescent="0.3">
      <c r="A10" s="130" t="s">
        <v>370</v>
      </c>
      <c r="B10" s="78"/>
      <c r="C10" s="127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274</v>
      </c>
    </row>
    <row r="2" spans="1:7" ht="44.25" customHeight="1" thickTop="1" thickBot="1" x14ac:dyDescent="0.3">
      <c r="A2" s="1330" t="s">
        <v>275</v>
      </c>
      <c r="B2" s="1310" t="s">
        <v>276</v>
      </c>
      <c r="C2" s="1311"/>
      <c r="D2" s="1310" t="s">
        <v>277</v>
      </c>
      <c r="E2" s="1311"/>
      <c r="F2" s="1310" t="s">
        <v>278</v>
      </c>
      <c r="G2" s="1311"/>
    </row>
    <row r="3" spans="1:7" s="408" customFormat="1" ht="57.75" thickTop="1" thickBot="1" x14ac:dyDescent="0.3">
      <c r="A3" s="1332"/>
      <c r="B3" s="59" t="s">
        <v>2</v>
      </c>
      <c r="C3" s="177" t="s">
        <v>484</v>
      </c>
      <c r="D3" s="177" t="s">
        <v>2</v>
      </c>
      <c r="E3" s="177" t="s">
        <v>484</v>
      </c>
      <c r="F3" s="177" t="s">
        <v>2</v>
      </c>
      <c r="G3" s="177" t="s">
        <v>484</v>
      </c>
    </row>
    <row r="4" spans="1:7" ht="18.75" customHeight="1" thickTop="1" thickBot="1" x14ac:dyDescent="0.3">
      <c r="A4" s="108"/>
      <c r="B4" s="80"/>
      <c r="C4" s="80"/>
      <c r="D4" s="80"/>
      <c r="E4" s="80"/>
      <c r="F4" s="80"/>
      <c r="G4" s="80"/>
    </row>
    <row r="5" spans="1:7" ht="18.75" customHeight="1" thickBot="1" x14ac:dyDescent="0.3">
      <c r="A5" s="108"/>
      <c r="B5" s="80"/>
      <c r="C5" s="80"/>
      <c r="D5" s="80"/>
      <c r="E5" s="80"/>
      <c r="F5" s="80"/>
      <c r="G5" s="80"/>
    </row>
    <row r="6" spans="1:7" ht="18.75" customHeight="1" thickBot="1" x14ac:dyDescent="0.3">
      <c r="A6" s="108"/>
      <c r="B6" s="80"/>
      <c r="C6" s="80"/>
      <c r="D6" s="80"/>
      <c r="E6" s="80"/>
      <c r="F6" s="80"/>
      <c r="G6" s="80"/>
    </row>
    <row r="7" spans="1:7" ht="18.75" customHeight="1" thickBot="1" x14ac:dyDescent="0.3">
      <c r="A7" s="108"/>
      <c r="B7" s="80"/>
      <c r="C7" s="80"/>
      <c r="D7" s="80"/>
      <c r="E7" s="80"/>
      <c r="F7" s="80"/>
      <c r="G7" s="80"/>
    </row>
    <row r="8" spans="1:7" ht="18.75" customHeight="1" thickBot="1" x14ac:dyDescent="0.3">
      <c r="A8" s="72" t="s">
        <v>14</v>
      </c>
      <c r="B8" s="78">
        <f t="shared" ref="B8:G8" si="0">SUM(B4:B7)</f>
        <v>0</v>
      </c>
      <c r="C8" s="78">
        <f t="shared" si="0"/>
        <v>0</v>
      </c>
      <c r="D8" s="78">
        <f t="shared" si="0"/>
        <v>0</v>
      </c>
      <c r="E8" s="78">
        <f t="shared" si="0"/>
        <v>0</v>
      </c>
      <c r="F8" s="78">
        <f t="shared" si="0"/>
        <v>0</v>
      </c>
      <c r="G8" s="78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"/>
  <sheetViews>
    <sheetView showGridLines="0" zoomScale="115" zoomScaleNormal="115" workbookViewId="0">
      <selection activeCell="A9" sqref="A9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10" t="s">
        <v>1</v>
      </c>
      <c r="B2" s="11" t="s">
        <v>2</v>
      </c>
      <c r="C2" s="11" t="s">
        <v>3</v>
      </c>
    </row>
    <row r="3" spans="1:3" ht="22.5" customHeight="1" thickTop="1" thickBot="1" x14ac:dyDescent="0.3">
      <c r="A3" s="12" t="s">
        <v>4</v>
      </c>
      <c r="B3" s="13"/>
      <c r="C3" s="13"/>
    </row>
    <row r="4" spans="1:3" ht="22.5" customHeight="1" thickBot="1" x14ac:dyDescent="0.3">
      <c r="A4" s="14" t="s">
        <v>5</v>
      </c>
      <c r="B4" s="15"/>
      <c r="C4" s="15"/>
    </row>
    <row r="5" spans="1:3" ht="22.5" customHeight="1" thickBot="1" x14ac:dyDescent="0.3">
      <c r="A5" s="16" t="s">
        <v>6</v>
      </c>
      <c r="B5" s="17"/>
      <c r="C5" s="17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407" customWidth="1"/>
    <col min="9" max="10" width="15.7109375" style="408" customWidth="1"/>
    <col min="11" max="11" width="14.85546875" style="408" customWidth="1"/>
    <col min="12" max="12" width="14.85546875" style="412" customWidth="1"/>
    <col min="13" max="13" width="6.5703125" customWidth="1"/>
    <col min="14" max="14" width="15.5703125" style="407" customWidth="1"/>
    <col min="15" max="17" width="15.5703125" style="408" customWidth="1"/>
    <col min="18" max="18" width="15.5703125" style="412" customWidth="1"/>
    <col min="19" max="19" width="19.85546875" customWidth="1"/>
  </cols>
  <sheetData>
    <row r="1" spans="1:18" ht="17.25" thickBot="1" x14ac:dyDescent="0.35">
      <c r="A1" s="1" t="s">
        <v>279</v>
      </c>
      <c r="H1" s="1325" t="s">
        <v>1139</v>
      </c>
      <c r="I1" s="1326"/>
      <c r="J1" s="1326"/>
      <c r="K1" s="1326"/>
      <c r="L1" s="1327"/>
      <c r="N1" s="1325" t="s">
        <v>1141</v>
      </c>
      <c r="O1" s="1326"/>
      <c r="P1" s="1326"/>
      <c r="Q1" s="1326"/>
      <c r="R1" s="1327"/>
    </row>
    <row r="2" spans="1:18" ht="33" customHeight="1" thickTop="1" thickBot="1" x14ac:dyDescent="0.3">
      <c r="A2" s="1330" t="s">
        <v>131</v>
      </c>
      <c r="B2" s="38" t="s">
        <v>2</v>
      </c>
      <c r="C2" s="1310" t="s">
        <v>3</v>
      </c>
      <c r="D2" s="1311"/>
      <c r="E2" s="1310" t="s">
        <v>280</v>
      </c>
      <c r="F2" s="1311"/>
      <c r="H2" s="59" t="s">
        <v>2</v>
      </c>
      <c r="I2" s="1310" t="s">
        <v>3</v>
      </c>
      <c r="J2" s="1311"/>
      <c r="K2" s="1310" t="s">
        <v>280</v>
      </c>
      <c r="L2" s="1311"/>
      <c r="N2" s="59" t="s">
        <v>2</v>
      </c>
      <c r="O2" s="1310" t="s">
        <v>3</v>
      </c>
      <c r="P2" s="1311"/>
      <c r="Q2" s="1310" t="s">
        <v>280</v>
      </c>
      <c r="R2" s="1311"/>
    </row>
    <row r="3" spans="1:18" ht="45" customHeight="1" thickTop="1" thickBot="1" x14ac:dyDescent="0.3">
      <c r="A3" s="1332"/>
      <c r="B3" s="21" t="s">
        <v>281</v>
      </c>
      <c r="C3" s="21" t="s">
        <v>281</v>
      </c>
      <c r="D3" s="21" t="s">
        <v>282</v>
      </c>
      <c r="E3" s="21" t="s">
        <v>2</v>
      </c>
      <c r="F3" s="21" t="s">
        <v>486</v>
      </c>
      <c r="H3" s="175" t="s">
        <v>281</v>
      </c>
      <c r="I3" s="21" t="s">
        <v>281</v>
      </c>
      <c r="J3" s="21" t="s">
        <v>282</v>
      </c>
      <c r="K3" s="21" t="s">
        <v>2</v>
      </c>
      <c r="L3" s="21" t="s">
        <v>486</v>
      </c>
      <c r="N3" s="175" t="s">
        <v>281</v>
      </c>
      <c r="O3" s="21" t="s">
        <v>281</v>
      </c>
      <c r="P3" s="21" t="s">
        <v>282</v>
      </c>
      <c r="Q3" s="21" t="s">
        <v>2</v>
      </c>
      <c r="R3" s="21" t="s">
        <v>486</v>
      </c>
    </row>
    <row r="4" spans="1:18" ht="19.5" customHeight="1" thickTop="1" thickBot="1" x14ac:dyDescent="0.3">
      <c r="A4" s="122" t="s">
        <v>485</v>
      </c>
      <c r="B4" s="161"/>
      <c r="C4" s="162"/>
      <c r="D4" s="163"/>
      <c r="E4" s="164"/>
      <c r="F4" s="164"/>
      <c r="K4" s="409">
        <f>B4-C4-E4</f>
        <v>0</v>
      </c>
      <c r="L4" s="413">
        <f>C4-D4-F4</f>
        <v>0</v>
      </c>
      <c r="N4" s="410">
        <f>B4-BS!$D$42</f>
        <v>0</v>
      </c>
      <c r="O4" s="409">
        <f>C4-BS!$G$42</f>
        <v>0</v>
      </c>
    </row>
    <row r="5" spans="1:18" ht="19.5" customHeight="1" thickBot="1" x14ac:dyDescent="0.3">
      <c r="A5" s="119" t="s">
        <v>91</v>
      </c>
      <c r="B5" s="165"/>
      <c r="C5" s="165"/>
      <c r="D5" s="166"/>
      <c r="E5" s="121"/>
      <c r="F5" s="121"/>
      <c r="K5" s="409">
        <f>B5-C5-E5</f>
        <v>0</v>
      </c>
      <c r="L5" s="413">
        <f t="shared" ref="L5:L7" si="0">C5-D5-F5</f>
        <v>0</v>
      </c>
      <c r="N5" s="410">
        <f>B5-BS!$D$43</f>
        <v>0</v>
      </c>
      <c r="O5" s="409">
        <f>C5-BS!$G$43</f>
        <v>0</v>
      </c>
    </row>
    <row r="6" spans="1:18" ht="19.5" customHeight="1" thickBot="1" x14ac:dyDescent="0.3">
      <c r="A6" s="14" t="s">
        <v>283</v>
      </c>
      <c r="B6" s="93"/>
      <c r="C6" s="93"/>
      <c r="D6" s="94"/>
      <c r="E6" s="80"/>
      <c r="F6" s="80"/>
      <c r="K6" s="409">
        <f>B6-C6-E6</f>
        <v>0</v>
      </c>
      <c r="L6" s="413">
        <f t="shared" si="0"/>
        <v>0</v>
      </c>
      <c r="N6" s="410">
        <f>B6-BS!$D$44</f>
        <v>0</v>
      </c>
      <c r="O6" s="409">
        <f>C6-BS!$G$44</f>
        <v>0</v>
      </c>
    </row>
    <row r="7" spans="1:18" ht="19.5" customHeight="1" thickBot="1" x14ac:dyDescent="0.3">
      <c r="A7" s="14" t="s">
        <v>14</v>
      </c>
      <c r="B7" s="79">
        <f>SUM(B4:B6)</f>
        <v>0</v>
      </c>
      <c r="C7" s="93">
        <f t="shared" ref="C7:F7" si="1">SUM(C4:C6)</f>
        <v>0</v>
      </c>
      <c r="D7" s="94">
        <f t="shared" si="1"/>
        <v>0</v>
      </c>
      <c r="E7" s="80">
        <f t="shared" si="1"/>
        <v>0</v>
      </c>
      <c r="F7" s="80">
        <f t="shared" si="1"/>
        <v>0</v>
      </c>
      <c r="H7" s="410">
        <f>SUM(B4:B6)-B7</f>
        <v>0</v>
      </c>
      <c r="I7" s="409">
        <f t="shared" ref="I7:J7" si="2">SUM(C4:C6)-C7</f>
        <v>0</v>
      </c>
      <c r="J7" s="409">
        <f t="shared" si="2"/>
        <v>0</v>
      </c>
      <c r="K7" s="409">
        <f>B7-C7-E7</f>
        <v>0</v>
      </c>
      <c r="L7" s="413">
        <f t="shared" si="0"/>
        <v>0</v>
      </c>
    </row>
    <row r="8" spans="1:18" ht="19.5" customHeight="1" thickBot="1" x14ac:dyDescent="0.3">
      <c r="A8" s="14" t="s">
        <v>284</v>
      </c>
      <c r="B8" s="110" t="s">
        <v>18</v>
      </c>
      <c r="C8" s="110" t="s">
        <v>18</v>
      </c>
      <c r="D8" s="123" t="s">
        <v>18</v>
      </c>
      <c r="E8" s="80"/>
      <c r="F8" s="80"/>
    </row>
    <row r="9" spans="1:18" ht="19.5" customHeight="1" thickBot="1" x14ac:dyDescent="0.3">
      <c r="A9" s="14" t="s">
        <v>285</v>
      </c>
      <c r="B9" s="110" t="s">
        <v>18</v>
      </c>
      <c r="C9" s="110" t="s">
        <v>18</v>
      </c>
      <c r="D9" s="123" t="s">
        <v>18</v>
      </c>
      <c r="E9" s="80"/>
      <c r="F9" s="80"/>
    </row>
    <row r="10" spans="1:18" ht="19.5" customHeight="1" thickBot="1" x14ac:dyDescent="0.3">
      <c r="A10" s="14" t="s">
        <v>286</v>
      </c>
      <c r="B10" s="110" t="s">
        <v>18</v>
      </c>
      <c r="C10" s="110" t="s">
        <v>18</v>
      </c>
      <c r="D10" s="123" t="s">
        <v>18</v>
      </c>
      <c r="E10" s="80"/>
      <c r="F10" s="80"/>
    </row>
    <row r="11" spans="1:18" ht="19.5" customHeight="1" thickBot="1" x14ac:dyDescent="0.3">
      <c r="A11" s="16" t="s">
        <v>287</v>
      </c>
      <c r="B11" s="112" t="s">
        <v>18</v>
      </c>
      <c r="C11" s="112" t="s">
        <v>18</v>
      </c>
      <c r="D11" s="124" t="s">
        <v>18</v>
      </c>
      <c r="E11" s="78"/>
      <c r="F11" s="78"/>
    </row>
    <row r="12" spans="1:18" ht="19.5" customHeight="1" thickTop="1" thickBot="1" x14ac:dyDescent="0.3">
      <c r="A12" s="25" t="s">
        <v>288</v>
      </c>
      <c r="B12" s="112" t="s">
        <v>18</v>
      </c>
      <c r="C12" s="112" t="s">
        <v>18</v>
      </c>
      <c r="D12" s="124" t="s">
        <v>18</v>
      </c>
      <c r="E12" s="78"/>
      <c r="F12" s="78"/>
      <c r="K12" s="409">
        <f>SUM(E7:E11)-E12</f>
        <v>0</v>
      </c>
      <c r="L12" s="413">
        <f>SUM(F7:F11)-F12</f>
        <v>0</v>
      </c>
      <c r="Q12" s="409">
        <f>E12-'P&amp;L'!$D$14</f>
        <v>0</v>
      </c>
      <c r="R12" s="413">
        <f>F12-'P&amp;L'!$E$14</f>
        <v>0</v>
      </c>
    </row>
    <row r="13" spans="1:18" thickTop="1" x14ac:dyDescent="0.3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25" priority="4" operator="lessThan">
      <formula>0</formula>
    </cfRule>
    <cfRule type="cellIs" dxfId="24" priority="5" operator="greaterThan">
      <formula>0</formula>
    </cfRule>
  </conditionalFormatting>
  <conditionalFormatting sqref="N1">
    <cfRule type="cellIs" priority="3" stopIfTrue="1" operator="greaterThan">
      <formula>0</formula>
    </cfRule>
  </conditionalFormatting>
  <conditionalFormatting sqref="N4:R12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407" customWidth="1"/>
    <col min="6" max="6" width="30.28515625" style="412" customWidth="1"/>
  </cols>
  <sheetData>
    <row r="1" spans="1:6" ht="116.25" thickBot="1" x14ac:dyDescent="0.35">
      <c r="A1" s="449" t="s">
        <v>289</v>
      </c>
      <c r="E1" s="1325" t="s">
        <v>1141</v>
      </c>
      <c r="F1" s="1327"/>
    </row>
    <row r="2" spans="1:6" ht="21" customHeight="1" thickTop="1" thickBot="1" x14ac:dyDescent="0.3">
      <c r="A2" s="59" t="s">
        <v>131</v>
      </c>
      <c r="B2" s="715" t="s">
        <v>2</v>
      </c>
      <c r="C2" s="715" t="s">
        <v>3</v>
      </c>
      <c r="E2" s="418" t="s">
        <v>2</v>
      </c>
      <c r="F2" s="419" t="s">
        <v>3</v>
      </c>
    </row>
    <row r="3" spans="1:6" ht="18.75" customHeight="1" thickTop="1" thickBot="1" x14ac:dyDescent="0.3">
      <c r="A3" s="44" t="s">
        <v>487</v>
      </c>
      <c r="B3" s="80"/>
      <c r="C3" s="80"/>
      <c r="E3" s="450"/>
      <c r="F3" s="451"/>
    </row>
    <row r="4" spans="1:6" ht="18.75" customHeight="1" thickBot="1" x14ac:dyDescent="0.3">
      <c r="A4" s="14"/>
      <c r="B4" s="80"/>
      <c r="C4" s="80"/>
      <c r="E4" s="450"/>
      <c r="F4" s="451"/>
    </row>
    <row r="5" spans="1:6" ht="18.75" customHeight="1" thickBot="1" x14ac:dyDescent="0.3">
      <c r="A5" s="14"/>
      <c r="B5" s="80"/>
      <c r="C5" s="80"/>
      <c r="E5" s="450"/>
      <c r="F5" s="451"/>
    </row>
    <row r="6" spans="1:6" ht="18.75" customHeight="1" thickBot="1" x14ac:dyDescent="0.3">
      <c r="A6" s="44" t="s">
        <v>290</v>
      </c>
      <c r="B6" s="80"/>
      <c r="C6" s="80"/>
      <c r="E6" s="450"/>
      <c r="F6" s="451"/>
    </row>
    <row r="7" spans="1:6" ht="18.75" customHeight="1" thickBot="1" x14ac:dyDescent="0.3">
      <c r="A7" s="14"/>
      <c r="B7" s="80"/>
      <c r="C7" s="80"/>
      <c r="E7" s="450"/>
      <c r="F7" s="451"/>
    </row>
    <row r="8" spans="1:6" ht="18.75" customHeight="1" thickBot="1" x14ac:dyDescent="0.3">
      <c r="A8" s="14"/>
      <c r="B8" s="80"/>
      <c r="C8" s="80"/>
      <c r="E8" s="450"/>
      <c r="F8" s="451"/>
    </row>
    <row r="9" spans="1:6" ht="18.75" customHeight="1" thickBot="1" x14ac:dyDescent="0.3">
      <c r="A9" s="14"/>
      <c r="B9" s="80"/>
      <c r="C9" s="80"/>
      <c r="E9" s="450"/>
      <c r="F9" s="451"/>
    </row>
    <row r="10" spans="1:6" ht="18.75" customHeight="1" thickBot="1" x14ac:dyDescent="0.3">
      <c r="A10" s="44" t="s">
        <v>291</v>
      </c>
      <c r="B10" s="80"/>
      <c r="C10" s="80"/>
      <c r="E10" s="410">
        <f>B10-SUM('P&amp;L'!$D$35,'P&amp;L'!$D$37,'P&amp;L'!$D$41,'P&amp;L'!$D$43,'P&amp;L'!$D$46,'P&amp;L'!$D$48,'P&amp;L'!$D$50,'P&amp;L'!$D$52)</f>
        <v>0</v>
      </c>
      <c r="F10" s="413">
        <f>C10-SUM('P&amp;L'!$E$35,'P&amp;L'!$E$37,'P&amp;L'!$E$41,'P&amp;L'!$E$43,'P&amp;L'!$E$46,'P&amp;L'!$E$48,'P&amp;L'!$E$50,'P&amp;L'!$E$52)</f>
        <v>0</v>
      </c>
    </row>
    <row r="11" spans="1:6" ht="18.75" customHeight="1" thickBot="1" x14ac:dyDescent="0.3">
      <c r="A11" s="128" t="s">
        <v>292</v>
      </c>
      <c r="B11" s="125"/>
      <c r="C11" s="125"/>
      <c r="E11" s="410">
        <f>B11-'P&amp;L'!$D$48</f>
        <v>0</v>
      </c>
      <c r="F11" s="413">
        <f>C11-'P&amp;L'!$E$48</f>
        <v>0</v>
      </c>
    </row>
    <row r="12" spans="1:6" ht="18.75" customHeight="1" thickBot="1" x14ac:dyDescent="0.3">
      <c r="A12" s="14" t="s">
        <v>293</v>
      </c>
      <c r="B12" s="80"/>
      <c r="C12" s="80"/>
    </row>
    <row r="13" spans="1:6" ht="18.75" customHeight="1" thickBot="1" x14ac:dyDescent="0.3">
      <c r="A13" s="128" t="s">
        <v>294</v>
      </c>
      <c r="B13" s="125"/>
      <c r="C13" s="125"/>
    </row>
    <row r="14" spans="1:6" ht="18.75" customHeight="1" thickBot="1" x14ac:dyDescent="0.3">
      <c r="A14" s="14"/>
      <c r="B14" s="80"/>
      <c r="C14" s="80"/>
    </row>
    <row r="15" spans="1:6" ht="18.75" customHeight="1" thickBot="1" x14ac:dyDescent="0.3">
      <c r="A15" s="14"/>
      <c r="B15" s="80"/>
      <c r="C15" s="80"/>
    </row>
    <row r="16" spans="1:6" ht="18.75" customHeight="1" thickBot="1" x14ac:dyDescent="0.4">
      <c r="A16" s="14"/>
      <c r="B16" s="80"/>
      <c r="C16" s="80"/>
    </row>
    <row r="17" spans="1:6" ht="18.75" customHeight="1" thickBot="1" x14ac:dyDescent="0.3">
      <c r="A17" s="44" t="s">
        <v>295</v>
      </c>
      <c r="B17" s="80"/>
      <c r="C17" s="80"/>
      <c r="E17" s="410">
        <f>B17-'P&amp;L'!$D$60</f>
        <v>0</v>
      </c>
      <c r="F17" s="413">
        <f>C17-'P&amp;L'!$E$60</f>
        <v>0</v>
      </c>
    </row>
    <row r="18" spans="1:6" ht="18.75" customHeight="1" thickBot="1" x14ac:dyDescent="0.4">
      <c r="A18" s="122"/>
      <c r="B18" s="126"/>
      <c r="C18" s="126"/>
    </row>
    <row r="19" spans="1:6" ht="18.75" customHeight="1" thickBot="1" x14ac:dyDescent="0.4">
      <c r="A19" s="101"/>
      <c r="B19" s="127"/>
      <c r="C19" s="127"/>
    </row>
    <row r="20" spans="1:6" thickTop="1" x14ac:dyDescent="0.35">
      <c r="A20" s="99"/>
      <c r="B20" s="20"/>
      <c r="C20" s="20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407" customWidth="1"/>
    <col min="6" max="6" width="29.7109375" style="412" customWidth="1"/>
    <col min="7" max="7" width="4.7109375" customWidth="1"/>
    <col min="8" max="8" width="26.5703125" style="407" customWidth="1"/>
    <col min="9" max="9" width="30.28515625" style="412" customWidth="1"/>
    <col min="10" max="10" width="13" customWidth="1"/>
  </cols>
  <sheetData>
    <row r="1" spans="1:9" ht="17.25" thickBot="1" x14ac:dyDescent="0.35">
      <c r="A1" s="1" t="s">
        <v>296</v>
      </c>
      <c r="E1" s="1340" t="s">
        <v>1139</v>
      </c>
      <c r="F1" s="1341"/>
      <c r="G1" s="411"/>
      <c r="H1" s="1325" t="s">
        <v>1141</v>
      </c>
      <c r="I1" s="1327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18.75" customHeight="1" thickTop="1" thickBot="1" x14ac:dyDescent="0.3">
      <c r="A3" s="71" t="s">
        <v>297</v>
      </c>
      <c r="B3" s="80"/>
      <c r="C3" s="80"/>
      <c r="H3" s="410">
        <f>B3+B4-'P&amp;L'!$D$13</f>
        <v>0</v>
      </c>
      <c r="I3" s="427">
        <f>C3+C4-'P&amp;L'!$E$13</f>
        <v>0</v>
      </c>
    </row>
    <row r="4" spans="1:9" ht="18.75" customHeight="1" thickBot="1" x14ac:dyDescent="0.3">
      <c r="A4" s="71" t="s">
        <v>298</v>
      </c>
      <c r="B4" s="80"/>
      <c r="C4" s="80"/>
      <c r="H4" s="410">
        <f>H3</f>
        <v>0</v>
      </c>
      <c r="I4" s="413">
        <f>I3</f>
        <v>0</v>
      </c>
    </row>
    <row r="5" spans="1:9" ht="18.75" customHeight="1" thickBot="1" x14ac:dyDescent="0.3">
      <c r="A5" s="71" t="s">
        <v>299</v>
      </c>
      <c r="B5" s="80"/>
      <c r="C5" s="80"/>
      <c r="H5" s="410">
        <f>B5-'P&amp;L'!$D$9</f>
        <v>0</v>
      </c>
      <c r="I5" s="413">
        <f>C5-'P&amp;L'!$E$9</f>
        <v>0</v>
      </c>
    </row>
    <row r="6" spans="1:9" ht="18.75" customHeight="1" thickBot="1" x14ac:dyDescent="0.3">
      <c r="A6" s="71" t="s">
        <v>300</v>
      </c>
      <c r="B6" s="80"/>
      <c r="C6" s="80"/>
      <c r="H6" s="450"/>
      <c r="I6" s="451"/>
    </row>
    <row r="7" spans="1:9" ht="18.75" customHeight="1" thickBot="1" x14ac:dyDescent="0.3">
      <c r="A7" s="71" t="s">
        <v>301</v>
      </c>
      <c r="B7" s="80"/>
      <c r="C7" s="80"/>
      <c r="H7" s="410">
        <f>B7-'P&amp;L'!$D$27</f>
        <v>0</v>
      </c>
      <c r="I7" s="413">
        <f>C7-'P&amp;L'!$E$27</f>
        <v>0</v>
      </c>
    </row>
    <row r="8" spans="1:9" ht="18.75" customHeight="1" thickBot="1" x14ac:dyDescent="0.3">
      <c r="A8" s="14" t="s">
        <v>302</v>
      </c>
      <c r="B8" s="80"/>
      <c r="C8" s="80"/>
      <c r="H8" s="450"/>
      <c r="I8" s="451"/>
    </row>
    <row r="9" spans="1:9" ht="18.75" customHeight="1" thickBot="1" x14ac:dyDescent="0.3">
      <c r="A9" s="72" t="s">
        <v>303</v>
      </c>
      <c r="B9" s="78">
        <f>SUM(B3:B8)</f>
        <v>0</v>
      </c>
      <c r="C9" s="78">
        <f>SUM(C3:C8)</f>
        <v>0</v>
      </c>
      <c r="E9" s="410">
        <f>SUM(B3:B8)-B9</f>
        <v>0</v>
      </c>
      <c r="F9" s="412">
        <f>SUM(C3:C8)-C9</f>
        <v>0</v>
      </c>
      <c r="H9" s="450"/>
      <c r="I9" s="451"/>
    </row>
    <row r="10" spans="1:9" ht="15.75" thickTop="1" x14ac:dyDescent="0.25">
      <c r="H10" s="410"/>
      <c r="I10" s="413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E9:F9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407" customWidth="1"/>
    <col min="6" max="6" width="29.7109375" style="412" customWidth="1"/>
    <col min="7" max="7" width="4.7109375" customWidth="1"/>
    <col min="8" max="8" width="26.5703125" style="407" customWidth="1"/>
    <col min="9" max="9" width="30.28515625" style="412" customWidth="1"/>
  </cols>
  <sheetData>
    <row r="1" spans="1:9" ht="17.25" thickBot="1" x14ac:dyDescent="0.35">
      <c r="A1" s="1" t="s">
        <v>304</v>
      </c>
      <c r="E1" s="1340" t="s">
        <v>1139</v>
      </c>
      <c r="F1" s="1341"/>
      <c r="G1" s="411"/>
      <c r="H1" s="1325" t="s">
        <v>1141</v>
      </c>
      <c r="I1" s="1327"/>
    </row>
    <row r="2" spans="1:9" ht="26.25" customHeight="1" thickTop="1" thickBot="1" x14ac:dyDescent="0.3">
      <c r="A2" s="59" t="s">
        <v>131</v>
      </c>
      <c r="B2" s="38" t="s">
        <v>2</v>
      </c>
      <c r="C2" s="38" t="s">
        <v>3</v>
      </c>
      <c r="E2" s="59" t="s">
        <v>2</v>
      </c>
      <c r="F2" s="177" t="s">
        <v>3</v>
      </c>
      <c r="H2" s="59" t="s">
        <v>2</v>
      </c>
      <c r="I2" s="177" t="s">
        <v>3</v>
      </c>
    </row>
    <row r="3" spans="1:9" ht="20.25" customHeight="1" thickTop="1" thickBot="1" x14ac:dyDescent="0.3">
      <c r="A3" s="44" t="s">
        <v>305</v>
      </c>
      <c r="B3" s="80"/>
      <c r="C3" s="80"/>
      <c r="E3" s="410">
        <f>SUM(B4,B10)-B3</f>
        <v>0</v>
      </c>
      <c r="F3" s="413">
        <f>SUM(C4,C10)-C3</f>
        <v>0</v>
      </c>
      <c r="H3" s="410">
        <f>B3-'P&amp;L'!$D$18</f>
        <v>0</v>
      </c>
      <c r="I3" s="413">
        <f>C3-'P&amp;L'!$E$18</f>
        <v>0</v>
      </c>
    </row>
    <row r="4" spans="1:9" ht="20.25" customHeight="1" thickBot="1" x14ac:dyDescent="0.3">
      <c r="A4" s="128" t="s">
        <v>306</v>
      </c>
      <c r="B4" s="125"/>
      <c r="C4" s="125"/>
      <c r="E4" s="410">
        <f>SUM(B5:B9)-B4</f>
        <v>0</v>
      </c>
      <c r="F4" s="413">
        <f>SUM(C5:C9)-C4</f>
        <v>0</v>
      </c>
      <c r="H4" s="410"/>
      <c r="I4" s="413"/>
    </row>
    <row r="5" spans="1:9" ht="20.25" customHeight="1" thickBot="1" x14ac:dyDescent="0.3">
      <c r="A5" s="14" t="s">
        <v>307</v>
      </c>
      <c r="B5" s="80"/>
      <c r="C5" s="80"/>
      <c r="F5" s="413"/>
      <c r="H5" s="452"/>
      <c r="I5" s="453"/>
    </row>
    <row r="6" spans="1:9" ht="20.25" customHeight="1" thickBot="1" x14ac:dyDescent="0.3">
      <c r="A6" s="14" t="s">
        <v>308</v>
      </c>
      <c r="B6" s="80"/>
      <c r="C6" s="80"/>
      <c r="F6" s="413"/>
      <c r="H6" s="454"/>
      <c r="I6" s="455"/>
    </row>
    <row r="7" spans="1:9" ht="20.25" customHeight="1" thickBot="1" x14ac:dyDescent="0.3">
      <c r="A7" s="14" t="s">
        <v>309</v>
      </c>
      <c r="B7" s="80"/>
      <c r="C7" s="80"/>
      <c r="F7" s="413"/>
      <c r="H7" s="452"/>
      <c r="I7" s="453"/>
    </row>
    <row r="8" spans="1:9" ht="20.25" customHeight="1" thickBot="1" x14ac:dyDescent="0.3">
      <c r="A8" s="14" t="s">
        <v>310</v>
      </c>
      <c r="B8" s="80"/>
      <c r="C8" s="80"/>
      <c r="F8" s="413"/>
      <c r="H8" s="454"/>
      <c r="I8" s="455"/>
    </row>
    <row r="9" spans="1:9" ht="20.25" customHeight="1" thickBot="1" x14ac:dyDescent="0.3">
      <c r="A9" s="14" t="s">
        <v>311</v>
      </c>
      <c r="B9" s="80"/>
      <c r="C9" s="80"/>
      <c r="E9" s="410"/>
      <c r="F9" s="413"/>
      <c r="H9" s="454"/>
      <c r="I9" s="455"/>
    </row>
    <row r="10" spans="1:9" ht="20.25" customHeight="1" thickBot="1" x14ac:dyDescent="0.3">
      <c r="A10" s="128" t="s">
        <v>312</v>
      </c>
      <c r="B10" s="125"/>
      <c r="C10" s="125"/>
      <c r="E10" s="410">
        <f>SUM(B11:B13)-B10</f>
        <v>0</v>
      </c>
      <c r="F10" s="413">
        <f>SUM(C11:C13)-C10</f>
        <v>0</v>
      </c>
      <c r="H10" s="452"/>
      <c r="I10" s="453"/>
    </row>
    <row r="11" spans="1:9" ht="20.25" customHeight="1" thickBot="1" x14ac:dyDescent="0.3">
      <c r="A11" s="14"/>
      <c r="B11" s="80"/>
      <c r="C11" s="80"/>
      <c r="F11" s="413"/>
    </row>
    <row r="12" spans="1:9" ht="20.25" customHeight="1" thickBot="1" x14ac:dyDescent="0.3">
      <c r="A12" s="14"/>
      <c r="B12" s="80"/>
      <c r="C12" s="80"/>
      <c r="F12" s="413"/>
    </row>
    <row r="13" spans="1:9" ht="20.25" customHeight="1" thickBot="1" x14ac:dyDescent="0.3">
      <c r="A13" s="14"/>
      <c r="B13" s="80"/>
      <c r="C13" s="80"/>
      <c r="F13" s="413"/>
    </row>
    <row r="14" spans="1:9" ht="20.25" customHeight="1" thickBot="1" x14ac:dyDescent="0.3">
      <c r="A14" s="44" t="s">
        <v>313</v>
      </c>
      <c r="B14" s="80"/>
      <c r="C14" s="80"/>
      <c r="E14" s="410">
        <f>SUM(B15:B18)-B14</f>
        <v>0</v>
      </c>
      <c r="F14" s="413">
        <f>SUM(C15:C18)-C14</f>
        <v>0</v>
      </c>
    </row>
    <row r="15" spans="1:9" ht="20.25" customHeight="1" thickBot="1" x14ac:dyDescent="0.4">
      <c r="A15" s="14"/>
      <c r="B15" s="80"/>
      <c r="C15" s="80"/>
      <c r="F15" s="413"/>
    </row>
    <row r="16" spans="1:9" ht="20.25" customHeight="1" thickBot="1" x14ac:dyDescent="0.4">
      <c r="A16" s="14"/>
      <c r="B16" s="80"/>
      <c r="C16" s="80"/>
      <c r="F16" s="413"/>
    </row>
    <row r="17" spans="1:9" ht="20.25" customHeight="1" thickBot="1" x14ac:dyDescent="0.4">
      <c r="A17" s="14"/>
      <c r="B17" s="80"/>
      <c r="C17" s="80"/>
      <c r="F17" s="413"/>
    </row>
    <row r="18" spans="1:9" ht="20.25" customHeight="1" thickBot="1" x14ac:dyDescent="0.3">
      <c r="A18" s="14"/>
      <c r="B18" s="80"/>
      <c r="C18" s="80"/>
      <c r="F18" s="413"/>
    </row>
    <row r="19" spans="1:9" ht="20.25" customHeight="1" thickBot="1" x14ac:dyDescent="0.3">
      <c r="A19" s="44" t="s">
        <v>314</v>
      </c>
      <c r="B19" s="80"/>
      <c r="C19" s="80"/>
      <c r="E19" s="410">
        <f>SUM(B20,B22)-B19</f>
        <v>0</v>
      </c>
      <c r="F19" s="413">
        <f>SUM(C20,C22)-C19</f>
        <v>0</v>
      </c>
      <c r="H19" s="410">
        <f>B19-SUM('P&amp;L'!$D$36,'P&amp;L'!$D$42,'P&amp;L'!$D$44,'P&amp;L'!$D$45,'P&amp;L'!$D$47,'P&amp;L'!$D$49,'P&amp;L'!$D$51,'P&amp;L'!$D$53)</f>
        <v>0</v>
      </c>
      <c r="I19" s="413">
        <f>C19-SUM('P&amp;L'!$E$36,'P&amp;L'!$E$42,'P&amp;L'!$E$44,'P&amp;L'!$E$45,'P&amp;L'!$E$47,'P&amp;L'!$E$49,'P&amp;L'!$E$51,'P&amp;L'!$E$53)</f>
        <v>0</v>
      </c>
    </row>
    <row r="20" spans="1:9" ht="20.25" customHeight="1" thickBot="1" x14ac:dyDescent="0.3">
      <c r="A20" s="128" t="s">
        <v>315</v>
      </c>
      <c r="B20" s="125"/>
      <c r="C20" s="125"/>
      <c r="E20" s="410"/>
      <c r="F20" s="413"/>
      <c r="H20" s="410">
        <f>B20-'P&amp;L'!$D$49</f>
        <v>0</v>
      </c>
      <c r="I20" s="413">
        <f>C20-'P&amp;L'!$E$49</f>
        <v>0</v>
      </c>
    </row>
    <row r="21" spans="1:9" ht="20.25" customHeight="1" thickBot="1" x14ac:dyDescent="0.3">
      <c r="A21" s="14" t="s">
        <v>316</v>
      </c>
      <c r="B21" s="80"/>
      <c r="C21" s="80"/>
      <c r="F21" s="413"/>
    </row>
    <row r="22" spans="1:9" ht="20.25" customHeight="1" thickBot="1" x14ac:dyDescent="0.3">
      <c r="A22" s="128" t="s">
        <v>317</v>
      </c>
      <c r="B22" s="125"/>
      <c r="C22" s="125"/>
      <c r="E22" s="410">
        <f>SUM(B23:B24)-B22</f>
        <v>0</v>
      </c>
      <c r="F22" s="413">
        <f>SUM(C23:C24)-C22</f>
        <v>0</v>
      </c>
    </row>
    <row r="23" spans="1:9" ht="20.25" customHeight="1" thickBot="1" x14ac:dyDescent="0.3">
      <c r="A23" s="14"/>
      <c r="B23" s="80"/>
      <c r="C23" s="80"/>
      <c r="F23" s="413"/>
    </row>
    <row r="24" spans="1:9" ht="20.25" customHeight="1" thickBot="1" x14ac:dyDescent="0.3">
      <c r="A24" s="14"/>
      <c r="B24" s="80"/>
      <c r="C24" s="80"/>
      <c r="F24" s="413"/>
    </row>
    <row r="25" spans="1:9" ht="20.25" customHeight="1" thickBot="1" x14ac:dyDescent="0.3">
      <c r="A25" s="104" t="s">
        <v>318</v>
      </c>
      <c r="B25" s="126"/>
      <c r="C25" s="126"/>
      <c r="E25" s="410">
        <f>SUM(B26:B27)-B25</f>
        <v>0</v>
      </c>
      <c r="F25" s="413">
        <f>SUM(C26:C27)-C25</f>
        <v>0</v>
      </c>
      <c r="H25" s="410">
        <f>B25-'P&amp;L'!$D$61</f>
        <v>0</v>
      </c>
      <c r="I25" s="413">
        <f>C25-'P&amp;L'!$E$61</f>
        <v>0</v>
      </c>
    </row>
    <row r="26" spans="1:9" ht="20.25" customHeight="1" thickBot="1" x14ac:dyDescent="0.3">
      <c r="A26" s="105"/>
      <c r="B26" s="121"/>
      <c r="C26" s="121"/>
      <c r="F26" s="413"/>
    </row>
    <row r="27" spans="1:9" ht="20.25" customHeight="1" thickBot="1" x14ac:dyDescent="0.3">
      <c r="A27" s="25"/>
      <c r="B27" s="78"/>
      <c r="C27" s="78"/>
      <c r="F27" s="413"/>
    </row>
    <row r="28" spans="1:9" ht="17.25" thickTop="1" x14ac:dyDescent="0.3">
      <c r="A28" s="1"/>
      <c r="F28" s="413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E9:F9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F3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F4:F28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E3:F26">
    <cfRule type="cellIs" priority="8" stopIfTrue="1" operator="greaterThan">
      <formula>0</formula>
    </cfRule>
  </conditionalFormatting>
  <conditionalFormatting sqref="E3:F29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F3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H3:I29">
    <cfRule type="cellIs" dxfId="3" priority="1" operator="lessThan">
      <formula>0</formula>
    </cfRule>
    <cfRule type="cellIs" dxfId="2" priority="2" operator="greaterThan">
      <formula>0</formula>
    </cfRule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59" t="s">
        <v>131</v>
      </c>
      <c r="B2" s="38" t="s">
        <v>2</v>
      </c>
      <c r="C2" s="38" t="s">
        <v>3</v>
      </c>
    </row>
    <row r="3" spans="1:3" ht="29.25" customHeight="1" thickTop="1" thickBot="1" x14ac:dyDescent="0.3">
      <c r="A3" s="122" t="s">
        <v>320</v>
      </c>
      <c r="B3" s="15"/>
      <c r="C3" s="15"/>
    </row>
    <row r="4" spans="1:3" ht="29.25" customHeight="1" thickBot="1" x14ac:dyDescent="0.3">
      <c r="A4" s="129" t="s">
        <v>321</v>
      </c>
      <c r="B4" s="15"/>
      <c r="C4" s="15"/>
    </row>
    <row r="5" spans="1:3" ht="52.5" customHeight="1" thickBot="1" x14ac:dyDescent="0.3">
      <c r="A5" s="119" t="s">
        <v>322</v>
      </c>
      <c r="B5" s="15"/>
      <c r="C5" s="15"/>
    </row>
    <row r="6" spans="1:3" ht="52.5" customHeight="1" thickBot="1" x14ac:dyDescent="0.3">
      <c r="A6" s="14" t="s">
        <v>323</v>
      </c>
      <c r="B6" s="15"/>
      <c r="C6" s="15"/>
    </row>
    <row r="7" spans="1:3" ht="51" customHeight="1" thickBot="1" x14ac:dyDescent="0.3">
      <c r="A7" s="122" t="s">
        <v>324</v>
      </c>
      <c r="B7" s="15"/>
      <c r="C7" s="15"/>
    </row>
    <row r="8" spans="1:3" ht="30.75" customHeight="1" thickBot="1" x14ac:dyDescent="0.3">
      <c r="A8" s="130" t="s">
        <v>325</v>
      </c>
      <c r="B8" s="17"/>
      <c r="C8" s="17"/>
    </row>
    <row r="9" spans="1:3" thickTop="1" x14ac:dyDescent="0.35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407" customWidth="1"/>
    <col min="11" max="11" width="31.140625" style="412" customWidth="1"/>
  </cols>
  <sheetData>
    <row r="1" spans="1:11" ht="17.25" thickBot="1" x14ac:dyDescent="0.35">
      <c r="A1" s="1" t="s">
        <v>326</v>
      </c>
      <c r="J1" s="1325" t="s">
        <v>1141</v>
      </c>
      <c r="K1" s="1327"/>
    </row>
    <row r="2" spans="1:11" ht="35.25" customHeight="1" thickTop="1" thickBot="1" x14ac:dyDescent="0.3">
      <c r="A2" s="1308" t="s">
        <v>131</v>
      </c>
      <c r="B2" s="1310" t="s">
        <v>2</v>
      </c>
      <c r="C2" s="1315"/>
      <c r="D2" s="1311"/>
      <c r="E2" s="1310" t="s">
        <v>3</v>
      </c>
      <c r="F2" s="1315"/>
      <c r="G2" s="1311"/>
      <c r="J2" s="176" t="s">
        <v>2</v>
      </c>
      <c r="K2" s="59" t="s">
        <v>3</v>
      </c>
    </row>
    <row r="3" spans="1:11" s="131" customFormat="1" ht="16.5" thickTop="1" thickBot="1" x14ac:dyDescent="0.3">
      <c r="A3" s="1309"/>
      <c r="B3" s="21" t="s">
        <v>327</v>
      </c>
      <c r="C3" s="21" t="s">
        <v>328</v>
      </c>
      <c r="D3" s="21" t="s">
        <v>329</v>
      </c>
      <c r="E3" s="21" t="s">
        <v>327</v>
      </c>
      <c r="F3" s="21" t="s">
        <v>328</v>
      </c>
      <c r="G3" s="21" t="s">
        <v>329</v>
      </c>
      <c r="J3" s="456"/>
      <c r="K3" s="436"/>
    </row>
    <row r="4" spans="1:11" ht="20.25" customHeight="1" thickTop="1" thickBot="1" x14ac:dyDescent="0.3">
      <c r="A4" s="14" t="s">
        <v>330</v>
      </c>
      <c r="B4" s="79"/>
      <c r="C4" s="106" t="s">
        <v>18</v>
      </c>
      <c r="D4" s="168" t="s">
        <v>18</v>
      </c>
      <c r="E4" s="79"/>
      <c r="F4" s="106" t="s">
        <v>18</v>
      </c>
      <c r="G4" s="168" t="s">
        <v>18</v>
      </c>
      <c r="J4" s="410">
        <f>B4-'P&amp;L'!$D$55</f>
        <v>0</v>
      </c>
      <c r="K4" s="413">
        <f>E4-'P&amp;L'!$E$55</f>
        <v>0</v>
      </c>
    </row>
    <row r="5" spans="1:11" ht="20.25" customHeight="1" thickBot="1" x14ac:dyDescent="0.3">
      <c r="A5" s="14" t="s">
        <v>331</v>
      </c>
      <c r="B5" s="106" t="s">
        <v>18</v>
      </c>
      <c r="C5" s="79"/>
      <c r="D5" s="118"/>
      <c r="E5" s="106" t="s">
        <v>18</v>
      </c>
      <c r="F5" s="79"/>
      <c r="G5" s="118"/>
    </row>
    <row r="6" spans="1:11" ht="20.25" customHeight="1" thickBot="1" x14ac:dyDescent="0.3">
      <c r="A6" s="14" t="s">
        <v>332</v>
      </c>
      <c r="B6" s="79"/>
      <c r="C6" s="79"/>
      <c r="D6" s="118"/>
      <c r="E6" s="79"/>
      <c r="F6" s="79"/>
      <c r="G6" s="118"/>
    </row>
    <row r="7" spans="1:11" ht="20.25" customHeight="1" thickBot="1" x14ac:dyDescent="0.3">
      <c r="A7" s="14" t="s">
        <v>333</v>
      </c>
      <c r="B7" s="79"/>
      <c r="C7" s="79"/>
      <c r="D7" s="118"/>
      <c r="E7" s="79"/>
      <c r="F7" s="79"/>
      <c r="G7" s="118"/>
    </row>
    <row r="8" spans="1:11" ht="20.25" customHeight="1" thickBot="1" x14ac:dyDescent="0.3">
      <c r="A8" s="14" t="s">
        <v>334</v>
      </c>
      <c r="B8" s="79"/>
      <c r="C8" s="79"/>
      <c r="D8" s="118"/>
      <c r="E8" s="79"/>
      <c r="F8" s="79"/>
      <c r="G8" s="118"/>
    </row>
    <row r="9" spans="1:11" ht="20.25" customHeight="1" thickBot="1" x14ac:dyDescent="0.3">
      <c r="A9" s="14" t="s">
        <v>14</v>
      </c>
      <c r="B9" s="79"/>
      <c r="C9" s="79"/>
      <c r="D9" s="118"/>
      <c r="E9" s="79"/>
      <c r="F9" s="79"/>
      <c r="G9" s="118"/>
    </row>
    <row r="10" spans="1:11" ht="20.25" customHeight="1" thickBot="1" x14ac:dyDescent="0.3">
      <c r="A10" s="14" t="s">
        <v>335</v>
      </c>
      <c r="B10" s="106" t="s">
        <v>18</v>
      </c>
      <c r="C10" s="79"/>
      <c r="D10" s="118"/>
      <c r="E10" s="106" t="s">
        <v>18</v>
      </c>
      <c r="F10" s="79"/>
      <c r="G10" s="118"/>
      <c r="J10" s="410">
        <f>C10-'P&amp;L'!$D$57-'P&amp;L'!$D$64</f>
        <v>0</v>
      </c>
      <c r="K10" s="413">
        <f>F10-'P&amp;L'!$E$57-'P&amp;L'!$E$64</f>
        <v>0</v>
      </c>
    </row>
    <row r="11" spans="1:11" ht="20.25" customHeight="1" thickBot="1" x14ac:dyDescent="0.3">
      <c r="A11" s="14" t="s">
        <v>336</v>
      </c>
      <c r="B11" s="106" t="s">
        <v>18</v>
      </c>
      <c r="C11" s="79"/>
      <c r="D11" s="118"/>
      <c r="E11" s="106" t="s">
        <v>18</v>
      </c>
      <c r="F11" s="79"/>
      <c r="G11" s="118"/>
      <c r="J11" s="410">
        <f>C11-'P&amp;L'!$D$58-'P&amp;L'!$D$65</f>
        <v>0</v>
      </c>
      <c r="K11" s="413">
        <f>F11-'P&amp;L'!$E$58-'P&amp;L'!$E$65</f>
        <v>0</v>
      </c>
    </row>
    <row r="12" spans="1:11" ht="20.25" customHeight="1" thickBot="1" x14ac:dyDescent="0.3">
      <c r="A12" s="16" t="s">
        <v>337</v>
      </c>
      <c r="B12" s="107" t="s">
        <v>18</v>
      </c>
      <c r="C12" s="85">
        <f>C10+C11</f>
        <v>0</v>
      </c>
      <c r="D12" s="167"/>
      <c r="E12" s="107" t="s">
        <v>18</v>
      </c>
      <c r="F12" s="85">
        <f>F10+F11</f>
        <v>0</v>
      </c>
      <c r="G12" s="167"/>
      <c r="J12" s="410">
        <f>C12-'P&amp;L'!$D$56-'P&amp;L'!$D$63</f>
        <v>0</v>
      </c>
      <c r="K12" s="413">
        <f>F12-'P&amp;L'!$E$56-'P&amp;L'!$E$63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1330" t="s">
        <v>372</v>
      </c>
      <c r="B2" s="1328" t="s">
        <v>373</v>
      </c>
      <c r="C2" s="1346"/>
      <c r="D2" s="1346"/>
      <c r="E2" s="1328" t="s">
        <v>374</v>
      </c>
      <c r="F2" s="1346"/>
      <c r="G2" s="1329"/>
      <c r="H2" s="20"/>
      <c r="I2" s="20"/>
    </row>
    <row r="3" spans="1:9" ht="20.25" customHeight="1" thickTop="1" thickBot="1" x14ac:dyDescent="0.3">
      <c r="A3" s="1331"/>
      <c r="B3" s="59" t="s">
        <v>375</v>
      </c>
      <c r="C3" s="59" t="s">
        <v>376</v>
      </c>
      <c r="D3" s="719" t="s">
        <v>377</v>
      </c>
      <c r="E3" s="59" t="s">
        <v>375</v>
      </c>
      <c r="F3" s="59" t="s">
        <v>376</v>
      </c>
      <c r="G3" s="59" t="s">
        <v>377</v>
      </c>
      <c r="H3" s="20"/>
      <c r="I3" s="20"/>
    </row>
    <row r="4" spans="1:9" ht="20.25" customHeight="1" thickTop="1" thickBot="1" x14ac:dyDescent="0.3">
      <c r="A4" s="1331"/>
      <c r="B4" s="1347" t="s">
        <v>378</v>
      </c>
      <c r="C4" s="1348"/>
      <c r="D4" s="1348"/>
      <c r="E4" s="1347" t="s">
        <v>378</v>
      </c>
      <c r="F4" s="1348"/>
      <c r="G4" s="1349"/>
      <c r="H4" s="20"/>
      <c r="I4" s="20"/>
    </row>
    <row r="5" spans="1:9" ht="24.75" customHeight="1" thickBot="1" x14ac:dyDescent="0.3">
      <c r="A5" s="1332"/>
      <c r="B5" s="1350" t="s">
        <v>379</v>
      </c>
      <c r="C5" s="1351"/>
      <c r="D5" s="1351"/>
      <c r="E5" s="1350" t="s">
        <v>379</v>
      </c>
      <c r="F5" s="1351"/>
      <c r="G5" s="1352"/>
      <c r="H5" s="20"/>
      <c r="I5" s="20"/>
    </row>
    <row r="6" spans="1:9" ht="20.25" customHeight="1" thickTop="1" thickBot="1" x14ac:dyDescent="0.3">
      <c r="A6" s="1342" t="s">
        <v>380</v>
      </c>
      <c r="B6" s="79"/>
      <c r="C6" s="169"/>
      <c r="D6" s="144"/>
      <c r="E6" s="79"/>
      <c r="F6" s="144"/>
      <c r="G6" s="77"/>
      <c r="H6" s="20"/>
      <c r="I6" s="20"/>
    </row>
    <row r="7" spans="1:9" ht="20.25" customHeight="1" thickBot="1" x14ac:dyDescent="0.3">
      <c r="A7" s="1345"/>
      <c r="B7" s="79"/>
      <c r="C7" s="170"/>
      <c r="D7" s="120"/>
      <c r="E7" s="79"/>
      <c r="F7" s="120"/>
      <c r="G7" s="121"/>
      <c r="H7" s="20"/>
      <c r="I7" s="20"/>
    </row>
    <row r="8" spans="1:9" ht="20.25" customHeight="1" thickBot="1" x14ac:dyDescent="0.3">
      <c r="A8" s="1344" t="s">
        <v>381</v>
      </c>
      <c r="B8" s="79"/>
      <c r="C8" s="170"/>
      <c r="D8" s="120"/>
      <c r="E8" s="79"/>
      <c r="F8" s="120"/>
      <c r="G8" s="121"/>
      <c r="H8" s="20"/>
      <c r="I8" s="20"/>
    </row>
    <row r="9" spans="1:9" ht="20.25" customHeight="1" thickBot="1" x14ac:dyDescent="0.3">
      <c r="A9" s="1343"/>
      <c r="B9" s="79"/>
      <c r="C9" s="170"/>
      <c r="D9" s="120"/>
      <c r="E9" s="79"/>
      <c r="F9" s="120"/>
      <c r="G9" s="121"/>
      <c r="H9" s="20"/>
      <c r="I9" s="20"/>
    </row>
    <row r="10" spans="1:9" ht="20.25" customHeight="1" thickTop="1" thickBot="1" x14ac:dyDescent="0.3">
      <c r="A10" s="1342" t="s">
        <v>382</v>
      </c>
      <c r="B10" s="79"/>
      <c r="C10" s="170"/>
      <c r="D10" s="120"/>
      <c r="E10" s="79"/>
      <c r="F10" s="120"/>
      <c r="G10" s="121"/>
      <c r="H10" s="20"/>
      <c r="I10" s="20"/>
    </row>
    <row r="11" spans="1:9" ht="20.25" customHeight="1" thickBot="1" x14ac:dyDescent="0.3">
      <c r="A11" s="1345"/>
      <c r="B11" s="79"/>
      <c r="C11" s="170"/>
      <c r="D11" s="120"/>
      <c r="E11" s="79"/>
      <c r="F11" s="120"/>
      <c r="G11" s="121"/>
      <c r="H11" s="20"/>
      <c r="I11" s="20"/>
    </row>
    <row r="12" spans="1:9" ht="20.25" customHeight="1" thickBot="1" x14ac:dyDescent="0.3">
      <c r="A12" s="1344" t="s">
        <v>383</v>
      </c>
      <c r="B12" s="79"/>
      <c r="C12" s="170"/>
      <c r="D12" s="120"/>
      <c r="E12" s="79"/>
      <c r="F12" s="120"/>
      <c r="G12" s="121"/>
      <c r="H12" s="20"/>
      <c r="I12" s="20"/>
    </row>
    <row r="13" spans="1:9" ht="20.25" customHeight="1" thickBot="1" x14ac:dyDescent="0.3">
      <c r="A13" s="1345"/>
      <c r="B13" s="79"/>
      <c r="C13" s="170"/>
      <c r="D13" s="120"/>
      <c r="E13" s="79"/>
      <c r="F13" s="120"/>
      <c r="G13" s="121"/>
      <c r="H13" s="20"/>
      <c r="I13" s="20"/>
    </row>
    <row r="14" spans="1:9" ht="20.25" customHeight="1" thickBot="1" x14ac:dyDescent="0.3">
      <c r="A14" s="1344" t="s">
        <v>384</v>
      </c>
      <c r="B14" s="79"/>
      <c r="C14" s="170"/>
      <c r="D14" s="120"/>
      <c r="E14" s="79"/>
      <c r="F14" s="120"/>
      <c r="G14" s="121"/>
      <c r="H14" s="20"/>
      <c r="I14" s="20"/>
    </row>
    <row r="15" spans="1:9" ht="20.25" customHeight="1" thickBot="1" x14ac:dyDescent="0.3">
      <c r="A15" s="1343"/>
      <c r="B15" s="79"/>
      <c r="C15" s="170"/>
      <c r="D15" s="120"/>
      <c r="E15" s="79"/>
      <c r="F15" s="120"/>
      <c r="G15" s="121"/>
      <c r="H15" s="20"/>
      <c r="I15" s="20"/>
    </row>
    <row r="16" spans="1:9" ht="20.25" customHeight="1" thickTop="1" thickBot="1" x14ac:dyDescent="0.3">
      <c r="A16" s="1342" t="s">
        <v>385</v>
      </c>
      <c r="B16" s="79"/>
      <c r="C16" s="170"/>
      <c r="D16" s="120"/>
      <c r="E16" s="79"/>
      <c r="F16" s="120"/>
      <c r="G16" s="121"/>
      <c r="H16" s="20"/>
      <c r="I16" s="20"/>
    </row>
    <row r="17" spans="1:9" ht="20.25" customHeight="1" thickBot="1" x14ac:dyDescent="0.3">
      <c r="A17" s="1343"/>
      <c r="B17" s="79"/>
      <c r="C17" s="170"/>
      <c r="D17" s="120"/>
      <c r="E17" s="79"/>
      <c r="F17" s="120"/>
      <c r="G17" s="121"/>
      <c r="H17" s="20"/>
      <c r="I17" s="20"/>
    </row>
    <row r="18" spans="1:9" ht="20.25" customHeight="1" thickTop="1" thickBot="1" x14ac:dyDescent="0.3">
      <c r="A18" s="1342" t="s">
        <v>287</v>
      </c>
      <c r="B18" s="79"/>
      <c r="C18" s="170"/>
      <c r="D18" s="120"/>
      <c r="E18" s="79"/>
      <c r="F18" s="120"/>
      <c r="G18" s="121"/>
      <c r="H18" s="20"/>
      <c r="I18" s="20"/>
    </row>
    <row r="19" spans="1:9" ht="20.25" customHeight="1" thickBot="1" x14ac:dyDescent="0.3">
      <c r="A19" s="1343"/>
      <c r="B19" s="85"/>
      <c r="C19" s="171"/>
      <c r="D19" s="146"/>
      <c r="E19" s="85"/>
      <c r="F19" s="146"/>
      <c r="G19" s="127"/>
      <c r="H19" s="20"/>
      <c r="I19" s="20"/>
    </row>
    <row r="20" spans="1:9" ht="15.75" thickTop="1" x14ac:dyDescent="0.25">
      <c r="A20" s="48"/>
      <c r="B20" s="48"/>
      <c r="C20" s="48"/>
      <c r="D20" s="48"/>
      <c r="E20" s="48"/>
      <c r="F20" s="48"/>
      <c r="G20" s="48"/>
      <c r="H20" s="20"/>
      <c r="I20" s="20"/>
    </row>
    <row r="21" spans="1:9" x14ac:dyDescent="0.25">
      <c r="A21" s="172"/>
      <c r="B21" s="20"/>
      <c r="C21" s="20"/>
      <c r="D21" s="20"/>
      <c r="E21" s="20"/>
      <c r="F21" s="20"/>
      <c r="G21" s="20"/>
      <c r="H21" s="20"/>
      <c r="I21" s="20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1308" t="s">
        <v>387</v>
      </c>
      <c r="B3" s="1308" t="s">
        <v>388</v>
      </c>
      <c r="C3" s="1310" t="s">
        <v>389</v>
      </c>
      <c r="D3" s="1311"/>
    </row>
    <row r="4" spans="1:4" ht="33" customHeight="1" thickTop="1" thickBot="1" x14ac:dyDescent="0.3">
      <c r="A4" s="1309"/>
      <c r="B4" s="1309"/>
      <c r="C4" s="38" t="s">
        <v>2</v>
      </c>
      <c r="D4" s="38" t="s">
        <v>390</v>
      </c>
    </row>
    <row r="5" spans="1:4" ht="18.75" customHeight="1" thickTop="1" thickBot="1" x14ac:dyDescent="0.3">
      <c r="A5" s="132"/>
      <c r="B5" s="135"/>
      <c r="C5" s="80"/>
      <c r="D5" s="80"/>
    </row>
    <row r="6" spans="1:4" ht="18.75" customHeight="1" thickBot="1" x14ac:dyDescent="0.3">
      <c r="A6" s="132"/>
      <c r="B6" s="135"/>
      <c r="C6" s="80"/>
      <c r="D6" s="80"/>
    </row>
    <row r="7" spans="1:4" ht="18.75" customHeight="1" thickBot="1" x14ac:dyDescent="0.3">
      <c r="A7" s="133"/>
      <c r="B7" s="123"/>
      <c r="C7" s="80"/>
      <c r="D7" s="80"/>
    </row>
    <row r="8" spans="1:4" ht="18.75" customHeight="1" thickBot="1" x14ac:dyDescent="0.3">
      <c r="A8" s="133"/>
      <c r="B8" s="123"/>
      <c r="C8" s="80"/>
      <c r="D8" s="80"/>
    </row>
    <row r="9" spans="1:4" ht="18.75" customHeight="1" thickBot="1" x14ac:dyDescent="0.3">
      <c r="A9" s="133"/>
      <c r="B9" s="123"/>
      <c r="C9" s="80"/>
      <c r="D9" s="80"/>
    </row>
    <row r="10" spans="1:4" ht="18.75" customHeight="1" thickBot="1" x14ac:dyDescent="0.3">
      <c r="A10" s="133"/>
      <c r="B10" s="123"/>
      <c r="C10" s="80"/>
      <c r="D10" s="80"/>
    </row>
    <row r="11" spans="1:4" ht="18.75" customHeight="1" thickBot="1" x14ac:dyDescent="0.3">
      <c r="A11" s="133"/>
      <c r="B11" s="123"/>
      <c r="C11" s="80"/>
      <c r="D11" s="80"/>
    </row>
    <row r="12" spans="1:4" ht="18.75" customHeight="1" thickBot="1" x14ac:dyDescent="0.3">
      <c r="A12" s="133"/>
      <c r="B12" s="123"/>
      <c r="C12" s="80"/>
      <c r="D12" s="80"/>
    </row>
    <row r="13" spans="1:4" ht="18.75" customHeight="1" thickBot="1" x14ac:dyDescent="0.3">
      <c r="A13" s="132"/>
      <c r="B13" s="135"/>
      <c r="C13" s="80"/>
      <c r="D13" s="80"/>
    </row>
    <row r="14" spans="1:4" ht="18.75" customHeight="1" thickBot="1" x14ac:dyDescent="0.3">
      <c r="A14" s="134"/>
      <c r="B14" s="124"/>
      <c r="C14" s="78"/>
      <c r="D14" s="78"/>
    </row>
    <row r="15" spans="1:4" thickTop="1" x14ac:dyDescent="0.35">
      <c r="A15" s="20"/>
      <c r="B15" s="20"/>
      <c r="C15" s="20"/>
      <c r="D15" s="20"/>
    </row>
    <row r="16" spans="1:4" ht="15.75" thickBot="1" x14ac:dyDescent="0.3">
      <c r="A16" s="20" t="s">
        <v>391</v>
      </c>
      <c r="B16" s="20"/>
      <c r="C16" s="20"/>
      <c r="D16" s="20"/>
    </row>
    <row r="17" spans="1:4" ht="19.5" customHeight="1" thickTop="1" thickBot="1" x14ac:dyDescent="0.3">
      <c r="A17" s="1308" t="s">
        <v>488</v>
      </c>
      <c r="B17" s="1308" t="s">
        <v>388</v>
      </c>
      <c r="C17" s="1310" t="s">
        <v>389</v>
      </c>
      <c r="D17" s="1311"/>
    </row>
    <row r="18" spans="1:4" ht="33" customHeight="1" thickTop="1" thickBot="1" x14ac:dyDescent="0.3">
      <c r="A18" s="1309"/>
      <c r="B18" s="1309"/>
      <c r="C18" s="38" t="s">
        <v>2</v>
      </c>
      <c r="D18" s="38" t="s">
        <v>390</v>
      </c>
    </row>
    <row r="19" spans="1:4" ht="18.75" customHeight="1" thickTop="1" thickBot="1" x14ac:dyDescent="0.3">
      <c r="A19" s="108"/>
      <c r="B19" s="123"/>
      <c r="C19" s="80"/>
      <c r="D19" s="80"/>
    </row>
    <row r="20" spans="1:4" ht="18.75" customHeight="1" thickBot="1" x14ac:dyDescent="0.3">
      <c r="A20" s="108"/>
      <c r="B20" s="123"/>
      <c r="C20" s="80"/>
      <c r="D20" s="80"/>
    </row>
    <row r="21" spans="1:4" ht="18.75" customHeight="1" thickBot="1" x14ac:dyDescent="0.3">
      <c r="A21" s="108"/>
      <c r="B21" s="123"/>
      <c r="C21" s="80"/>
      <c r="D21" s="80"/>
    </row>
    <row r="22" spans="1:4" ht="18.75" customHeight="1" thickBot="1" x14ac:dyDescent="0.3">
      <c r="A22" s="108"/>
      <c r="B22" s="123"/>
      <c r="C22" s="80"/>
      <c r="D22" s="80"/>
    </row>
    <row r="23" spans="1:4" ht="18.75" customHeight="1" thickBot="1" x14ac:dyDescent="0.3">
      <c r="A23" s="108"/>
      <c r="B23" s="123"/>
      <c r="C23" s="80"/>
      <c r="D23" s="80"/>
    </row>
    <row r="24" spans="1:4" ht="18.75" customHeight="1" thickBot="1" x14ac:dyDescent="0.3">
      <c r="A24" s="108"/>
      <c r="B24" s="123"/>
      <c r="C24" s="80"/>
      <c r="D24" s="80"/>
    </row>
    <row r="25" spans="1:4" ht="18.75" customHeight="1" thickBot="1" x14ac:dyDescent="0.3">
      <c r="A25" s="108"/>
      <c r="B25" s="123"/>
      <c r="C25" s="80"/>
      <c r="D25" s="80"/>
    </row>
    <row r="26" spans="1:4" ht="18.75" customHeight="1" thickBot="1" x14ac:dyDescent="0.3">
      <c r="A26" s="108"/>
      <c r="B26" s="123"/>
      <c r="C26" s="80"/>
      <c r="D26" s="80"/>
    </row>
    <row r="27" spans="1:4" ht="18.75" customHeight="1" thickBot="1" x14ac:dyDescent="0.3">
      <c r="A27" s="109"/>
      <c r="B27" s="124"/>
      <c r="C27" s="78"/>
      <c r="D27" s="78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9"/>
  </sheetPr>
  <dimension ref="A1:M42"/>
  <sheetViews>
    <sheetView showGridLines="0" workbookViewId="0">
      <selection activeCell="C20" sqref="C20"/>
    </sheetView>
  </sheetViews>
  <sheetFormatPr defaultColWidth="9.140625" defaultRowHeight="11.25" x14ac:dyDescent="0.2"/>
  <cols>
    <col min="1" max="1" width="19.85546875" style="740" customWidth="1"/>
    <col min="2" max="2" width="10.140625" style="740" bestFit="1" customWidth="1"/>
    <col min="3" max="3" width="14.140625" style="740" customWidth="1"/>
    <col min="4" max="4" width="2.85546875" style="740" customWidth="1"/>
    <col min="5" max="5" width="18.5703125" style="740" customWidth="1"/>
    <col min="6" max="6" width="27.7109375" style="740" customWidth="1"/>
    <col min="7" max="7" width="2.28515625" style="740" bestFit="1" customWidth="1"/>
    <col min="8" max="8" width="5" style="740" customWidth="1"/>
    <col min="9" max="16384" width="9.140625" style="740"/>
  </cols>
  <sheetData>
    <row r="1" spans="1:13" ht="12" thickBot="1" x14ac:dyDescent="0.25">
      <c r="A1" s="736" t="s">
        <v>1423</v>
      </c>
      <c r="B1" s="737"/>
      <c r="C1" s="738"/>
      <c r="D1" s="738"/>
      <c r="E1" s="738"/>
      <c r="F1" s="738"/>
      <c r="G1" s="739"/>
    </row>
    <row r="2" spans="1:13" ht="12" thickBot="1" x14ac:dyDescent="0.25">
      <c r="A2" s="741" t="s">
        <v>1493</v>
      </c>
      <c r="B2" s="742"/>
      <c r="C2" s="742"/>
      <c r="D2" s="742"/>
      <c r="E2" s="742"/>
      <c r="F2" s="742"/>
      <c r="G2" s="743"/>
      <c r="H2" s="744"/>
    </row>
    <row r="3" spans="1:13" ht="25.5" customHeight="1" thickBot="1" x14ac:dyDescent="0.25">
      <c r="A3" s="1356" t="s">
        <v>1494</v>
      </c>
      <c r="B3" s="1357"/>
      <c r="C3" s="1357"/>
      <c r="D3" s="745"/>
      <c r="E3" s="746" t="s">
        <v>1422</v>
      </c>
      <c r="F3" s="747"/>
      <c r="G3" s="748"/>
    </row>
    <row r="4" spans="1:13" x14ac:dyDescent="0.2">
      <c r="A4" s="749"/>
      <c r="B4" s="750"/>
      <c r="C4" s="750"/>
      <c r="D4" s="750"/>
      <c r="E4" s="750"/>
      <c r="F4" s="750"/>
      <c r="G4" s="751"/>
    </row>
    <row r="5" spans="1:13" ht="12" thickBot="1" x14ac:dyDescent="0.25">
      <c r="A5" s="749"/>
      <c r="B5" s="750"/>
      <c r="C5" s="750"/>
      <c r="D5" s="750"/>
      <c r="E5" s="750"/>
      <c r="F5" s="750"/>
      <c r="G5" s="751"/>
      <c r="L5" s="1355"/>
      <c r="M5" s="1355"/>
    </row>
    <row r="6" spans="1:13" ht="12" thickBot="1" x14ac:dyDescent="0.25">
      <c r="A6" s="752" t="s">
        <v>1421</v>
      </c>
      <c r="B6" s="753">
        <f>YEAR(B7)</f>
        <v>2013</v>
      </c>
      <c r="C6" s="750"/>
      <c r="D6" s="754" t="s">
        <v>1415</v>
      </c>
      <c r="E6" s="755"/>
      <c r="F6" s="750"/>
      <c r="G6" s="751"/>
      <c r="L6" s="1355"/>
      <c r="M6" s="1355"/>
    </row>
    <row r="7" spans="1:13" x14ac:dyDescent="0.2">
      <c r="A7" s="756" t="s">
        <v>1412</v>
      </c>
      <c r="B7" s="879">
        <v>41275</v>
      </c>
      <c r="C7" s="750"/>
      <c r="D7" s="757" t="s">
        <v>18</v>
      </c>
      <c r="E7" s="758" t="s">
        <v>1420</v>
      </c>
      <c r="F7" s="750"/>
      <c r="G7" s="751"/>
      <c r="L7" s="759"/>
      <c r="M7" s="760"/>
    </row>
    <row r="8" spans="1:13" x14ac:dyDescent="0.2">
      <c r="A8" s="761" t="s">
        <v>1408</v>
      </c>
      <c r="B8" s="762" t="str">
        <f>CHOOSE(LEN(MONTH(B7)),"0"&amp;MONTH(B7),MONTH(B7))</f>
        <v>01</v>
      </c>
      <c r="C8" s="750"/>
      <c r="D8" s="763"/>
      <c r="E8" s="764" t="s">
        <v>1419</v>
      </c>
      <c r="F8" s="750"/>
      <c r="G8" s="751"/>
    </row>
    <row r="9" spans="1:13" ht="12" thickBot="1" x14ac:dyDescent="0.25">
      <c r="A9" s="761" t="s">
        <v>1418</v>
      </c>
      <c r="B9" s="765">
        <f>YEAR(B7)</f>
        <v>2013</v>
      </c>
      <c r="C9" s="750"/>
      <c r="D9" s="766"/>
      <c r="E9" s="767"/>
      <c r="F9" s="750"/>
      <c r="G9" s="751"/>
    </row>
    <row r="10" spans="1:13" x14ac:dyDescent="0.2">
      <c r="A10" s="768" t="s">
        <v>1410</v>
      </c>
      <c r="B10" s="879">
        <v>41639</v>
      </c>
      <c r="C10" s="750"/>
      <c r="D10" s="769"/>
      <c r="E10" s="769"/>
      <c r="F10" s="750"/>
      <c r="G10" s="751"/>
    </row>
    <row r="11" spans="1:13" x14ac:dyDescent="0.2">
      <c r="A11" s="770" t="s">
        <v>1417</v>
      </c>
      <c r="B11" s="771" t="str">
        <f>DAY(B10)&amp;"."&amp;MONTH(B10)&amp;"."</f>
        <v>31.12.</v>
      </c>
      <c r="C11" s="750"/>
      <c r="D11" s="772"/>
      <c r="E11" s="773" t="s">
        <v>1167</v>
      </c>
      <c r="F11" s="750"/>
      <c r="G11" s="751"/>
    </row>
    <row r="12" spans="1:13" x14ac:dyDescent="0.2">
      <c r="A12" s="770" t="s">
        <v>1416</v>
      </c>
      <c r="B12" s="774" t="str">
        <f>RIGHT(YEAR(B10),2)</f>
        <v>13</v>
      </c>
      <c r="C12" s="750"/>
      <c r="D12" s="750"/>
      <c r="E12" s="775"/>
      <c r="F12" s="750"/>
      <c r="G12" s="751"/>
      <c r="K12" s="776"/>
    </row>
    <row r="13" spans="1:13" x14ac:dyDescent="0.2">
      <c r="A13" s="761" t="s">
        <v>1408</v>
      </c>
      <c r="B13" s="762">
        <f>CHOOSE(LEN(MONTH(B10)),"0"&amp;MONTH(B10),MONTH(B10))</f>
        <v>12</v>
      </c>
      <c r="C13" s="777"/>
      <c r="D13" s="750"/>
      <c r="E13" s="750"/>
      <c r="F13" s="750"/>
      <c r="G13" s="751"/>
      <c r="H13" s="744"/>
    </row>
    <row r="14" spans="1:13" ht="12" thickBot="1" x14ac:dyDescent="0.25">
      <c r="A14" s="778" t="s">
        <v>1407</v>
      </c>
      <c r="B14" s="765">
        <f>YEAR(B10)</f>
        <v>2013</v>
      </c>
      <c r="C14" s="779"/>
      <c r="D14" s="750"/>
      <c r="E14" s="750"/>
      <c r="F14" s="750"/>
      <c r="G14" s="751"/>
      <c r="H14" s="744"/>
    </row>
    <row r="15" spans="1:13" ht="12" thickBot="1" x14ac:dyDescent="0.25">
      <c r="A15" s="749"/>
      <c r="B15" s="780"/>
      <c r="C15" s="750"/>
      <c r="D15" s="754" t="s">
        <v>1415</v>
      </c>
      <c r="E15" s="755"/>
      <c r="F15" s="750"/>
      <c r="G15" s="751"/>
    </row>
    <row r="16" spans="1:13" ht="12" thickBot="1" x14ac:dyDescent="0.25">
      <c r="A16" s="781" t="s">
        <v>1414</v>
      </c>
      <c r="B16" s="782">
        <f>YEAR(B17)</f>
        <v>2012</v>
      </c>
      <c r="C16" s="750"/>
      <c r="D16" s="783" t="s">
        <v>18</v>
      </c>
      <c r="E16" s="784" t="s">
        <v>1413</v>
      </c>
      <c r="F16" s="750"/>
      <c r="G16" s="751"/>
    </row>
    <row r="17" spans="1:9" ht="12" thickBot="1" x14ac:dyDescent="0.25">
      <c r="A17" s="756" t="s">
        <v>1412</v>
      </c>
      <c r="B17" s="879">
        <v>40909</v>
      </c>
      <c r="C17" s="750"/>
      <c r="D17" s="785"/>
      <c r="E17" s="786" t="s">
        <v>1411</v>
      </c>
      <c r="F17" s="750"/>
      <c r="G17" s="751"/>
    </row>
    <row r="18" spans="1:9" x14ac:dyDescent="0.2">
      <c r="A18" s="761" t="s">
        <v>1408</v>
      </c>
      <c r="B18" s="787" t="str">
        <f>CHOOSE(LEN(MONTH(B17)),"0"&amp;MONTH(B17),MONTH(B17))</f>
        <v>01</v>
      </c>
      <c r="C18" s="750"/>
      <c r="D18" s="750"/>
      <c r="E18" s="750"/>
      <c r="F18" s="750"/>
      <c r="G18" s="751"/>
    </row>
    <row r="19" spans="1:9" ht="12" thickBot="1" x14ac:dyDescent="0.25">
      <c r="A19" s="778" t="s">
        <v>1407</v>
      </c>
      <c r="B19" s="765">
        <f>YEAR(B17)</f>
        <v>2012</v>
      </c>
      <c r="C19" s="750"/>
      <c r="D19" s="750"/>
      <c r="E19" s="750"/>
      <c r="F19" s="750"/>
      <c r="G19" s="751"/>
    </row>
    <row r="20" spans="1:9" ht="12" thickBot="1" x14ac:dyDescent="0.25">
      <c r="A20" s="768" t="s">
        <v>1410</v>
      </c>
      <c r="B20" s="879">
        <v>41274</v>
      </c>
      <c r="C20" s="750"/>
      <c r="D20" s="750"/>
      <c r="E20" s="736" t="s">
        <v>1409</v>
      </c>
      <c r="F20" s="788"/>
      <c r="G20" s="751"/>
    </row>
    <row r="21" spans="1:9" x14ac:dyDescent="0.2">
      <c r="A21" s="761" t="s">
        <v>1408</v>
      </c>
      <c r="B21" s="762">
        <f>CHOOSE(LEN(MONTH(B20)),"0"&amp;MONTH(B20),MONTH(B20))</f>
        <v>12</v>
      </c>
      <c r="C21" s="750"/>
      <c r="D21" s="750"/>
      <c r="E21" s="750"/>
      <c r="F21" s="750"/>
      <c r="G21" s="751"/>
    </row>
    <row r="22" spans="1:9" ht="12" thickBot="1" x14ac:dyDescent="0.25">
      <c r="A22" s="778" t="s">
        <v>1407</v>
      </c>
      <c r="B22" s="765">
        <f>YEAR(B20)</f>
        <v>2012</v>
      </c>
      <c r="C22" s="750"/>
      <c r="D22" s="750"/>
      <c r="E22" s="750"/>
      <c r="F22" s="750"/>
      <c r="G22" s="751"/>
    </row>
    <row r="23" spans="1:9" ht="11.1" thickBot="1" x14ac:dyDescent="0.3">
      <c r="A23" s="789"/>
      <c r="B23" s="779"/>
      <c r="C23" s="750"/>
      <c r="D23" s="750"/>
      <c r="E23" s="750"/>
      <c r="F23" s="750"/>
      <c r="G23" s="751"/>
      <c r="I23" s="872"/>
    </row>
    <row r="24" spans="1:9" ht="12" thickBot="1" x14ac:dyDescent="0.25">
      <c r="A24" s="736" t="s">
        <v>1406</v>
      </c>
      <c r="B24" s="738"/>
      <c r="C24" s="790"/>
      <c r="D24" s="750"/>
      <c r="E24" s="750"/>
      <c r="F24" s="750"/>
      <c r="G24" s="751"/>
    </row>
    <row r="25" spans="1:9" ht="11.1" thickBot="1" x14ac:dyDescent="0.25">
      <c r="A25" s="749"/>
      <c r="B25" s="750"/>
      <c r="C25" s="750"/>
      <c r="D25" s="750"/>
      <c r="E25" s="791" t="s">
        <v>1405</v>
      </c>
      <c r="F25" s="792"/>
      <c r="G25" s="751"/>
    </row>
    <row r="26" spans="1:9" ht="12" thickBot="1" x14ac:dyDescent="0.25">
      <c r="A26" s="736" t="s">
        <v>1404</v>
      </c>
      <c r="B26" s="738"/>
      <c r="C26" s="871"/>
      <c r="D26" s="750"/>
      <c r="E26" s="789"/>
      <c r="F26" s="751"/>
      <c r="G26" s="751"/>
    </row>
    <row r="27" spans="1:9" ht="11.1" thickBot="1" x14ac:dyDescent="0.25">
      <c r="A27" s="749"/>
      <c r="B27" s="750"/>
      <c r="C27" s="750"/>
      <c r="D27" s="793"/>
      <c r="E27" s="794" t="s">
        <v>1403</v>
      </c>
      <c r="F27" s="795"/>
      <c r="G27" s="751"/>
    </row>
    <row r="28" spans="1:9" ht="11.1" thickBot="1" x14ac:dyDescent="0.3">
      <c r="A28" s="796" t="s">
        <v>1402</v>
      </c>
      <c r="B28" s="797"/>
      <c r="C28" s="798"/>
      <c r="D28" s="799"/>
      <c r="E28" s="750"/>
      <c r="F28" s="750"/>
      <c r="G28" s="751"/>
    </row>
    <row r="29" spans="1:9" ht="10.5" x14ac:dyDescent="0.2">
      <c r="A29" s="800"/>
      <c r="B29" s="801"/>
      <c r="C29" s="802"/>
      <c r="D29" s="799"/>
      <c r="E29" s="803" t="s">
        <v>1398</v>
      </c>
      <c r="F29" s="755"/>
      <c r="G29" s="751"/>
    </row>
    <row r="30" spans="1:9" ht="10.5" x14ac:dyDescent="0.2">
      <c r="A30" s="804" t="s">
        <v>1401</v>
      </c>
      <c r="B30" s="805"/>
      <c r="C30" s="806"/>
      <c r="D30" s="750"/>
      <c r="E30" s="807" t="s">
        <v>1400</v>
      </c>
      <c r="F30" s="808"/>
      <c r="G30" s="751"/>
    </row>
    <row r="31" spans="1:9" ht="12" thickBot="1" x14ac:dyDescent="0.25">
      <c r="A31" s="749"/>
      <c r="B31" s="750"/>
      <c r="C31" s="751"/>
      <c r="D31" s="750"/>
      <c r="E31" s="809" t="s">
        <v>1391</v>
      </c>
      <c r="F31" s="810"/>
      <c r="G31" s="751"/>
    </row>
    <row r="32" spans="1:9" ht="12" thickBot="1" x14ac:dyDescent="0.25">
      <c r="A32" s="804" t="s">
        <v>1399</v>
      </c>
      <c r="B32" s="811"/>
      <c r="C32" s="812"/>
      <c r="D32" s="750"/>
      <c r="E32" s="750"/>
      <c r="F32" s="813"/>
      <c r="G32" s="751"/>
    </row>
    <row r="33" spans="1:7" x14ac:dyDescent="0.2">
      <c r="A33" s="749"/>
      <c r="B33" s="814"/>
      <c r="C33" s="751"/>
      <c r="D33" s="750"/>
      <c r="E33" s="803" t="s">
        <v>1398</v>
      </c>
      <c r="F33" s="755"/>
      <c r="G33" s="751"/>
    </row>
    <row r="34" spans="1:7" ht="12" thickBot="1" x14ac:dyDescent="0.25">
      <c r="A34" s="815" t="s">
        <v>1397</v>
      </c>
      <c r="B34" s="816"/>
      <c r="C34" s="817"/>
      <c r="D34" s="750"/>
      <c r="E34" s="807" t="s">
        <v>1396</v>
      </c>
      <c r="F34" s="808"/>
      <c r="G34" s="751"/>
    </row>
    <row r="35" spans="1:7" ht="12" thickBot="1" x14ac:dyDescent="0.25">
      <c r="A35" s="749"/>
      <c r="B35" s="813"/>
      <c r="C35" s="750"/>
      <c r="D35" s="750"/>
      <c r="E35" s="809" t="s">
        <v>1391</v>
      </c>
      <c r="F35" s="810"/>
      <c r="G35" s="751"/>
    </row>
    <row r="36" spans="1:7" ht="12" thickBot="1" x14ac:dyDescent="0.25">
      <c r="A36" s="818" t="s">
        <v>1395</v>
      </c>
      <c r="B36" s="819"/>
      <c r="C36" s="820"/>
      <c r="D36" s="821"/>
      <c r="E36" s="793"/>
      <c r="F36" s="793"/>
      <c r="G36" s="751"/>
    </row>
    <row r="37" spans="1:7" x14ac:dyDescent="0.2">
      <c r="A37" s="789"/>
      <c r="B37" s="814"/>
      <c r="C37" s="751"/>
      <c r="D37" s="750"/>
      <c r="E37" s="803" t="s">
        <v>1394</v>
      </c>
      <c r="F37" s="755"/>
      <c r="G37" s="751"/>
    </row>
    <row r="38" spans="1:7" x14ac:dyDescent="0.2">
      <c r="A38" s="822" t="s">
        <v>1393</v>
      </c>
      <c r="B38" s="811"/>
      <c r="C38" s="823"/>
      <c r="D38" s="750"/>
      <c r="E38" s="807" t="s">
        <v>1392</v>
      </c>
      <c r="F38" s="808"/>
      <c r="G38" s="751"/>
    </row>
    <row r="39" spans="1:7" ht="12" thickBot="1" x14ac:dyDescent="0.25">
      <c r="A39" s="824"/>
      <c r="B39" s="825"/>
      <c r="C39" s="826"/>
      <c r="D39" s="750"/>
      <c r="E39" s="809" t="s">
        <v>1391</v>
      </c>
      <c r="F39" s="810"/>
      <c r="G39" s="751"/>
    </row>
    <row r="40" spans="1:7" ht="12" thickBot="1" x14ac:dyDescent="0.25">
      <c r="A40" s="827" t="s">
        <v>1390</v>
      </c>
      <c r="B40" s="828"/>
      <c r="C40" s="829"/>
      <c r="D40" s="750"/>
      <c r="E40" s="750"/>
      <c r="F40" s="750"/>
      <c r="G40" s="751"/>
    </row>
    <row r="41" spans="1:7" ht="12" thickBot="1" x14ac:dyDescent="0.25">
      <c r="A41" s="749"/>
      <c r="B41" s="830"/>
      <c r="C41" s="750"/>
      <c r="D41" s="750"/>
      <c r="E41" s="750"/>
      <c r="F41" s="750"/>
      <c r="G41" s="751"/>
    </row>
    <row r="42" spans="1:7" ht="15.75" thickBot="1" x14ac:dyDescent="0.3">
      <c r="A42" s="831" t="s">
        <v>1389</v>
      </c>
      <c r="B42" s="1353"/>
      <c r="C42" s="1354"/>
      <c r="D42" s="832"/>
      <c r="E42" s="832"/>
      <c r="F42" s="832"/>
      <c r="G42" s="826"/>
    </row>
  </sheetData>
  <mergeCells count="3">
    <mergeCell ref="B42:C42"/>
    <mergeCell ref="L5:M6"/>
    <mergeCell ref="A3:C3"/>
  </mergeCells>
  <pageMargins left="0.75" right="0.75" top="1" bottom="1" header="0.5" footer="0.5"/>
  <pageSetup paperSize="9" orientation="portrait" r:id="rId1"/>
  <headerFooter alignWithMargins="0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K53"/>
  <sheetViews>
    <sheetView showGridLines="0" view="pageBreakPreview" zoomScaleNormal="100" zoomScaleSheetLayoutView="100" workbookViewId="0">
      <selection activeCell="AE29" sqref="AE29"/>
    </sheetView>
  </sheetViews>
  <sheetFormatPr defaultColWidth="9.140625" defaultRowHeight="12.75" x14ac:dyDescent="0.25"/>
  <cols>
    <col min="1" max="1" width="3" style="462" customWidth="1"/>
    <col min="2" max="45" width="2.5703125" style="462" customWidth="1"/>
    <col min="46" max="46" width="7.7109375" style="462" customWidth="1"/>
    <col min="47" max="61" width="2.5703125" style="462" customWidth="1"/>
    <col min="62" max="16384" width="9.140625" style="462"/>
  </cols>
  <sheetData>
    <row r="1" spans="1:37" s="572" customFormat="1" ht="9.75" x14ac:dyDescent="0.25">
      <c r="C1" s="573" t="s">
        <v>1145</v>
      </c>
    </row>
    <row r="2" spans="1:37" s="469" customFormat="1" ht="21" customHeight="1" x14ac:dyDescent="0.25">
      <c r="C2" s="571" t="s">
        <v>1146</v>
      </c>
      <c r="D2" s="570"/>
      <c r="E2" s="570"/>
      <c r="F2" s="570"/>
      <c r="G2" s="570"/>
      <c r="H2" s="570"/>
      <c r="I2" s="570"/>
      <c r="J2" s="569"/>
      <c r="Q2" s="568" t="s">
        <v>1147</v>
      </c>
    </row>
    <row r="3" spans="1:37" ht="13.5" thickBot="1" x14ac:dyDescent="0.3"/>
    <row r="4" spans="1:37" ht="28.5" customHeight="1" thickBot="1" x14ac:dyDescent="0.3">
      <c r="K4" s="567" t="s">
        <v>1148</v>
      </c>
      <c r="L4" s="566" t="str">
        <f>+MID('Input data'!$B$11,1,1)</f>
        <v>3</v>
      </c>
      <c r="M4" s="566" t="str">
        <f>+MID('Input data'!$B$11,2,1)</f>
        <v>1</v>
      </c>
      <c r="N4" s="566" t="s">
        <v>1149</v>
      </c>
      <c r="O4" s="566" t="str">
        <f>LEFT('Input data'!B13,1)</f>
        <v>1</v>
      </c>
      <c r="P4" s="566" t="str">
        <f>RIGHT('Input data'!B13,1)</f>
        <v>2</v>
      </c>
      <c r="Q4" s="566" t="s">
        <v>1149</v>
      </c>
      <c r="R4" s="566" t="str">
        <f>+LEFT('Input data'!$B$14,1)</f>
        <v>2</v>
      </c>
      <c r="S4" s="566" t="str">
        <f>+MID('Input data'!$B$14,2,1)</f>
        <v>0</v>
      </c>
      <c r="T4" s="566" t="str">
        <f>+MID('Input data'!$B$14,3,1)</f>
        <v>1</v>
      </c>
      <c r="U4" s="566" t="str">
        <f>+MID('Input data'!$B$14,4,1)</f>
        <v>3</v>
      </c>
      <c r="V4" s="565" t="s">
        <v>1150</v>
      </c>
      <c r="W4" s="564"/>
      <c r="X4" s="564"/>
      <c r="Y4" s="564"/>
      <c r="Z4" s="563"/>
    </row>
    <row r="5" spans="1:37" ht="7.5" customHeight="1" thickBot="1" x14ac:dyDescent="0.3"/>
    <row r="6" spans="1:37" s="559" customFormat="1" ht="14.25" customHeight="1" x14ac:dyDescent="0.25">
      <c r="A6" s="562" t="s">
        <v>1151</v>
      </c>
      <c r="B6" s="561"/>
      <c r="C6" s="561"/>
      <c r="D6" s="561"/>
      <c r="E6" s="561"/>
      <c r="F6" s="561"/>
      <c r="G6" s="561"/>
      <c r="H6" s="561"/>
      <c r="I6" s="561"/>
      <c r="J6" s="561"/>
      <c r="K6" s="561"/>
      <c r="L6" s="561"/>
      <c r="M6" s="561"/>
      <c r="N6" s="561"/>
      <c r="O6" s="561"/>
      <c r="P6" s="561"/>
      <c r="Q6" s="561"/>
      <c r="R6" s="561"/>
      <c r="S6" s="560"/>
      <c r="T6" s="561"/>
      <c r="U6" s="561"/>
      <c r="V6" s="561"/>
      <c r="W6" s="561"/>
      <c r="X6" s="561"/>
      <c r="Y6" s="561"/>
      <c r="Z6" s="561"/>
      <c r="AA6" s="561"/>
      <c r="AB6" s="561"/>
      <c r="AC6" s="561"/>
      <c r="AD6" s="561"/>
      <c r="AE6" s="561"/>
      <c r="AF6" s="561"/>
      <c r="AG6" s="561"/>
      <c r="AH6" s="561"/>
      <c r="AI6" s="561"/>
      <c r="AJ6" s="561"/>
      <c r="AK6" s="560"/>
    </row>
    <row r="7" spans="1:37" s="463" customFormat="1" ht="15" customHeight="1" x14ac:dyDescent="0.25">
      <c r="A7" s="475" t="s">
        <v>1152</v>
      </c>
      <c r="B7" s="474"/>
      <c r="C7" s="474"/>
      <c r="D7" s="474"/>
      <c r="E7" s="474"/>
      <c r="F7" s="474"/>
      <c r="G7" s="474"/>
      <c r="H7" s="474"/>
      <c r="I7" s="474"/>
      <c r="J7" s="474"/>
      <c r="K7" s="474"/>
      <c r="L7" s="474"/>
      <c r="M7" s="474"/>
      <c r="N7" s="474"/>
      <c r="O7" s="474"/>
      <c r="P7" s="474"/>
      <c r="Q7" s="474"/>
      <c r="R7" s="474"/>
      <c r="S7" s="558"/>
      <c r="T7" s="474"/>
      <c r="U7" s="474"/>
      <c r="V7" s="474"/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  <c r="AI7" s="474"/>
      <c r="AJ7" s="474"/>
      <c r="AK7" s="558"/>
    </row>
    <row r="8" spans="1:37" s="554" customFormat="1" ht="18" customHeight="1" thickBot="1" x14ac:dyDescent="0.3">
      <c r="A8" s="557" t="s">
        <v>1153</v>
      </c>
      <c r="B8" s="556"/>
      <c r="C8" s="556"/>
      <c r="D8" s="556"/>
      <c r="E8" s="557"/>
      <c r="F8" s="556"/>
      <c r="G8" s="556"/>
      <c r="H8" s="556"/>
      <c r="I8" s="556"/>
      <c r="J8" s="556"/>
      <c r="K8" s="556"/>
      <c r="L8" s="556"/>
      <c r="M8" s="556"/>
      <c r="N8" s="556"/>
      <c r="O8" s="556"/>
      <c r="P8" s="556"/>
      <c r="Q8" s="556"/>
      <c r="R8" s="556"/>
      <c r="S8" s="555"/>
      <c r="T8" s="556"/>
      <c r="U8" s="556"/>
      <c r="V8" s="556"/>
      <c r="W8" s="556"/>
      <c r="X8" s="556"/>
      <c r="Y8" s="556"/>
      <c r="Z8" s="556"/>
      <c r="AA8" s="556"/>
      <c r="AB8" s="556"/>
      <c r="AC8" s="556"/>
      <c r="AD8" s="556"/>
      <c r="AE8" s="556"/>
      <c r="AF8" s="556"/>
      <c r="AG8" s="556"/>
      <c r="AH8" s="556"/>
      <c r="AI8" s="556"/>
      <c r="AJ8" s="556"/>
      <c r="AK8" s="555"/>
    </row>
    <row r="9" spans="1:37" s="534" customFormat="1" ht="3.75" customHeight="1" thickBot="1" x14ac:dyDescent="0.3"/>
    <row r="10" spans="1:37" s="534" customFormat="1" ht="14.25" customHeight="1" x14ac:dyDescent="0.25">
      <c r="A10" s="536" t="s">
        <v>1154</v>
      </c>
      <c r="B10" s="535"/>
      <c r="C10" s="535"/>
      <c r="D10" s="535"/>
      <c r="E10" s="535"/>
      <c r="F10" s="535"/>
      <c r="G10" s="535"/>
      <c r="H10" s="535"/>
      <c r="I10" s="479"/>
      <c r="J10" s="478"/>
      <c r="K10" s="552" t="s">
        <v>1155</v>
      </c>
      <c r="L10" s="535"/>
      <c r="M10" s="553"/>
      <c r="N10" s="553"/>
      <c r="O10" s="553"/>
      <c r="P10" s="535"/>
      <c r="Q10" s="552" t="s">
        <v>1155</v>
      </c>
      <c r="R10" s="535"/>
      <c r="S10" s="479"/>
      <c r="T10" s="535"/>
      <c r="U10" s="535"/>
      <c r="V10" s="551"/>
      <c r="W10" s="535"/>
      <c r="X10" s="535"/>
      <c r="Y10" s="535"/>
      <c r="Z10" s="535"/>
      <c r="AA10" s="535"/>
      <c r="AB10" s="535"/>
      <c r="AC10" s="535"/>
      <c r="AD10" s="552" t="s">
        <v>1156</v>
      </c>
      <c r="AE10" s="552"/>
      <c r="AF10" s="552"/>
      <c r="AG10" s="552" t="s">
        <v>1157</v>
      </c>
      <c r="AH10" s="535"/>
      <c r="AI10" s="535"/>
      <c r="AJ10" s="535"/>
      <c r="AK10" s="551"/>
    </row>
    <row r="11" spans="1:37" s="534" customFormat="1" ht="19.5" customHeight="1" x14ac:dyDescent="0.2">
      <c r="A11" s="548">
        <v>2</v>
      </c>
      <c r="B11" s="513">
        <v>0</v>
      </c>
      <c r="C11" s="513">
        <v>2</v>
      </c>
      <c r="D11" s="513">
        <v>0</v>
      </c>
      <c r="E11" s="513">
        <v>3</v>
      </c>
      <c r="F11" s="513">
        <v>1</v>
      </c>
      <c r="G11" s="513">
        <v>3</v>
      </c>
      <c r="H11" s="513">
        <v>9</v>
      </c>
      <c r="I11" s="513">
        <v>4</v>
      </c>
      <c r="J11" s="520">
        <v>4</v>
      </c>
      <c r="K11" s="471"/>
      <c r="L11" s="537"/>
      <c r="M11" s="537"/>
      <c r="N11" s="537"/>
      <c r="O11" s="537"/>
      <c r="P11" s="537"/>
      <c r="Q11" s="537"/>
      <c r="R11" s="537"/>
      <c r="S11" s="537"/>
      <c r="T11" s="537"/>
      <c r="U11" s="537"/>
      <c r="V11" s="543"/>
      <c r="W11" s="542" t="s">
        <v>1158</v>
      </c>
      <c r="X11" s="537"/>
      <c r="Y11" s="537"/>
      <c r="Z11" s="537"/>
      <c r="AA11" s="537"/>
      <c r="AB11" s="542" t="s">
        <v>1159</v>
      </c>
      <c r="AC11" s="537"/>
      <c r="AD11" s="513" t="str">
        <f>MID('Input data'!$B$8,1,1)</f>
        <v>0</v>
      </c>
      <c r="AE11" s="513" t="str">
        <f>MID('Input data'!$B$8,2,1)</f>
        <v>1</v>
      </c>
      <c r="AF11" s="513"/>
      <c r="AG11" s="513" t="str">
        <f>MID('Input data'!$B$9,1,1)</f>
        <v>2</v>
      </c>
      <c r="AH11" s="513" t="str">
        <f>MID('Input data'!$B$9,2,1)</f>
        <v>0</v>
      </c>
      <c r="AI11" s="513" t="str">
        <f>MID('Input data'!$B$9,3,1)</f>
        <v>1</v>
      </c>
      <c r="AJ11" s="513" t="str">
        <f>MID('Input data'!$B$9,4,1)</f>
        <v>3</v>
      </c>
      <c r="AK11" s="543"/>
    </row>
    <row r="12" spans="1:37" s="534" customFormat="1" ht="19.5" customHeight="1" thickBot="1" x14ac:dyDescent="0.3">
      <c r="A12" s="475" t="s">
        <v>1160</v>
      </c>
      <c r="B12" s="537"/>
      <c r="C12" s="537"/>
      <c r="D12" s="537"/>
      <c r="E12" s="537"/>
      <c r="F12" s="537"/>
      <c r="G12" s="537"/>
      <c r="H12" s="471"/>
      <c r="I12" s="471"/>
      <c r="J12" s="470"/>
      <c r="K12" s="471"/>
      <c r="L12" s="550" t="str">
        <f>IF('Input data'!D7="x","x"," ")</f>
        <v>x</v>
      </c>
      <c r="M12" s="542" t="s">
        <v>1161</v>
      </c>
      <c r="N12" s="544"/>
      <c r="O12" s="544"/>
      <c r="P12" s="544"/>
      <c r="Q12" s="544"/>
      <c r="R12" s="550" t="str">
        <f>IF('Input data'!D16="x","x"," ")</f>
        <v>x</v>
      </c>
      <c r="S12" s="542" t="s">
        <v>1162</v>
      </c>
      <c r="T12" s="537"/>
      <c r="U12" s="537"/>
      <c r="V12" s="543"/>
      <c r="W12" s="549"/>
      <c r="X12" s="539"/>
      <c r="Y12" s="539"/>
      <c r="Z12" s="539"/>
      <c r="AA12" s="539"/>
      <c r="AB12" s="538" t="s">
        <v>1163</v>
      </c>
      <c r="AC12" s="539"/>
      <c r="AD12" s="511" t="str">
        <f>MID('Input data'!$B$13,1,1)</f>
        <v>1</v>
      </c>
      <c r="AE12" s="511" t="str">
        <f>MID('Input data'!$B$13,2,1)</f>
        <v>2</v>
      </c>
      <c r="AF12" s="511"/>
      <c r="AG12" s="511" t="str">
        <f>MID('Input data'!$B$14,1,1)</f>
        <v>2</v>
      </c>
      <c r="AH12" s="511" t="str">
        <f>MID('Input data'!$B$14,2,1)</f>
        <v>0</v>
      </c>
      <c r="AI12" s="511" t="str">
        <f>MID('Input data'!$B$14,3,1)</f>
        <v>1</v>
      </c>
      <c r="AJ12" s="511" t="str">
        <f>MID('Input data'!$B$14,4,1)</f>
        <v>3</v>
      </c>
      <c r="AK12" s="540"/>
    </row>
    <row r="13" spans="1:37" s="534" customFormat="1" ht="19.5" customHeight="1" x14ac:dyDescent="0.2">
      <c r="A13" s="548">
        <v>3</v>
      </c>
      <c r="B13" s="513">
        <v>1</v>
      </c>
      <c r="C13" s="513">
        <v>3</v>
      </c>
      <c r="D13" s="513">
        <v>5</v>
      </c>
      <c r="E13" s="513">
        <v>2</v>
      </c>
      <c r="F13" s="513">
        <v>3</v>
      </c>
      <c r="G13" s="513">
        <v>1</v>
      </c>
      <c r="H13" s="513">
        <v>6</v>
      </c>
      <c r="I13" s="471"/>
      <c r="J13" s="470"/>
      <c r="K13" s="471"/>
      <c r="L13" s="546" t="str">
        <f>IF('Input data'!D8="x","x", "")</f>
        <v/>
      </c>
      <c r="M13" s="542" t="s">
        <v>1164</v>
      </c>
      <c r="N13" s="544"/>
      <c r="O13" s="544"/>
      <c r="P13" s="544"/>
      <c r="Q13" s="544"/>
      <c r="R13" s="547" t="str">
        <f>IF('Input data'!D17="x","x"," ")</f>
        <v xml:space="preserve"> </v>
      </c>
      <c r="S13" s="542" t="s">
        <v>1165</v>
      </c>
      <c r="T13" s="537"/>
      <c r="U13" s="537"/>
      <c r="V13" s="543"/>
      <c r="W13" s="542" t="s">
        <v>1166</v>
      </c>
      <c r="X13" s="537"/>
      <c r="Y13" s="474"/>
      <c r="Z13" s="471"/>
      <c r="AA13" s="471"/>
      <c r="AB13" s="544"/>
      <c r="AC13" s="471"/>
      <c r="AD13" s="546"/>
      <c r="AE13" s="546"/>
      <c r="AF13" s="546"/>
      <c r="AG13" s="546"/>
      <c r="AH13" s="546"/>
      <c r="AI13" s="546"/>
      <c r="AJ13" s="546"/>
      <c r="AK13" s="470"/>
    </row>
    <row r="14" spans="1:37" s="534" customFormat="1" ht="19.5" customHeight="1" x14ac:dyDescent="0.2">
      <c r="A14" s="475" t="s">
        <v>1167</v>
      </c>
      <c r="B14" s="537"/>
      <c r="C14" s="537"/>
      <c r="D14" s="537"/>
      <c r="E14" s="537"/>
      <c r="F14" s="537"/>
      <c r="G14" s="537"/>
      <c r="H14" s="537"/>
      <c r="I14" s="471"/>
      <c r="J14" s="470"/>
      <c r="K14" s="471"/>
      <c r="L14" s="471"/>
      <c r="M14" s="542"/>
      <c r="N14" s="544"/>
      <c r="O14" s="544"/>
      <c r="P14" s="544"/>
      <c r="Q14" s="544"/>
      <c r="R14" s="545" t="s">
        <v>1168</v>
      </c>
      <c r="S14" s="544"/>
      <c r="T14" s="537"/>
      <c r="U14" s="537"/>
      <c r="V14" s="543"/>
      <c r="W14" s="542" t="s">
        <v>987</v>
      </c>
      <c r="X14" s="537"/>
      <c r="Y14" s="474"/>
      <c r="Z14" s="471"/>
      <c r="AA14" s="471"/>
      <c r="AB14" s="542" t="s">
        <v>1159</v>
      </c>
      <c r="AC14" s="471"/>
      <c r="AD14" s="513" t="str">
        <f>MID('Input data'!$B$18,1,1)</f>
        <v>0</v>
      </c>
      <c r="AE14" s="513" t="str">
        <f>MID('Input data'!$B$18,2,1)</f>
        <v>1</v>
      </c>
      <c r="AF14" s="513"/>
      <c r="AG14" s="513" t="str">
        <f>MID('Input data'!$B$19,1,1)</f>
        <v>2</v>
      </c>
      <c r="AH14" s="513" t="str">
        <f>MID('Input data'!$B$19,2,1)</f>
        <v>0</v>
      </c>
      <c r="AI14" s="513" t="str">
        <f>MID('Input data'!$B$19,3,1)</f>
        <v>1</v>
      </c>
      <c r="AJ14" s="513" t="str">
        <f>MID('Input data'!$B$19,4,1)</f>
        <v>2</v>
      </c>
      <c r="AK14" s="470"/>
    </row>
    <row r="15" spans="1:37" s="534" customFormat="1" ht="19.5" customHeight="1" thickBot="1" x14ac:dyDescent="0.25">
      <c r="A15" s="541">
        <v>4</v>
      </c>
      <c r="B15" s="466">
        <v>6</v>
      </c>
      <c r="C15" s="539" t="s">
        <v>1149</v>
      </c>
      <c r="D15" s="466">
        <v>3</v>
      </c>
      <c r="E15" s="466">
        <v>9</v>
      </c>
      <c r="F15" s="490" t="s">
        <v>1149</v>
      </c>
      <c r="G15" s="466">
        <v>0</v>
      </c>
      <c r="H15" s="466"/>
      <c r="I15" s="466"/>
      <c r="J15" s="465"/>
      <c r="K15" s="466"/>
      <c r="L15" s="466"/>
      <c r="M15" s="466"/>
      <c r="N15" s="466"/>
      <c r="O15" s="466"/>
      <c r="P15" s="466"/>
      <c r="Q15" s="466"/>
      <c r="R15" s="466"/>
      <c r="S15" s="466"/>
      <c r="T15" s="539"/>
      <c r="U15" s="539"/>
      <c r="V15" s="540"/>
      <c r="W15" s="538" t="s">
        <v>1169</v>
      </c>
      <c r="X15" s="539"/>
      <c r="Y15" s="467"/>
      <c r="Z15" s="466"/>
      <c r="AA15" s="466"/>
      <c r="AB15" s="538" t="s">
        <v>1163</v>
      </c>
      <c r="AC15" s="466"/>
      <c r="AD15" s="511" t="str">
        <f>MID('Input data'!$B$21,1,1)</f>
        <v>1</v>
      </c>
      <c r="AE15" s="511" t="str">
        <f>MID('Input data'!$B$21,2,1)</f>
        <v>2</v>
      </c>
      <c r="AF15" s="511"/>
      <c r="AG15" s="511" t="str">
        <f>MID('Input data'!$B$22,1,1)</f>
        <v>2</v>
      </c>
      <c r="AH15" s="511" t="str">
        <f>MID('Input data'!$B$22,2,1)</f>
        <v>0</v>
      </c>
      <c r="AI15" s="511" t="str">
        <f>MID('Input data'!$B$22,3,1)</f>
        <v>1</v>
      </c>
      <c r="AJ15" s="511" t="str">
        <f>MID('Input data'!$B$22,4,1)</f>
        <v>2</v>
      </c>
      <c r="AK15" s="465"/>
    </row>
    <row r="16" spans="1:37" s="534" customFormat="1" ht="4.5" customHeight="1" x14ac:dyDescent="0.25">
      <c r="A16" s="537"/>
      <c r="B16" s="537"/>
      <c r="C16" s="537"/>
      <c r="D16" s="537"/>
      <c r="E16" s="537"/>
      <c r="F16" s="535"/>
      <c r="G16" s="537"/>
      <c r="H16" s="471"/>
      <c r="I16" s="471"/>
      <c r="J16" s="471"/>
      <c r="K16" s="471"/>
      <c r="L16" s="471"/>
      <c r="M16" s="471"/>
      <c r="N16" s="471"/>
      <c r="O16" s="471"/>
      <c r="P16" s="471"/>
      <c r="Q16" s="471"/>
      <c r="R16" s="471"/>
      <c r="S16" s="471"/>
      <c r="T16" s="537"/>
      <c r="U16" s="537"/>
      <c r="V16" s="471"/>
      <c r="W16" s="471"/>
      <c r="X16" s="471"/>
      <c r="Y16" s="471"/>
      <c r="Z16" s="471"/>
      <c r="AA16" s="471"/>
      <c r="AB16" s="471"/>
      <c r="AC16" s="471"/>
      <c r="AD16" s="471"/>
      <c r="AE16" s="471"/>
      <c r="AF16" s="471"/>
      <c r="AG16" s="471"/>
      <c r="AH16" s="471"/>
      <c r="AI16" s="471"/>
      <c r="AJ16" s="471"/>
      <c r="AK16" s="471"/>
    </row>
    <row r="17" spans="1:37" s="534" customFormat="1" ht="3" customHeight="1" thickBot="1" x14ac:dyDescent="0.3"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W17" s="464"/>
      <c r="X17" s="464"/>
      <c r="Y17" s="464"/>
      <c r="Z17" s="464"/>
      <c r="AA17" s="46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4"/>
    </row>
    <row r="18" spans="1:37" s="534" customFormat="1" ht="16.5" x14ac:dyDescent="0.25">
      <c r="A18" s="536" t="s">
        <v>1170</v>
      </c>
      <c r="B18" s="535"/>
      <c r="C18" s="535"/>
      <c r="D18" s="535"/>
      <c r="E18" s="535"/>
      <c r="F18" s="535"/>
      <c r="G18" s="535"/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535"/>
      <c r="U18" s="535"/>
      <c r="V18" s="535"/>
      <c r="W18" s="479"/>
      <c r="X18" s="479"/>
      <c r="Y18" s="479"/>
      <c r="Z18" s="479"/>
      <c r="AA18" s="479"/>
      <c r="AB18" s="479"/>
      <c r="AC18" s="479"/>
      <c r="AD18" s="479"/>
      <c r="AE18" s="479"/>
      <c r="AF18" s="479"/>
      <c r="AG18" s="479"/>
      <c r="AH18" s="479"/>
      <c r="AI18" s="479"/>
      <c r="AJ18" s="479"/>
      <c r="AK18" s="478"/>
    </row>
    <row r="19" spans="1:37" s="534" customFormat="1" ht="19.5" customHeight="1" x14ac:dyDescent="0.35">
      <c r="A19" s="521" t="s">
        <v>1638</v>
      </c>
      <c r="B19" s="513" t="s">
        <v>1639</v>
      </c>
      <c r="C19" s="513" t="s">
        <v>1640</v>
      </c>
      <c r="D19" s="513" t="s">
        <v>1641</v>
      </c>
      <c r="E19" s="513" t="s">
        <v>1642</v>
      </c>
      <c r="F19" s="513" t="s">
        <v>1641</v>
      </c>
      <c r="H19" s="513" t="s">
        <v>1643</v>
      </c>
      <c r="I19" s="513" t="s">
        <v>1644</v>
      </c>
      <c r="J19" s="513" t="s">
        <v>1645</v>
      </c>
      <c r="K19" s="513" t="s">
        <v>1638</v>
      </c>
      <c r="L19" s="513" t="s">
        <v>1646</v>
      </c>
      <c r="M19" s="513" t="s">
        <v>1642</v>
      </c>
      <c r="N19" s="513" t="s">
        <v>1643</v>
      </c>
      <c r="O19" s="513" t="s">
        <v>1647</v>
      </c>
      <c r="P19" s="513" t="s">
        <v>1645</v>
      </c>
      <c r="Q19" s="513" t="s">
        <v>1648</v>
      </c>
      <c r="R19" s="513" t="str">
        <f>+MID('Input data'!$F$3,8,1)</f>
        <v/>
      </c>
      <c r="S19" s="513" t="s">
        <v>1649</v>
      </c>
      <c r="T19" s="513" t="s">
        <v>1149</v>
      </c>
      <c r="U19" s="513" t="s">
        <v>1650</v>
      </c>
      <c r="V19" s="513" t="s">
        <v>1149</v>
      </c>
      <c r="W19" s="513" t="s">
        <v>1651</v>
      </c>
      <c r="X19" s="513" t="s">
        <v>1149</v>
      </c>
      <c r="Y19" s="513" t="str">
        <f>+MID('Input data'!$F$3,25,1)</f>
        <v/>
      </c>
      <c r="Z19" s="513" t="str">
        <f>+MID('Input data'!$F$3,26,1)</f>
        <v/>
      </c>
      <c r="AA19" s="513" t="str">
        <f>+MID('Input data'!$F$3,27,1)</f>
        <v/>
      </c>
      <c r="AB19" s="513" t="str">
        <f>+MID('Input data'!$F$3,28,1)</f>
        <v/>
      </c>
      <c r="AC19" s="513" t="str">
        <f>+MID('Input data'!$F$3,29,1)</f>
        <v/>
      </c>
      <c r="AD19" s="513" t="str">
        <f>+MID('Input data'!$F$3,30,1)</f>
        <v/>
      </c>
      <c r="AE19" s="513" t="str">
        <f>+MID('Input data'!$F$3,31,1)</f>
        <v/>
      </c>
      <c r="AF19" s="513" t="str">
        <f>+MID('Input data'!$F$3,32,1)</f>
        <v/>
      </c>
      <c r="AG19" s="513" t="str">
        <f>+MID('Input data'!$F$3,33,1)</f>
        <v/>
      </c>
      <c r="AH19" s="513" t="str">
        <f>+MID('Input data'!$E$3,34,1)</f>
        <v/>
      </c>
      <c r="AI19" s="513" t="str">
        <f>+MID('Input data'!$E$3,35,1)</f>
        <v/>
      </c>
      <c r="AJ19" s="513" t="str">
        <f>+MID('Input data'!$E$3,36,1)</f>
        <v/>
      </c>
      <c r="AK19" s="520" t="str">
        <f>+MID('Input data'!$E$3,37,1)</f>
        <v/>
      </c>
    </row>
    <row r="20" spans="1:37" ht="19.5" customHeight="1" x14ac:dyDescent="0.35">
      <c r="A20" s="521" t="str">
        <f>+MID('Input data'!$E$3,38,1)</f>
        <v/>
      </c>
      <c r="B20" s="513" t="str">
        <f>+MID('Input data'!$E$3,39,1)</f>
        <v/>
      </c>
      <c r="C20" s="513" t="str">
        <f>+MID('Input data'!$E$3,40,1)</f>
        <v/>
      </c>
      <c r="D20" s="513" t="str">
        <f>+MID('Input data'!$E$3,41,1)</f>
        <v/>
      </c>
      <c r="E20" s="513" t="str">
        <f>+MID('Input data'!$E$3,42,1)</f>
        <v/>
      </c>
      <c r="F20" s="513" t="str">
        <f>+MID('Input data'!$E$3,43,1)</f>
        <v/>
      </c>
      <c r="G20" s="513" t="str">
        <f>+MID('Input data'!$E$3,44,1)</f>
        <v/>
      </c>
      <c r="H20" s="513" t="str">
        <f>+MID('Input data'!$E$3,45,1)</f>
        <v/>
      </c>
      <c r="I20" s="513" t="str">
        <f>+MID('Input data'!$E$3,46,1)</f>
        <v/>
      </c>
      <c r="R20" s="513" t="str">
        <f>+MID('Input data'!$E$3,55,1)</f>
        <v/>
      </c>
      <c r="S20" s="513" t="str">
        <f>+MID('Input data'!$E$3,56,1)</f>
        <v/>
      </c>
      <c r="T20" s="513" t="str">
        <f>+MID('Input data'!$E$3,57,1)</f>
        <v/>
      </c>
      <c r="U20" s="513" t="str">
        <f>+MID('Input data'!$E$3,58,1)</f>
        <v/>
      </c>
      <c r="V20" s="513" t="str">
        <f>+MID('Input data'!$E$3,59,1)</f>
        <v/>
      </c>
      <c r="W20" s="513" t="str">
        <f>+MID('Input data'!$E$3,60,1)</f>
        <v/>
      </c>
      <c r="X20" s="513" t="str">
        <f>+MID('Input data'!$E$3,61,1)</f>
        <v/>
      </c>
      <c r="Y20" s="513" t="str">
        <f>+MID('Input data'!$E$3,62,1)</f>
        <v/>
      </c>
      <c r="Z20" s="513" t="str">
        <f>+MID('Input data'!$E$3,63,1)</f>
        <v/>
      </c>
      <c r="AA20" s="513" t="str">
        <f>+MID('Input data'!$E$3,64,1)</f>
        <v/>
      </c>
      <c r="AB20" s="513" t="str">
        <f>+MID('Input data'!$E$3,65,1)</f>
        <v/>
      </c>
      <c r="AC20" s="513" t="str">
        <f>+MID('Input data'!$E$3,66,1)</f>
        <v/>
      </c>
      <c r="AD20" s="513" t="str">
        <f>+MID('Input data'!$E$3,67,1)</f>
        <v/>
      </c>
      <c r="AE20" s="513" t="str">
        <f>+MID('Input data'!$E$3,68,1)</f>
        <v/>
      </c>
      <c r="AF20" s="513" t="str">
        <f>+MID('Input data'!$E$3,69,1)</f>
        <v/>
      </c>
      <c r="AG20" s="513" t="str">
        <f>+MID('Input data'!$E$3,70,1)</f>
        <v/>
      </c>
      <c r="AH20" s="513" t="str">
        <f>+MID('Input data'!$E$3,71,1)</f>
        <v/>
      </c>
      <c r="AI20" s="513" t="str">
        <f>+MID('Input data'!$E$3,72,1)</f>
        <v/>
      </c>
      <c r="AJ20" s="513" t="str">
        <f>+MID('Input data'!$E$3,73,1)</f>
        <v/>
      </c>
      <c r="AK20" s="520" t="str">
        <f>+MID('Input data'!$E$3,74,1)</f>
        <v/>
      </c>
    </row>
    <row r="21" spans="1:37" ht="14.25" customHeight="1" x14ac:dyDescent="0.35">
      <c r="A21" s="533"/>
      <c r="B21" s="532"/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32"/>
      <c r="Q21" s="532"/>
      <c r="R21" s="532"/>
      <c r="S21" s="532"/>
      <c r="T21" s="532"/>
      <c r="U21" s="532"/>
      <c r="V21" s="532"/>
      <c r="W21" s="531"/>
      <c r="X21" s="531"/>
      <c r="Y21" s="531"/>
      <c r="Z21" s="531"/>
      <c r="AA21" s="531"/>
      <c r="AB21" s="531"/>
      <c r="AC21" s="531"/>
      <c r="AD21" s="531"/>
      <c r="AE21" s="531"/>
      <c r="AF21" s="531"/>
      <c r="AG21" s="531"/>
      <c r="AH21" s="531"/>
      <c r="AI21" s="531"/>
      <c r="AJ21" s="531"/>
      <c r="AK21" s="530"/>
    </row>
    <row r="22" spans="1:37" ht="19.5" hidden="1" customHeight="1" x14ac:dyDescent="0.25">
      <c r="A22" s="529"/>
      <c r="B22" s="528"/>
      <c r="C22" s="528"/>
      <c r="D22" s="528"/>
      <c r="E22" s="528"/>
      <c r="F22" s="528"/>
      <c r="G22" s="528" t="e">
        <f>+MID('Input data'!#REF!,7,1)</f>
        <v>#REF!</v>
      </c>
      <c r="H22" s="528" t="e">
        <f>+MID('Input data'!#REF!,8,1)</f>
        <v>#REF!</v>
      </c>
      <c r="I22" s="528" t="e">
        <f>+MID('Input data'!#REF!,9,1)</f>
        <v>#REF!</v>
      </c>
      <c r="J22" s="528" t="e">
        <f>+MID('Input data'!#REF!,10,1)</f>
        <v>#REF!</v>
      </c>
      <c r="K22" s="528" t="e">
        <f>+MID('Input data'!#REF!,11,1)</f>
        <v>#REF!</v>
      </c>
      <c r="L22" s="528" t="e">
        <f>+MID('Input data'!#REF!,12,1)</f>
        <v>#REF!</v>
      </c>
      <c r="M22" s="528" t="e">
        <f>+MID('Input data'!#REF!,13,1)</f>
        <v>#REF!</v>
      </c>
      <c r="N22" s="528" t="e">
        <f>+MID('Input data'!#REF!,14,1)</f>
        <v>#REF!</v>
      </c>
      <c r="O22" s="528" t="e">
        <f>+MID('Input data'!#REF!,15,1)</f>
        <v>#REF!</v>
      </c>
      <c r="P22" s="528" t="e">
        <f>+MID('Input data'!#REF!,16,1)</f>
        <v>#REF!</v>
      </c>
      <c r="Q22" s="528" t="e">
        <f>+MID('Input data'!#REF!,17,1)</f>
        <v>#REF!</v>
      </c>
      <c r="R22" s="528" t="e">
        <f>+MID('Input data'!#REF!,18,1)</f>
        <v>#REF!</v>
      </c>
      <c r="S22" s="528" t="e">
        <f>+MID('Input data'!#REF!,19,1)</f>
        <v>#REF!</v>
      </c>
      <c r="T22" s="528" t="e">
        <f>+MID('Input data'!#REF!,20,1)</f>
        <v>#REF!</v>
      </c>
      <c r="U22" s="528" t="e">
        <f>+MID('Input data'!#REF!,21,1)</f>
        <v>#REF!</v>
      </c>
      <c r="V22" s="528" t="e">
        <f>+MID('Input data'!#REF!,22,1)</f>
        <v>#REF!</v>
      </c>
      <c r="W22" s="528" t="e">
        <f>+MID('Input data'!#REF!,23,1)</f>
        <v>#REF!</v>
      </c>
      <c r="X22" s="528" t="e">
        <f>+MID('Input data'!#REF!,24,1)</f>
        <v>#REF!</v>
      </c>
      <c r="Y22" s="528" t="e">
        <f>+MID('Input data'!#REF!,25,1)</f>
        <v>#REF!</v>
      </c>
      <c r="Z22" s="528" t="e">
        <f>+MID('Input data'!#REF!,26,1)</f>
        <v>#REF!</v>
      </c>
      <c r="AA22" s="528" t="e">
        <f>+MID('Input data'!#REF!,27,1)</f>
        <v>#REF!</v>
      </c>
      <c r="AB22" s="528" t="e">
        <f>+MID('Input data'!#REF!,28,1)</f>
        <v>#REF!</v>
      </c>
      <c r="AC22" s="528" t="e">
        <f>+MID('Input data'!#REF!,29,1)</f>
        <v>#REF!</v>
      </c>
      <c r="AD22" s="528" t="e">
        <f>+MID('Input data'!#REF!,30,1)</f>
        <v>#REF!</v>
      </c>
      <c r="AE22" s="528" t="e">
        <f>+MID('Input data'!#REF!,31,1)</f>
        <v>#REF!</v>
      </c>
      <c r="AF22" s="528" t="e">
        <f>+MID('Input data'!#REF!,32,1)</f>
        <v>#REF!</v>
      </c>
      <c r="AG22" s="528" t="e">
        <f>+MID('Input data'!#REF!,33,1)</f>
        <v>#REF!</v>
      </c>
      <c r="AH22" s="528" t="e">
        <f>+MID('Input data'!#REF!,34,1)</f>
        <v>#REF!</v>
      </c>
      <c r="AI22" s="528" t="e">
        <f>+MID('Input data'!#REF!,35,1)</f>
        <v>#REF!</v>
      </c>
      <c r="AJ22" s="528" t="e">
        <f>+MID('Input data'!#REF!,36,1)</f>
        <v>#REF!</v>
      </c>
      <c r="AK22" s="527" t="e">
        <f>+MID('Input data'!#REF!,37,1)</f>
        <v>#REF!</v>
      </c>
    </row>
    <row r="23" spans="1:37" s="522" customFormat="1" ht="12" customHeight="1" x14ac:dyDescent="0.25">
      <c r="A23" s="526" t="s">
        <v>1171</v>
      </c>
      <c r="B23" s="525"/>
      <c r="C23" s="525"/>
      <c r="D23" s="525"/>
      <c r="E23" s="525"/>
      <c r="F23" s="525"/>
      <c r="G23" s="525"/>
      <c r="H23" s="525"/>
      <c r="I23" s="525"/>
      <c r="J23" s="525"/>
      <c r="K23" s="525"/>
      <c r="L23" s="525"/>
      <c r="M23" s="525"/>
      <c r="N23" s="525"/>
      <c r="O23" s="525"/>
      <c r="P23" s="525"/>
      <c r="Q23" s="525"/>
      <c r="R23" s="525"/>
      <c r="S23" s="525"/>
      <c r="T23" s="525"/>
      <c r="U23" s="525"/>
      <c r="V23" s="525"/>
      <c r="W23" s="524"/>
      <c r="X23" s="524"/>
      <c r="Y23" s="524"/>
      <c r="Z23" s="524"/>
      <c r="AA23" s="524"/>
      <c r="AB23" s="524"/>
      <c r="AC23" s="524"/>
      <c r="AD23" s="524"/>
      <c r="AE23" s="524"/>
      <c r="AF23" s="524"/>
      <c r="AG23" s="524"/>
      <c r="AH23" s="524"/>
      <c r="AI23" s="524"/>
      <c r="AJ23" s="524"/>
      <c r="AK23" s="523"/>
    </row>
    <row r="24" spans="1:37" x14ac:dyDescent="0.25">
      <c r="A24" s="518" t="s">
        <v>1172</v>
      </c>
      <c r="B24" s="476"/>
      <c r="C24" s="476"/>
      <c r="D24" s="476"/>
      <c r="E24" s="476"/>
      <c r="F24" s="476"/>
      <c r="G24" s="476"/>
      <c r="H24" s="476"/>
      <c r="I24" s="476"/>
      <c r="J24" s="476"/>
      <c r="K24" s="476"/>
      <c r="L24" s="476"/>
      <c r="M24" s="476"/>
      <c r="N24" s="476"/>
      <c r="O24" s="476"/>
      <c r="P24" s="476"/>
      <c r="Q24" s="476"/>
      <c r="R24" s="476"/>
      <c r="S24" s="476"/>
      <c r="T24" s="476"/>
      <c r="U24" s="476"/>
      <c r="V24" s="476"/>
      <c r="W24" s="471"/>
      <c r="X24" s="471"/>
      <c r="Y24" s="471"/>
      <c r="Z24" s="471"/>
      <c r="AA24" s="471"/>
      <c r="AB24" s="476"/>
      <c r="AC24" s="471"/>
      <c r="AD24" s="474" t="s">
        <v>1173</v>
      </c>
      <c r="AE24" s="471"/>
      <c r="AF24" s="471"/>
      <c r="AG24" s="471"/>
      <c r="AH24" s="471"/>
      <c r="AI24" s="471"/>
      <c r="AJ24" s="471"/>
      <c r="AK24" s="470"/>
    </row>
    <row r="25" spans="1:37" ht="19.5" customHeight="1" x14ac:dyDescent="0.25">
      <c r="A25" s="521" t="s">
        <v>1652</v>
      </c>
      <c r="B25" s="513" t="s">
        <v>1653</v>
      </c>
      <c r="C25" s="513" t="s">
        <v>1654</v>
      </c>
      <c r="D25" s="513" t="s">
        <v>1649</v>
      </c>
      <c r="E25" s="513" t="s">
        <v>1649</v>
      </c>
      <c r="F25" s="513" t="s">
        <v>1655</v>
      </c>
      <c r="G25" s="513" t="s">
        <v>1651</v>
      </c>
      <c r="H25" s="513" t="s">
        <v>1505</v>
      </c>
      <c r="I25" s="513" t="s">
        <v>518</v>
      </c>
      <c r="J25" s="513" t="str">
        <f>+MID('Input data'!$C$28,10,1)</f>
        <v/>
      </c>
      <c r="K25" s="513" t="str">
        <f>+MID('Input data'!$C$28,11,1)</f>
        <v/>
      </c>
      <c r="L25" s="513" t="str">
        <f>+MID('Input data'!$C$28,12,1)</f>
        <v/>
      </c>
      <c r="M25" s="513" t="str">
        <f>+MID('Input data'!$C$28,13,1)</f>
        <v/>
      </c>
      <c r="N25" s="513" t="str">
        <f>+MID('Input data'!$C$28,14,1)</f>
        <v/>
      </c>
      <c r="O25" s="513" t="str">
        <f>+MID('Input data'!$C$28,15,1)</f>
        <v/>
      </c>
      <c r="P25" s="513" t="str">
        <f>+MID('Input data'!$C$28,16,1)</f>
        <v/>
      </c>
      <c r="Q25" s="513" t="str">
        <f>+MID('Input data'!$C$28,17,1)</f>
        <v/>
      </c>
      <c r="R25" s="513" t="str">
        <f>+MID('Input data'!$C$28,18,1)</f>
        <v/>
      </c>
      <c r="S25" s="513" t="str">
        <f>+MID('Input data'!$C$28,19,1)</f>
        <v/>
      </c>
      <c r="T25" s="513" t="str">
        <f>+MID('Input data'!$C$28,20,1)</f>
        <v/>
      </c>
      <c r="U25" s="513" t="str">
        <f>+MID('Input data'!$C$28,21,1)</f>
        <v/>
      </c>
      <c r="V25" s="513" t="str">
        <f>+MID('Input data'!$C$28,22,1)</f>
        <v/>
      </c>
      <c r="W25" s="513" t="str">
        <f>+MID('Input data'!$C$28,23,1)</f>
        <v/>
      </c>
      <c r="X25" s="513" t="str">
        <f>+MID('Input data'!$C$28,24,1)</f>
        <v/>
      </c>
      <c r="Y25" s="513" t="str">
        <f>+MID('Input data'!$C$28,25,1)</f>
        <v/>
      </c>
      <c r="Z25" s="513" t="str">
        <f>+MID('Input data'!$C$28,26,1)</f>
        <v/>
      </c>
      <c r="AA25" s="513" t="str">
        <f>+MID('Input data'!$C$28,27,1)</f>
        <v/>
      </c>
      <c r="AB25" s="513" t="str">
        <f>+MID('Input data'!$C$28,28,1)</f>
        <v/>
      </c>
      <c r="AC25" s="515"/>
      <c r="AD25" s="513">
        <v>5</v>
      </c>
      <c r="AE25" s="513" t="str">
        <f>+MID('Input data'!$C$30,2,1)</f>
        <v/>
      </c>
      <c r="AF25" s="513" t="str">
        <f>+MID('Input data'!$C$30,3,1)</f>
        <v/>
      </c>
      <c r="AG25" s="513" t="str">
        <f>+MID('Input data'!$C$30,4,1)</f>
        <v/>
      </c>
      <c r="AH25" s="513" t="str">
        <f>+MID('Input data'!$C$30,5,1)</f>
        <v/>
      </c>
      <c r="AI25" s="513" t="str">
        <f>+MID('Input data'!$C$30,6,1)</f>
        <v/>
      </c>
      <c r="AJ25" s="513" t="str">
        <f>+MID('Input data'!$C$30,7,1)</f>
        <v/>
      </c>
      <c r="AK25" s="520" t="str">
        <f>+MID('Input data'!$C$30,8,1)</f>
        <v/>
      </c>
    </row>
    <row r="26" spans="1:37" x14ac:dyDescent="0.25">
      <c r="A26" s="518" t="s">
        <v>1174</v>
      </c>
      <c r="B26" s="476"/>
      <c r="C26" s="476"/>
      <c r="D26" s="476"/>
      <c r="E26" s="476"/>
      <c r="F26" s="476"/>
      <c r="G26" s="517" t="s">
        <v>1175</v>
      </c>
      <c r="H26" s="517"/>
      <c r="I26" s="517"/>
      <c r="J26" s="517"/>
      <c r="K26" s="517"/>
      <c r="L26" s="517"/>
      <c r="M26" s="517"/>
      <c r="N26" s="517"/>
      <c r="O26" s="517"/>
      <c r="P26" s="517"/>
      <c r="Q26" s="517"/>
      <c r="R26" s="517"/>
      <c r="S26" s="517"/>
      <c r="T26" s="517"/>
      <c r="U26" s="517"/>
      <c r="V26" s="517"/>
      <c r="W26" s="517"/>
      <c r="X26" s="517"/>
      <c r="Y26" s="517"/>
      <c r="Z26" s="517"/>
      <c r="AA26" s="517"/>
      <c r="AB26" s="517"/>
      <c r="AC26" s="517"/>
      <c r="AD26" s="517"/>
      <c r="AE26" s="471"/>
      <c r="AF26" s="471"/>
      <c r="AG26" s="471"/>
      <c r="AH26" s="471"/>
      <c r="AI26" s="471"/>
      <c r="AJ26" s="471"/>
      <c r="AK26" s="470"/>
    </row>
    <row r="27" spans="1:37" s="519" customFormat="1" ht="19.5" customHeight="1" x14ac:dyDescent="0.25">
      <c r="A27" s="521">
        <v>9</v>
      </c>
      <c r="B27" s="513">
        <v>0</v>
      </c>
      <c r="C27" s="513">
        <v>2</v>
      </c>
      <c r="D27" s="513">
        <v>0</v>
      </c>
      <c r="E27" s="513">
        <v>1</v>
      </c>
      <c r="F27" s="513"/>
      <c r="G27" s="513" t="s">
        <v>1656</v>
      </c>
      <c r="H27" s="513" t="s">
        <v>1653</v>
      </c>
      <c r="I27" s="513" t="s">
        <v>1657</v>
      </c>
      <c r="J27" s="513" t="s">
        <v>1654</v>
      </c>
      <c r="K27" s="513" t="s">
        <v>1658</v>
      </c>
      <c r="L27" s="513" t="s">
        <v>1651</v>
      </c>
      <c r="M27" s="513" t="s">
        <v>1148</v>
      </c>
      <c r="N27" s="513" t="str">
        <f>+MID('Input data'!$C$34,8,1)</f>
        <v/>
      </c>
      <c r="O27" s="513" t="str">
        <f>+MID('Input data'!$C$34,9,1)</f>
        <v/>
      </c>
      <c r="P27" s="513" t="str">
        <f>+MID('Input data'!$C$34,10,1)</f>
        <v/>
      </c>
      <c r="Q27" s="513" t="str">
        <f>+MID('Input data'!$C$34,11,1)</f>
        <v/>
      </c>
      <c r="R27" s="513" t="str">
        <f>+MID('Input data'!$C$34,12,1)</f>
        <v/>
      </c>
      <c r="S27" s="513" t="str">
        <f>+MID('Input data'!$C$34,13,1)</f>
        <v/>
      </c>
      <c r="T27" s="513" t="str">
        <f>+MID('Input data'!$C$34,14,1)</f>
        <v/>
      </c>
      <c r="U27" s="513" t="str">
        <f>+MID('Input data'!$C$34,15,1)</f>
        <v/>
      </c>
      <c r="V27" s="513" t="str">
        <f>+MID('Input data'!$C$34,16,1)</f>
        <v/>
      </c>
      <c r="W27" s="513" t="str">
        <f>+MID('Input data'!$C$34,17,1)</f>
        <v/>
      </c>
      <c r="X27" s="513" t="str">
        <f>+MID('Input data'!$C$34,18,1)</f>
        <v/>
      </c>
      <c r="Y27" s="513" t="str">
        <f>+MID('Input data'!$C$34,19,1)</f>
        <v/>
      </c>
      <c r="Z27" s="513" t="str">
        <f>+MID('Input data'!$C$34,20,1)</f>
        <v/>
      </c>
      <c r="AA27" s="513" t="str">
        <f>+MID('Input data'!$C$34,21,1)</f>
        <v/>
      </c>
      <c r="AB27" s="513" t="str">
        <f>+MID('Input data'!$C$34,22,1)</f>
        <v/>
      </c>
      <c r="AC27" s="513" t="str">
        <f>+MID('Input data'!$C$34,23,1)</f>
        <v/>
      </c>
      <c r="AD27" s="513" t="str">
        <f>+MID('Input data'!$C$34,24,1)</f>
        <v/>
      </c>
      <c r="AE27" s="513" t="str">
        <f>+MID('Input data'!$C$34,25,1)</f>
        <v/>
      </c>
      <c r="AF27" s="513" t="str">
        <f>+MID('Input data'!$C$34,26,1)</f>
        <v/>
      </c>
      <c r="AG27" s="513" t="str">
        <f>+MID('Input data'!$C$34,27,1)</f>
        <v/>
      </c>
      <c r="AH27" s="513" t="str">
        <f>+MID('Input data'!$C$34,28,1)</f>
        <v/>
      </c>
      <c r="AI27" s="513" t="str">
        <f>+MID('Input data'!$C$34,29,1)</f>
        <v/>
      </c>
      <c r="AJ27" s="513" t="str">
        <f>+MID('Input data'!$C$34,30,1)</f>
        <v/>
      </c>
      <c r="AK27" s="520" t="str">
        <f>+MID('Input data'!$C$34,31,1)</f>
        <v/>
      </c>
    </row>
    <row r="28" spans="1:37" x14ac:dyDescent="0.25">
      <c r="A28" s="518" t="s">
        <v>1176</v>
      </c>
      <c r="B28" s="476"/>
      <c r="C28" s="476"/>
      <c r="D28" s="476"/>
      <c r="E28" s="476"/>
      <c r="F28" s="476"/>
      <c r="G28" s="517"/>
      <c r="H28" s="517"/>
      <c r="I28" s="517"/>
      <c r="J28" s="517"/>
      <c r="K28" s="517"/>
      <c r="L28" s="517"/>
      <c r="M28" s="517"/>
      <c r="N28" s="476"/>
      <c r="O28" s="517" t="s">
        <v>1177</v>
      </c>
      <c r="P28" s="517"/>
      <c r="Q28" s="517"/>
      <c r="R28" s="517"/>
      <c r="S28" s="517"/>
      <c r="T28" s="517"/>
      <c r="U28" s="517"/>
      <c r="V28" s="517"/>
      <c r="W28" s="517"/>
      <c r="X28" s="517"/>
      <c r="Y28" s="517"/>
      <c r="Z28" s="517"/>
      <c r="AA28" s="517"/>
      <c r="AB28" s="517"/>
      <c r="AC28" s="517"/>
      <c r="AD28" s="517"/>
      <c r="AE28" s="471"/>
      <c r="AF28" s="471"/>
      <c r="AG28" s="471"/>
      <c r="AH28" s="471"/>
      <c r="AI28" s="471"/>
      <c r="AJ28" s="471"/>
      <c r="AK28" s="470"/>
    </row>
    <row r="29" spans="1:37" ht="19.5" customHeight="1" x14ac:dyDescent="0.25">
      <c r="A29" s="516">
        <v>0</v>
      </c>
      <c r="B29" s="513">
        <v>3</v>
      </c>
      <c r="C29" s="513">
        <v>3</v>
      </c>
      <c r="D29" s="513" t="str">
        <f>+MID('Input data'!$C$36,3,1)</f>
        <v/>
      </c>
      <c r="E29" s="513" t="s">
        <v>1178</v>
      </c>
      <c r="F29" s="513">
        <v>5</v>
      </c>
      <c r="G29" s="513">
        <v>9</v>
      </c>
      <c r="H29" s="513">
        <v>1</v>
      </c>
      <c r="I29" s="513">
        <v>1</v>
      </c>
      <c r="J29" s="513">
        <v>1</v>
      </c>
      <c r="K29" s="513">
        <v>1</v>
      </c>
      <c r="L29" s="513">
        <v>1</v>
      </c>
      <c r="M29" s="513" t="str">
        <f>+MID('Input data'!$C$38,8,1)</f>
        <v/>
      </c>
      <c r="N29" s="515"/>
      <c r="O29" s="514">
        <v>0</v>
      </c>
      <c r="P29" s="513">
        <v>3</v>
      </c>
      <c r="Q29" s="513">
        <v>3</v>
      </c>
      <c r="R29" s="513" t="str">
        <f>+MID('Input data'!$C$36,3,1)</f>
        <v/>
      </c>
      <c r="S29" s="513" t="s">
        <v>1178</v>
      </c>
      <c r="T29" s="513">
        <v>5</v>
      </c>
      <c r="U29" s="513">
        <v>9</v>
      </c>
      <c r="V29" s="513">
        <v>1</v>
      </c>
      <c r="W29" s="513">
        <v>1</v>
      </c>
      <c r="X29" s="513">
        <v>1</v>
      </c>
      <c r="Y29" s="513">
        <v>4</v>
      </c>
      <c r="Z29" s="513">
        <v>4</v>
      </c>
      <c r="AA29" s="513" t="str">
        <f>+MID('Input data'!$C$40,8,1)</f>
        <v/>
      </c>
      <c r="AB29" s="513"/>
      <c r="AC29" s="513"/>
      <c r="AD29" s="513"/>
      <c r="AE29" s="471"/>
      <c r="AF29" s="471"/>
      <c r="AG29" s="471" t="s">
        <v>1179</v>
      </c>
      <c r="AH29" s="471"/>
      <c r="AI29" s="471"/>
      <c r="AJ29" s="471"/>
      <c r="AK29" s="470"/>
    </row>
    <row r="30" spans="1:37" s="463" customFormat="1" x14ac:dyDescent="0.25">
      <c r="A30" s="475" t="s">
        <v>1180</v>
      </c>
      <c r="B30" s="474"/>
      <c r="C30" s="474"/>
      <c r="D30" s="474"/>
      <c r="E30" s="474"/>
      <c r="F30" s="474"/>
      <c r="G30" s="474"/>
      <c r="H30" s="474"/>
      <c r="I30" s="474"/>
      <c r="J30" s="474"/>
      <c r="K30" s="474"/>
      <c r="L30" s="474"/>
      <c r="M30" s="474"/>
      <c r="N30" s="474"/>
      <c r="O30" s="474"/>
      <c r="P30" s="474"/>
      <c r="Q30" s="474"/>
      <c r="R30" s="474"/>
      <c r="S30" s="474"/>
      <c r="T30" s="474"/>
      <c r="U30" s="474"/>
      <c r="V30" s="474"/>
      <c r="W30" s="471"/>
      <c r="X30" s="471"/>
      <c r="Y30" s="471"/>
      <c r="Z30" s="471"/>
      <c r="AA30" s="471"/>
      <c r="AB30" s="471"/>
      <c r="AC30" s="471"/>
      <c r="AD30" s="471"/>
      <c r="AE30" s="471"/>
      <c r="AF30" s="471"/>
      <c r="AG30" s="471"/>
      <c r="AH30" s="471"/>
      <c r="AI30" s="471"/>
      <c r="AJ30" s="471"/>
      <c r="AK30" s="470"/>
    </row>
    <row r="31" spans="1:37" ht="19.5" customHeight="1" thickBot="1" x14ac:dyDescent="0.3">
      <c r="A31" s="512" t="str">
        <f>+LEFT('Input data'!$B$42,1)</f>
        <v/>
      </c>
      <c r="B31" s="511" t="str">
        <f>+MID('Input data'!$B$42,2,1)</f>
        <v/>
      </c>
      <c r="C31" s="511" t="str">
        <f>+MID('Input data'!$B$42,3,1)</f>
        <v/>
      </c>
      <c r="D31" s="511" t="str">
        <f>+MID('Input data'!$B$42,4,1)</f>
        <v/>
      </c>
      <c r="E31" s="511" t="str">
        <f>+MID('Input data'!$B$42,5,1)</f>
        <v/>
      </c>
      <c r="F31" s="511" t="str">
        <f>+MID('Input data'!$B$42,6,1)</f>
        <v/>
      </c>
      <c r="G31" s="511" t="str">
        <f>+MID('Input data'!$B$42,7,1)</f>
        <v/>
      </c>
      <c r="H31" s="511" t="str">
        <f>+MID('Input data'!$B$42,8,1)</f>
        <v/>
      </c>
      <c r="I31" s="511" t="str">
        <f>+MID('Input data'!$B$42,9,1)</f>
        <v/>
      </c>
      <c r="J31" s="511" t="str">
        <f>+MID('Input data'!$B$42,10,1)</f>
        <v/>
      </c>
      <c r="K31" s="511" t="str">
        <f>+MID('Input data'!$B$42,11,1)</f>
        <v/>
      </c>
      <c r="L31" s="511" t="str">
        <f>+MID('Input data'!$B$42,12,1)</f>
        <v/>
      </c>
      <c r="M31" s="511" t="str">
        <f>+MID('Input data'!$B$42,13,1)</f>
        <v/>
      </c>
      <c r="N31" s="511" t="str">
        <f>+MID('Input data'!$B$42,14,1)</f>
        <v/>
      </c>
      <c r="O31" s="511" t="str">
        <f>+MID('Input data'!$B$42,15,1)</f>
        <v/>
      </c>
      <c r="P31" s="511" t="str">
        <f>+MID('Input data'!$B$42,16,1)</f>
        <v/>
      </c>
      <c r="Q31" s="511" t="str">
        <f>+MID('Input data'!$B$42,17,1)</f>
        <v/>
      </c>
      <c r="R31" s="511" t="str">
        <f>+MID('Input data'!$B$42,18,1)</f>
        <v/>
      </c>
      <c r="S31" s="511" t="str">
        <f>+MID('Input data'!$B$42,19,1)</f>
        <v/>
      </c>
      <c r="T31" s="511" t="str">
        <f>+MID('Input data'!$B$42,20,1)</f>
        <v/>
      </c>
      <c r="U31" s="511" t="str">
        <f>+MID('Input data'!$B$42,21,1)</f>
        <v/>
      </c>
      <c r="V31" s="511" t="str">
        <f>+MID('Input data'!$B$42,22,1)</f>
        <v/>
      </c>
      <c r="W31" s="511" t="str">
        <f>+MID('Input data'!$B$42,23,1)</f>
        <v/>
      </c>
      <c r="X31" s="511" t="str">
        <f>+MID('Input data'!$B$42,24,1)</f>
        <v/>
      </c>
      <c r="Y31" s="511" t="str">
        <f>+MID('Input data'!$B$42,25,1)</f>
        <v/>
      </c>
      <c r="Z31" s="511" t="str">
        <f>+MID('Input data'!$B$42,26,1)</f>
        <v/>
      </c>
      <c r="AA31" s="511" t="str">
        <f>+MID('Input data'!$B$42,27,1)</f>
        <v/>
      </c>
      <c r="AB31" s="511" t="str">
        <f>+MID('Input data'!$B$42,28,1)</f>
        <v/>
      </c>
      <c r="AC31" s="511" t="str">
        <f>+MID('Input data'!$B$42,29,1)</f>
        <v/>
      </c>
      <c r="AD31" s="511" t="str">
        <f>+MID('Input data'!$B$42,30,1)</f>
        <v/>
      </c>
      <c r="AE31" s="511" t="str">
        <f>+MID('Input data'!$B$42,31,1)</f>
        <v/>
      </c>
      <c r="AF31" s="511" t="str">
        <f>+MID('Input data'!$B$42,32,1)</f>
        <v/>
      </c>
      <c r="AG31" s="511" t="str">
        <f>+MID('Input data'!$B$42,33,1)</f>
        <v/>
      </c>
      <c r="AH31" s="511" t="str">
        <f>+MID('Input data'!$B$42,34,1)</f>
        <v/>
      </c>
      <c r="AI31" s="511" t="str">
        <f>+MID('Input data'!$B$42,35,1)</f>
        <v/>
      </c>
      <c r="AJ31" s="511" t="str">
        <f>+MID('Input data'!$B$42,36,1)</f>
        <v/>
      </c>
      <c r="AK31" s="510" t="str">
        <f>+MID('Input data'!$B$42,37,1)</f>
        <v/>
      </c>
    </row>
    <row r="32" spans="1:37" s="463" customFormat="1" ht="4.5" customHeight="1" thickBot="1" x14ac:dyDescent="0.3">
      <c r="W32" s="464"/>
      <c r="X32" s="464"/>
      <c r="Y32" s="464"/>
      <c r="Z32" s="464"/>
      <c r="AA32" s="464"/>
      <c r="AB32" s="464"/>
      <c r="AC32" s="464"/>
      <c r="AD32" s="464"/>
      <c r="AE32" s="464"/>
      <c r="AF32" s="464"/>
      <c r="AG32" s="464"/>
      <c r="AH32" s="464"/>
      <c r="AI32" s="464"/>
      <c r="AJ32" s="464"/>
      <c r="AK32" s="464"/>
    </row>
    <row r="33" spans="1:37" s="506" customFormat="1" ht="12.75" customHeight="1" x14ac:dyDescent="0.25">
      <c r="A33" s="509" t="s">
        <v>1181</v>
      </c>
      <c r="B33" s="508"/>
      <c r="C33" s="508"/>
      <c r="D33" s="508"/>
      <c r="E33" s="508"/>
      <c r="F33" s="508"/>
      <c r="G33" s="508"/>
      <c r="H33" s="508"/>
      <c r="I33" s="508"/>
      <c r="J33" s="508"/>
      <c r="K33" s="507"/>
      <c r="L33" s="1365" t="s">
        <v>1182</v>
      </c>
      <c r="M33" s="1366"/>
      <c r="N33" s="1366"/>
      <c r="O33" s="1366"/>
      <c r="P33" s="1366"/>
      <c r="Q33" s="1366"/>
      <c r="R33" s="1366"/>
      <c r="S33" s="1366"/>
      <c r="T33" s="1371"/>
      <c r="U33" s="1361" t="s">
        <v>1183</v>
      </c>
      <c r="V33" s="1361"/>
      <c r="W33" s="1361"/>
      <c r="X33" s="1361"/>
      <c r="Y33" s="1361"/>
      <c r="Z33" s="1361"/>
      <c r="AA33" s="1361"/>
      <c r="AB33" s="1362"/>
      <c r="AC33" s="1365" t="s">
        <v>1184</v>
      </c>
      <c r="AD33" s="1366"/>
      <c r="AE33" s="1366"/>
      <c r="AF33" s="1366"/>
      <c r="AG33" s="1366"/>
      <c r="AH33" s="1366"/>
      <c r="AI33" s="1366"/>
      <c r="AJ33" s="1366"/>
      <c r="AK33" s="1367"/>
    </row>
    <row r="34" spans="1:37" s="463" customFormat="1" ht="19.5" customHeight="1" x14ac:dyDescent="0.25">
      <c r="A34" s="895">
        <v>2</v>
      </c>
      <c r="B34" s="896">
        <v>4</v>
      </c>
      <c r="C34" s="896" t="s">
        <v>1149</v>
      </c>
      <c r="D34" s="896" t="str">
        <f>MID(TEXT('Input data'!$F$25,"dd.mm.yyyy"),4,1)</f>
        <v>0</v>
      </c>
      <c r="E34" s="896">
        <v>2</v>
      </c>
      <c r="F34" s="896" t="s">
        <v>1149</v>
      </c>
      <c r="G34" s="896">
        <v>2</v>
      </c>
      <c r="H34" s="896">
        <v>0</v>
      </c>
      <c r="I34" s="896">
        <v>1</v>
      </c>
      <c r="J34" s="896">
        <v>4</v>
      </c>
      <c r="K34" s="505"/>
      <c r="L34" s="1368"/>
      <c r="M34" s="1369"/>
      <c r="N34" s="1369"/>
      <c r="O34" s="1369"/>
      <c r="P34" s="1369"/>
      <c r="Q34" s="1369"/>
      <c r="R34" s="1369"/>
      <c r="S34" s="1369"/>
      <c r="T34" s="1372"/>
      <c r="U34" s="1363"/>
      <c r="V34" s="1363"/>
      <c r="W34" s="1363"/>
      <c r="X34" s="1363"/>
      <c r="Y34" s="1363"/>
      <c r="Z34" s="1363"/>
      <c r="AA34" s="1363"/>
      <c r="AB34" s="1364"/>
      <c r="AC34" s="1368"/>
      <c r="AD34" s="1369"/>
      <c r="AE34" s="1369"/>
      <c r="AF34" s="1369"/>
      <c r="AG34" s="1369"/>
      <c r="AH34" s="1369"/>
      <c r="AI34" s="1369"/>
      <c r="AJ34" s="1369"/>
      <c r="AK34" s="1370"/>
    </row>
    <row r="35" spans="1:37" s="463" customFormat="1" ht="13.5" customHeight="1" x14ac:dyDescent="0.25">
      <c r="A35" s="504"/>
      <c r="B35" s="503"/>
      <c r="C35" s="503"/>
      <c r="D35" s="503"/>
      <c r="E35" s="503"/>
      <c r="F35" s="503"/>
      <c r="G35" s="502"/>
      <c r="H35" s="502"/>
      <c r="I35" s="502"/>
      <c r="J35" s="502"/>
      <c r="K35" s="501"/>
      <c r="L35" s="1368"/>
      <c r="M35" s="1369"/>
      <c r="N35" s="1369"/>
      <c r="O35" s="1369"/>
      <c r="P35" s="1369"/>
      <c r="Q35" s="1369"/>
      <c r="R35" s="1369"/>
      <c r="S35" s="1369"/>
      <c r="T35" s="1372"/>
      <c r="U35" s="1363"/>
      <c r="V35" s="1363"/>
      <c r="W35" s="1363"/>
      <c r="X35" s="1363"/>
      <c r="Y35" s="1363"/>
      <c r="Z35" s="1363"/>
      <c r="AA35" s="1363"/>
      <c r="AB35" s="1364"/>
      <c r="AC35" s="1368"/>
      <c r="AD35" s="1369"/>
      <c r="AE35" s="1369"/>
      <c r="AF35" s="1369"/>
      <c r="AG35" s="1369"/>
      <c r="AH35" s="1369"/>
      <c r="AI35" s="1369"/>
      <c r="AJ35" s="1369"/>
      <c r="AK35" s="1370"/>
    </row>
    <row r="36" spans="1:37" s="463" customFormat="1" x14ac:dyDescent="0.2">
      <c r="A36" s="475" t="s">
        <v>1185</v>
      </c>
      <c r="B36" s="474"/>
      <c r="C36" s="474"/>
      <c r="D36" s="474"/>
      <c r="E36" s="474"/>
      <c r="F36" s="474"/>
      <c r="G36" s="500"/>
      <c r="H36" s="500"/>
      <c r="I36" s="500"/>
      <c r="J36" s="500"/>
      <c r="K36" s="499"/>
      <c r="L36" s="498"/>
      <c r="M36" s="498"/>
      <c r="N36" s="498"/>
      <c r="O36" s="498"/>
      <c r="P36" s="498"/>
      <c r="Q36" s="498"/>
      <c r="R36" s="498"/>
      <c r="S36" s="474"/>
      <c r="T36" s="496"/>
      <c r="U36" s="497"/>
      <c r="V36" s="497"/>
      <c r="W36" s="497"/>
      <c r="X36" s="497"/>
      <c r="Y36" s="497"/>
      <c r="Z36" s="471"/>
      <c r="AA36" s="497"/>
      <c r="AB36" s="496"/>
      <c r="AC36" s="495"/>
      <c r="AD36" s="494"/>
      <c r="AE36" s="494"/>
      <c r="AF36" s="494"/>
      <c r="AG36" s="494"/>
      <c r="AH36" s="494"/>
      <c r="AI36" s="494"/>
      <c r="AJ36" s="494"/>
      <c r="AK36" s="493"/>
    </row>
    <row r="37" spans="1:37" s="463" customFormat="1" ht="19.5" customHeight="1" x14ac:dyDescent="0.25">
      <c r="A37" s="492" t="str">
        <f>IF('Input data'!$F$27="","",LEFT(TEXT('Input data'!$F$27,"dd.mm.yyyy"),1))</f>
        <v/>
      </c>
      <c r="B37" s="491" t="str">
        <f>IF('Input data'!$F$27="","",MID(TEXT('Input data'!$F$27,"dd.mm.yyyy"),2,1))</f>
        <v/>
      </c>
      <c r="C37" s="490" t="s">
        <v>1149</v>
      </c>
      <c r="D37" s="491" t="str">
        <f>IF('Input data'!$F$27="","",MID(TEXT('Input data'!$F$27,"dd.mm.yyyy"),4,1))</f>
        <v/>
      </c>
      <c r="E37" s="491" t="str">
        <f>IF('Input data'!$F$27="","",MID(TEXT('Input data'!$F$27,"dd.mm.yyyy"),5,1))</f>
        <v/>
      </c>
      <c r="F37" s="490" t="s">
        <v>1149</v>
      </c>
      <c r="G37" s="489" t="str">
        <f>IF('Input data'!$F$27="","",MID(TEXT('Input data'!$F$27,"dd.mm.yyyy"),7,1))</f>
        <v/>
      </c>
      <c r="H37" s="489" t="str">
        <f>IF('Input data'!$F$27="","",MID(TEXT('Input data'!$F$27,"dd.mm.yyyy"),8,1))</f>
        <v/>
      </c>
      <c r="I37" s="489" t="str">
        <f>IF('Input data'!$F$27="","",MID(TEXT('Input data'!$F$27,"dd.mm.yyyy"),9,1))</f>
        <v/>
      </c>
      <c r="J37" s="489" t="str">
        <f>IF('Input data'!$F$27="","",MID(TEXT('Input data'!$F$27,"dd.mm.yyyy"),10,1))</f>
        <v/>
      </c>
      <c r="K37" s="488"/>
      <c r="L37" s="487"/>
      <c r="M37" s="486"/>
      <c r="N37" s="486"/>
      <c r="O37" s="486"/>
      <c r="P37" s="486"/>
      <c r="Q37" s="486"/>
      <c r="R37" s="486"/>
      <c r="S37" s="486"/>
      <c r="T37" s="485"/>
      <c r="U37" s="487"/>
      <c r="V37" s="486"/>
      <c r="W37" s="486"/>
      <c r="X37" s="486"/>
      <c r="Y37" s="486"/>
      <c r="Z37" s="486"/>
      <c r="AA37" s="486"/>
      <c r="AB37" s="485"/>
      <c r="AC37" s="471"/>
      <c r="AD37" s="471"/>
      <c r="AE37" s="471"/>
      <c r="AF37" s="471"/>
      <c r="AG37" s="471"/>
      <c r="AH37" s="471"/>
      <c r="AI37" s="471"/>
      <c r="AJ37" s="471"/>
      <c r="AK37" s="470"/>
    </row>
    <row r="38" spans="1:37" s="469" customFormat="1" thickBot="1" x14ac:dyDescent="0.3">
      <c r="A38" s="484"/>
      <c r="B38" s="483"/>
      <c r="C38" s="483"/>
      <c r="D38" s="483"/>
      <c r="E38" s="483"/>
      <c r="F38" s="483"/>
      <c r="G38" s="483"/>
      <c r="H38" s="483"/>
      <c r="I38" s="483"/>
      <c r="J38" s="483"/>
      <c r="K38" s="482"/>
      <c r="L38" s="1358"/>
      <c r="M38" s="1359"/>
      <c r="N38" s="1359"/>
      <c r="O38" s="1359"/>
      <c r="P38" s="1359"/>
      <c r="Q38" s="1359"/>
      <c r="R38" s="1359"/>
      <c r="S38" s="1359"/>
      <c r="T38" s="1360"/>
      <c r="U38" s="1358"/>
      <c r="V38" s="1359"/>
      <c r="W38" s="1359"/>
      <c r="X38" s="1359"/>
      <c r="Y38" s="1359"/>
      <c r="Z38" s="1359"/>
      <c r="AA38" s="1359"/>
      <c r="AB38" s="1360"/>
      <c r="AC38" s="1373"/>
      <c r="AD38" s="1359"/>
      <c r="AE38" s="1359"/>
      <c r="AF38" s="1359"/>
      <c r="AG38" s="1359"/>
      <c r="AH38" s="1359"/>
      <c r="AI38" s="1359"/>
      <c r="AJ38" s="1359"/>
      <c r="AK38" s="1374"/>
    </row>
    <row r="39" spans="1:37" s="469" customFormat="1" x14ac:dyDescent="0.25">
      <c r="W39" s="464"/>
      <c r="X39" s="464"/>
      <c r="Y39" s="464"/>
      <c r="Z39" s="464"/>
      <c r="AA39" s="464"/>
      <c r="AB39" s="464"/>
      <c r="AC39" s="464"/>
      <c r="AD39" s="464"/>
      <c r="AE39" s="464"/>
      <c r="AF39" s="464"/>
      <c r="AG39" s="464"/>
      <c r="AH39" s="464"/>
      <c r="AI39" s="464"/>
      <c r="AJ39" s="464"/>
      <c r="AK39" s="464"/>
    </row>
    <row r="40" spans="1:37" s="469" customFormat="1" ht="12.75" customHeight="1" x14ac:dyDescent="0.25">
      <c r="W40" s="464"/>
      <c r="X40" s="464"/>
      <c r="Y40" s="464"/>
      <c r="Z40" s="464"/>
      <c r="AA40" s="464"/>
      <c r="AB40" s="464"/>
      <c r="AC40" s="464"/>
      <c r="AD40" s="464"/>
      <c r="AE40" s="464"/>
      <c r="AF40" s="464"/>
      <c r="AG40" s="464"/>
      <c r="AH40" s="464"/>
      <c r="AI40" s="464"/>
      <c r="AJ40" s="464"/>
      <c r="AK40" s="464"/>
    </row>
    <row r="41" spans="1:37" s="469" customFormat="1" x14ac:dyDescent="0.25">
      <c r="W41" s="464"/>
      <c r="X41" s="464"/>
      <c r="Y41" s="464"/>
      <c r="Z41" s="464"/>
      <c r="AA41" s="464"/>
      <c r="AB41" s="464"/>
      <c r="AC41" s="464"/>
      <c r="AD41" s="464"/>
      <c r="AE41" s="464"/>
      <c r="AF41" s="464"/>
      <c r="AG41" s="464"/>
      <c r="AH41" s="464"/>
      <c r="AI41" s="464"/>
      <c r="AJ41" s="464"/>
      <c r="AK41" s="464"/>
    </row>
    <row r="42" spans="1:37" ht="13.5" thickBot="1" x14ac:dyDescent="0.3">
      <c r="W42" s="464"/>
      <c r="X42" s="464"/>
      <c r="Y42" s="464"/>
      <c r="Z42" s="464"/>
      <c r="AA42" s="464"/>
      <c r="AB42" s="464"/>
      <c r="AC42" s="464"/>
      <c r="AD42" s="464"/>
      <c r="AE42" s="464"/>
      <c r="AF42" s="464"/>
      <c r="AG42" s="464"/>
      <c r="AH42" s="464"/>
      <c r="AI42" s="464"/>
      <c r="AJ42" s="464"/>
      <c r="AK42" s="464"/>
    </row>
    <row r="43" spans="1:37" s="469" customFormat="1" x14ac:dyDescent="0.25">
      <c r="B43" s="481" t="s">
        <v>1186</v>
      </c>
      <c r="C43" s="480"/>
      <c r="D43" s="480"/>
      <c r="E43" s="480"/>
      <c r="F43" s="480"/>
      <c r="G43" s="480"/>
      <c r="H43" s="480"/>
      <c r="I43" s="480"/>
      <c r="J43" s="480"/>
      <c r="K43" s="480"/>
      <c r="L43" s="480"/>
      <c r="M43" s="480"/>
      <c r="N43" s="480"/>
      <c r="O43" s="480"/>
      <c r="P43" s="480"/>
      <c r="Q43" s="480"/>
      <c r="R43" s="480"/>
      <c r="S43" s="480"/>
      <c r="T43" s="480"/>
      <c r="U43" s="480"/>
      <c r="V43" s="480"/>
      <c r="W43" s="479"/>
      <c r="X43" s="479"/>
      <c r="Y43" s="479"/>
      <c r="Z43" s="479"/>
      <c r="AA43" s="479"/>
      <c r="AB43" s="479"/>
      <c r="AC43" s="479"/>
      <c r="AD43" s="479"/>
      <c r="AE43" s="479"/>
      <c r="AF43" s="479"/>
      <c r="AG43" s="479"/>
      <c r="AH43" s="479"/>
      <c r="AI43" s="479"/>
      <c r="AJ43" s="478"/>
      <c r="AK43" s="464"/>
    </row>
    <row r="44" spans="1:37" s="469" customFormat="1" x14ac:dyDescent="0.25">
      <c r="B44" s="473"/>
      <c r="C44" s="472"/>
      <c r="D44" s="472"/>
      <c r="E44" s="472"/>
      <c r="F44" s="472"/>
      <c r="G44" s="472"/>
      <c r="H44" s="472"/>
      <c r="I44" s="472"/>
      <c r="J44" s="472"/>
      <c r="K44" s="472"/>
      <c r="L44" s="472"/>
      <c r="M44" s="472"/>
      <c r="N44" s="472"/>
      <c r="O44" s="472"/>
      <c r="P44" s="472"/>
      <c r="Q44" s="472"/>
      <c r="R44" s="472"/>
      <c r="S44" s="472"/>
      <c r="T44" s="472"/>
      <c r="U44" s="472"/>
      <c r="V44" s="472"/>
      <c r="W44" s="471"/>
      <c r="X44" s="471"/>
      <c r="Y44" s="471"/>
      <c r="Z44" s="471"/>
      <c r="AA44" s="471"/>
      <c r="AB44" s="471"/>
      <c r="AC44" s="471"/>
      <c r="AD44" s="471"/>
      <c r="AE44" s="471"/>
      <c r="AF44" s="471"/>
      <c r="AG44" s="471"/>
      <c r="AH44" s="471"/>
      <c r="AI44" s="471"/>
      <c r="AJ44" s="470"/>
      <c r="AK44" s="464"/>
    </row>
    <row r="45" spans="1:37" ht="12.75" customHeight="1" x14ac:dyDescent="0.25">
      <c r="B45" s="477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1"/>
      <c r="X45" s="471"/>
      <c r="Y45" s="471"/>
      <c r="Z45" s="471"/>
      <c r="AA45" s="471"/>
      <c r="AB45" s="471"/>
      <c r="AC45" s="471"/>
      <c r="AD45" s="471"/>
      <c r="AE45" s="471"/>
      <c r="AF45" s="471"/>
      <c r="AG45" s="471"/>
      <c r="AH45" s="471"/>
      <c r="AI45" s="471"/>
      <c r="AJ45" s="470"/>
      <c r="AK45" s="464"/>
    </row>
    <row r="46" spans="1:37" s="469" customFormat="1" x14ac:dyDescent="0.25">
      <c r="B46" s="473"/>
      <c r="C46" s="472"/>
      <c r="D46" s="472"/>
      <c r="E46" s="472"/>
      <c r="F46" s="472"/>
      <c r="G46" s="472"/>
      <c r="H46" s="472"/>
      <c r="I46" s="472"/>
      <c r="J46" s="472"/>
      <c r="K46" s="472"/>
      <c r="L46" s="472"/>
      <c r="M46" s="472"/>
      <c r="N46" s="472"/>
      <c r="O46" s="472"/>
      <c r="P46" s="472"/>
      <c r="Q46" s="472"/>
      <c r="R46" s="472"/>
      <c r="S46" s="472"/>
      <c r="T46" s="472"/>
      <c r="U46" s="472"/>
      <c r="V46" s="472"/>
      <c r="W46" s="471"/>
      <c r="X46" s="471"/>
      <c r="Y46" s="471"/>
      <c r="Z46" s="471"/>
      <c r="AA46" s="471"/>
      <c r="AB46" s="471"/>
      <c r="AC46" s="471"/>
      <c r="AD46" s="471"/>
      <c r="AE46" s="471"/>
      <c r="AF46" s="471"/>
      <c r="AG46" s="471"/>
      <c r="AH46" s="471"/>
      <c r="AI46" s="471"/>
      <c r="AJ46" s="470"/>
      <c r="AK46" s="464"/>
    </row>
    <row r="47" spans="1:37" s="463" customFormat="1" x14ac:dyDescent="0.25">
      <c r="B47" s="475"/>
      <c r="C47" s="474"/>
      <c r="D47" s="474"/>
      <c r="E47" s="474"/>
      <c r="F47" s="474"/>
      <c r="G47" s="474"/>
      <c r="H47" s="474"/>
      <c r="I47" s="474"/>
      <c r="J47" s="474"/>
      <c r="K47" s="474"/>
      <c r="L47" s="474"/>
      <c r="M47" s="474"/>
      <c r="N47" s="474"/>
      <c r="O47" s="474"/>
      <c r="P47" s="474"/>
      <c r="Q47" s="474"/>
      <c r="R47" s="474"/>
      <c r="S47" s="474"/>
      <c r="T47" s="474"/>
      <c r="U47" s="474"/>
      <c r="V47" s="474"/>
      <c r="W47" s="471"/>
      <c r="X47" s="471"/>
      <c r="Y47" s="471"/>
      <c r="Z47" s="471"/>
      <c r="AA47" s="471"/>
      <c r="AB47" s="471"/>
      <c r="AC47" s="471"/>
      <c r="AD47" s="471"/>
      <c r="AE47" s="471"/>
      <c r="AF47" s="471"/>
      <c r="AG47" s="471"/>
      <c r="AH47" s="471"/>
      <c r="AI47" s="471"/>
      <c r="AJ47" s="470"/>
      <c r="AK47" s="464"/>
    </row>
    <row r="48" spans="1:37" s="463" customFormat="1" x14ac:dyDescent="0.25">
      <c r="B48" s="475"/>
      <c r="C48" s="474"/>
      <c r="D48" s="474"/>
      <c r="E48" s="474"/>
      <c r="F48" s="474"/>
      <c r="G48" s="474"/>
      <c r="H48" s="474"/>
      <c r="I48" s="474"/>
      <c r="J48" s="474"/>
      <c r="K48" s="474"/>
      <c r="L48" s="474"/>
      <c r="M48" s="474"/>
      <c r="N48" s="474"/>
      <c r="O48" s="474"/>
      <c r="P48" s="474"/>
      <c r="Q48" s="474"/>
      <c r="R48" s="474"/>
      <c r="S48" s="474"/>
      <c r="T48" s="474"/>
      <c r="U48" s="474"/>
      <c r="V48" s="474"/>
      <c r="W48" s="471"/>
      <c r="X48" s="471"/>
      <c r="Y48" s="471"/>
      <c r="Z48" s="471"/>
      <c r="AA48" s="471"/>
      <c r="AB48" s="471"/>
      <c r="AC48" s="471"/>
      <c r="AD48" s="471"/>
      <c r="AE48" s="471"/>
      <c r="AF48" s="471"/>
      <c r="AG48" s="471"/>
      <c r="AH48" s="471"/>
      <c r="AI48" s="471"/>
      <c r="AJ48" s="470"/>
      <c r="AK48" s="464"/>
    </row>
    <row r="49" spans="2:37" s="469" customFormat="1" x14ac:dyDescent="0.25">
      <c r="B49" s="473"/>
      <c r="C49" s="472"/>
      <c r="D49" s="472"/>
      <c r="E49" s="472"/>
      <c r="F49" s="472"/>
      <c r="G49" s="472"/>
      <c r="H49" s="472"/>
      <c r="I49" s="472"/>
      <c r="J49" s="472"/>
      <c r="K49" s="472"/>
      <c r="L49" s="472"/>
      <c r="M49" s="472"/>
      <c r="N49" s="472"/>
      <c r="O49" s="472"/>
      <c r="P49" s="472"/>
      <c r="Q49" s="472"/>
      <c r="R49" s="472"/>
      <c r="S49" s="472"/>
      <c r="T49" s="472"/>
      <c r="U49" s="472"/>
      <c r="V49" s="472"/>
      <c r="W49" s="471"/>
      <c r="X49" s="471"/>
      <c r="Y49" s="471"/>
      <c r="Z49" s="471"/>
      <c r="AA49" s="471"/>
      <c r="AB49" s="471"/>
      <c r="AC49" s="471"/>
      <c r="AD49" s="471"/>
      <c r="AE49" s="471"/>
      <c r="AF49" s="471"/>
      <c r="AG49" s="471"/>
      <c r="AH49" s="471"/>
      <c r="AI49" s="471"/>
      <c r="AJ49" s="470"/>
      <c r="AK49" s="464"/>
    </row>
    <row r="50" spans="2:37" s="469" customFormat="1" x14ac:dyDescent="0.25">
      <c r="B50" s="473"/>
      <c r="C50" s="472"/>
      <c r="D50" s="472"/>
      <c r="E50" s="472"/>
      <c r="F50" s="472"/>
      <c r="G50" s="472"/>
      <c r="H50" s="472"/>
      <c r="I50" s="472"/>
      <c r="J50" s="472"/>
      <c r="K50" s="472"/>
      <c r="L50" s="472"/>
      <c r="M50" s="472"/>
      <c r="N50" s="472"/>
      <c r="O50" s="472"/>
      <c r="P50" s="472"/>
      <c r="Q50" s="472"/>
      <c r="R50" s="472"/>
      <c r="S50" s="472"/>
      <c r="T50" s="472"/>
      <c r="U50" s="472"/>
      <c r="V50" s="472"/>
      <c r="W50" s="471"/>
      <c r="X50" s="471"/>
      <c r="Y50" s="471"/>
      <c r="Z50" s="471"/>
      <c r="AA50" s="471"/>
      <c r="AB50" s="471"/>
      <c r="AC50" s="471"/>
      <c r="AD50" s="471"/>
      <c r="AE50" s="471"/>
      <c r="AF50" s="471"/>
      <c r="AG50" s="471"/>
      <c r="AH50" s="471"/>
      <c r="AI50" s="471"/>
      <c r="AJ50" s="470"/>
      <c r="AK50" s="464"/>
    </row>
    <row r="51" spans="2:37" s="469" customFormat="1" x14ac:dyDescent="0.25">
      <c r="B51" s="473"/>
      <c r="C51" s="472"/>
      <c r="D51" s="472"/>
      <c r="E51" s="472"/>
      <c r="F51" s="472"/>
      <c r="G51" s="472"/>
      <c r="H51" s="472"/>
      <c r="I51" s="472"/>
      <c r="J51" s="472"/>
      <c r="K51" s="472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0"/>
      <c r="AK51" s="464"/>
    </row>
    <row r="52" spans="2:37" s="469" customFormat="1" x14ac:dyDescent="0.25">
      <c r="B52" s="473"/>
      <c r="C52" s="472"/>
      <c r="D52" s="472"/>
      <c r="E52" s="472"/>
      <c r="F52" s="472"/>
      <c r="G52" s="472"/>
      <c r="H52" s="472"/>
      <c r="I52" s="472"/>
      <c r="J52" s="472"/>
      <c r="K52" s="472"/>
      <c r="L52" s="472"/>
      <c r="M52" s="472"/>
      <c r="N52" s="472"/>
      <c r="O52" s="472"/>
      <c r="P52" s="472"/>
      <c r="Q52" s="472"/>
      <c r="R52" s="472"/>
      <c r="S52" s="472"/>
      <c r="T52" s="472"/>
      <c r="U52" s="472"/>
      <c r="V52" s="472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0"/>
      <c r="AK52" s="464"/>
    </row>
    <row r="53" spans="2:37" s="463" customFormat="1" ht="13.5" thickBot="1" x14ac:dyDescent="0.3">
      <c r="B53" s="468"/>
      <c r="C53" s="467"/>
      <c r="D53" s="467"/>
      <c r="E53" s="467"/>
      <c r="F53" s="467"/>
      <c r="G53" s="467" t="s">
        <v>1187</v>
      </c>
      <c r="H53" s="467"/>
      <c r="I53" s="467"/>
      <c r="J53" s="467"/>
      <c r="K53" s="467"/>
      <c r="L53" s="467"/>
      <c r="M53" s="467"/>
      <c r="N53" s="467"/>
      <c r="O53" s="467"/>
      <c r="P53" s="467"/>
      <c r="Q53" s="467"/>
      <c r="R53" s="467"/>
      <c r="S53" s="467"/>
      <c r="T53" s="467"/>
      <c r="U53" s="467" t="s">
        <v>1188</v>
      </c>
      <c r="V53" s="467"/>
      <c r="W53" s="466"/>
      <c r="X53" s="466"/>
      <c r="Y53" s="466"/>
      <c r="Z53" s="466"/>
      <c r="AA53" s="466"/>
      <c r="AB53" s="466"/>
      <c r="AC53" s="466"/>
      <c r="AD53" s="466"/>
      <c r="AE53" s="466"/>
      <c r="AF53" s="466"/>
      <c r="AG53" s="466"/>
      <c r="AH53" s="466"/>
      <c r="AI53" s="466"/>
      <c r="AJ53" s="465"/>
      <c r="AK53" s="464"/>
    </row>
  </sheetData>
  <mergeCells count="6">
    <mergeCell ref="L38:T38"/>
    <mergeCell ref="U33:AB35"/>
    <mergeCell ref="AC33:AK35"/>
    <mergeCell ref="L33:T35"/>
    <mergeCell ref="AC38:AK38"/>
    <mergeCell ref="U38:AB38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25947/1/2010&amp;RStrana 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2"/>
  <sheetViews>
    <sheetView showGridLines="0" zoomScaleNormal="100" workbookViewId="0">
      <selection activeCell="A2" sqref="A1:A2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1308" t="s">
        <v>9</v>
      </c>
      <c r="B3" s="1310" t="s">
        <v>10</v>
      </c>
      <c r="C3" s="1311"/>
      <c r="D3" s="1308" t="s">
        <v>11</v>
      </c>
      <c r="E3" s="1308" t="s">
        <v>454</v>
      </c>
      <c r="F3" s="20"/>
      <c r="G3" s="20"/>
    </row>
    <row r="4" spans="1:7" ht="15" customHeight="1" thickTop="1" thickBot="1" x14ac:dyDescent="0.3">
      <c r="A4" s="1309"/>
      <c r="B4" s="21" t="s">
        <v>13</v>
      </c>
      <c r="C4" s="21" t="s">
        <v>12</v>
      </c>
      <c r="D4" s="1309"/>
      <c r="E4" s="1309"/>
      <c r="F4" s="20"/>
      <c r="G4" s="20"/>
    </row>
    <row r="5" spans="1:7" ht="16.5" thickTop="1" thickBot="1" x14ac:dyDescent="0.3">
      <c r="A5" s="14"/>
      <c r="B5" s="22"/>
      <c r="C5" s="23"/>
      <c r="D5" s="23"/>
      <c r="E5" s="24"/>
      <c r="F5" s="20"/>
      <c r="G5" s="20"/>
    </row>
    <row r="6" spans="1:7" ht="15.75" thickBot="1" x14ac:dyDescent="0.3">
      <c r="A6" s="14"/>
      <c r="B6" s="22"/>
      <c r="C6" s="23"/>
      <c r="D6" s="23"/>
      <c r="E6" s="24"/>
      <c r="F6" s="20"/>
      <c r="G6" s="20"/>
    </row>
    <row r="7" spans="1:7" ht="15.75" thickBot="1" x14ac:dyDescent="0.3">
      <c r="A7" s="14"/>
      <c r="B7" s="22"/>
      <c r="C7" s="23"/>
      <c r="D7" s="23"/>
      <c r="E7" s="24"/>
      <c r="F7" s="20"/>
      <c r="G7" s="20"/>
    </row>
    <row r="8" spans="1:7" ht="15.75" thickBot="1" x14ac:dyDescent="0.3">
      <c r="A8" s="14"/>
      <c r="B8" s="22"/>
      <c r="C8" s="23"/>
      <c r="D8" s="23"/>
      <c r="E8" s="24"/>
      <c r="F8" s="20"/>
      <c r="G8" s="20"/>
    </row>
    <row r="9" spans="1:7" ht="15.75" thickBot="1" x14ac:dyDescent="0.3">
      <c r="A9" s="14"/>
      <c r="B9" s="22"/>
      <c r="C9" s="23"/>
      <c r="D9" s="23"/>
      <c r="E9" s="24"/>
      <c r="F9" s="20"/>
      <c r="G9" s="20"/>
    </row>
    <row r="10" spans="1:7" ht="15.75" thickBot="1" x14ac:dyDescent="0.3">
      <c r="A10" s="25" t="s">
        <v>14</v>
      </c>
      <c r="B10" s="26">
        <f>SUM(B5:B9)</f>
        <v>0</v>
      </c>
      <c r="C10" s="27">
        <f>SUM(C5:C9)</f>
        <v>0</v>
      </c>
      <c r="D10" s="28">
        <f t="shared" ref="D10:E10" si="0">SUM(D5:D9)</f>
        <v>0</v>
      </c>
      <c r="E10" s="29">
        <f t="shared" si="0"/>
        <v>0</v>
      </c>
      <c r="F10" s="20"/>
      <c r="G10" s="20"/>
    </row>
    <row r="11" spans="1:7" ht="15.75" thickTop="1" x14ac:dyDescent="0.25">
      <c r="A11" s="20"/>
      <c r="B11" s="20"/>
      <c r="C11" s="20"/>
      <c r="D11" s="20"/>
      <c r="E11" s="20"/>
      <c r="F11" s="20"/>
      <c r="G11" s="20"/>
    </row>
    <row r="12" spans="1:7" x14ac:dyDescent="0.25">
      <c r="A12" s="37">
        <v>7</v>
      </c>
      <c r="B12" s="37">
        <v>4</v>
      </c>
      <c r="C12" s="37">
        <v>4</v>
      </c>
      <c r="D12" s="37">
        <v>4</v>
      </c>
      <c r="E12" s="37">
        <v>4</v>
      </c>
      <c r="F12" s="37"/>
      <c r="G12" s="37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13"/>
  <sheetViews>
    <sheetView view="pageBreakPreview" zoomScaleNormal="100" zoomScaleSheetLayoutView="100" workbookViewId="0">
      <selection activeCell="D7" sqref="D7:F7"/>
    </sheetView>
  </sheetViews>
  <sheetFormatPr defaultColWidth="9.140625" defaultRowHeight="11.25" x14ac:dyDescent="0.25"/>
  <cols>
    <col min="1" max="1" width="5.5703125" style="574" customWidth="1"/>
    <col min="2" max="2" width="18.7109375" style="574" customWidth="1"/>
    <col min="3" max="3" width="3.7109375" style="574" customWidth="1"/>
    <col min="4" max="4" width="3.5703125" style="574" customWidth="1"/>
    <col min="5" max="5" width="12.42578125" style="574" customWidth="1"/>
    <col min="6" max="6" width="12.140625" style="574" customWidth="1"/>
    <col min="7" max="7" width="14.7109375" style="574" customWidth="1"/>
    <col min="8" max="8" width="3.5703125" style="574" customWidth="1"/>
    <col min="9" max="9" width="10.5703125" style="574" customWidth="1"/>
    <col min="10" max="10" width="14.42578125" style="574" customWidth="1"/>
    <col min="11" max="16384" width="9.140625" style="574"/>
  </cols>
  <sheetData>
    <row r="1" spans="1:13" ht="7.5" customHeight="1" x14ac:dyDescent="0.25">
      <c r="A1" s="573"/>
      <c r="F1" s="517"/>
      <c r="G1" s="517"/>
      <c r="H1" s="517"/>
      <c r="I1" s="517"/>
    </row>
    <row r="2" spans="1:13" ht="17.25" customHeight="1" x14ac:dyDescent="0.25">
      <c r="A2" s="573"/>
      <c r="B2" s="599" t="s">
        <v>1146</v>
      </c>
      <c r="E2" s="517"/>
      <c r="F2" s="598" t="s">
        <v>1320</v>
      </c>
      <c r="G2" s="597" t="str">
        <f>" 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 2  0  2  0  3  1  3  9  4  4</v>
      </c>
      <c r="H2" s="596"/>
      <c r="I2" s="595"/>
    </row>
    <row r="3" spans="1:13" ht="7.5" customHeight="1" thickBot="1" x14ac:dyDescent="0.3">
      <c r="A3" s="573"/>
    </row>
    <row r="4" spans="1:13" s="592" customFormat="1" ht="11.25" customHeight="1" x14ac:dyDescent="0.25">
      <c r="A4" s="1422" t="s">
        <v>1223</v>
      </c>
      <c r="B4" s="1424" t="s">
        <v>1267</v>
      </c>
      <c r="C4" s="1426" t="s">
        <v>1221</v>
      </c>
      <c r="D4" s="1394" t="s">
        <v>2</v>
      </c>
      <c r="E4" s="1395"/>
      <c r="F4" s="1395"/>
      <c r="G4" s="1395"/>
      <c r="H4" s="1396"/>
      <c r="I4" s="1392" t="s">
        <v>1266</v>
      </c>
      <c r="J4" s="1393"/>
    </row>
    <row r="5" spans="1:13" s="592" customFormat="1" ht="11.25" customHeight="1" x14ac:dyDescent="0.15">
      <c r="A5" s="1423"/>
      <c r="B5" s="1397"/>
      <c r="C5" s="1427"/>
      <c r="D5" s="1398">
        <v>1</v>
      </c>
      <c r="E5" s="1397" t="s">
        <v>1265</v>
      </c>
      <c r="F5" s="1397"/>
      <c r="G5" s="1387" t="s">
        <v>1264</v>
      </c>
      <c r="H5" s="1388"/>
      <c r="I5" s="1382"/>
      <c r="J5" s="1391"/>
    </row>
    <row r="6" spans="1:13" s="592" customFormat="1" ht="12" customHeight="1" x14ac:dyDescent="0.15">
      <c r="A6" s="1423"/>
      <c r="B6" s="1397"/>
      <c r="C6" s="1427"/>
      <c r="D6" s="1398"/>
      <c r="E6" s="1397" t="s">
        <v>1263</v>
      </c>
      <c r="F6" s="1397"/>
      <c r="G6" s="1387"/>
      <c r="H6" s="1388"/>
      <c r="I6" s="1380" t="s">
        <v>1262</v>
      </c>
      <c r="J6" s="1381"/>
    </row>
    <row r="7" spans="1:13" s="594" customFormat="1" ht="27.95" customHeight="1" x14ac:dyDescent="0.25">
      <c r="A7" s="1425"/>
      <c r="B7" s="1401" t="s">
        <v>1319</v>
      </c>
      <c r="C7" s="1421" t="s">
        <v>522</v>
      </c>
      <c r="D7" s="1379">
        <f>BS!D10</f>
        <v>0</v>
      </c>
      <c r="E7" s="1379"/>
      <c r="F7" s="1379"/>
      <c r="G7" s="1375">
        <f>BS!F10</f>
        <v>0</v>
      </c>
      <c r="H7" s="1376"/>
      <c r="I7" s="1378"/>
      <c r="J7" s="593"/>
    </row>
    <row r="8" spans="1:13" s="594" customFormat="1" ht="27.95" customHeight="1" x14ac:dyDescent="0.25">
      <c r="A8" s="1425"/>
      <c r="B8" s="1401"/>
      <c r="C8" s="1421"/>
      <c r="D8" s="1379">
        <f>BS!E10</f>
        <v>0</v>
      </c>
      <c r="E8" s="1379"/>
      <c r="F8" s="1379"/>
      <c r="G8" s="591"/>
      <c r="H8" s="1375">
        <f>BS!G10</f>
        <v>0</v>
      </c>
      <c r="I8" s="1376"/>
      <c r="J8" s="1377"/>
      <c r="M8" s="594" t="s">
        <v>1179</v>
      </c>
    </row>
    <row r="9" spans="1:13" s="594" customFormat="1" ht="27.95" customHeight="1" x14ac:dyDescent="0.25">
      <c r="A9" s="1419" t="s">
        <v>523</v>
      </c>
      <c r="B9" s="1420" t="s">
        <v>1318</v>
      </c>
      <c r="C9" s="1421" t="s">
        <v>525</v>
      </c>
      <c r="D9" s="1379">
        <f>BS!D11</f>
        <v>0</v>
      </c>
      <c r="E9" s="1379"/>
      <c r="F9" s="1379"/>
      <c r="G9" s="1375">
        <f>BS!F11</f>
        <v>0</v>
      </c>
      <c r="H9" s="1376"/>
      <c r="I9" s="1378"/>
      <c r="J9" s="593"/>
    </row>
    <row r="10" spans="1:13" s="594" customFormat="1" ht="27.95" customHeight="1" x14ac:dyDescent="0.25">
      <c r="A10" s="1419"/>
      <c r="B10" s="1401"/>
      <c r="C10" s="1421"/>
      <c r="D10" s="1379">
        <f>BS!E11</f>
        <v>0</v>
      </c>
      <c r="E10" s="1379"/>
      <c r="F10" s="1379"/>
      <c r="G10" s="673"/>
      <c r="H10" s="1375">
        <f>BS!G11</f>
        <v>0</v>
      </c>
      <c r="I10" s="1376"/>
      <c r="J10" s="1377"/>
    </row>
    <row r="11" spans="1:13" s="594" customFormat="1" ht="27.95" customHeight="1" x14ac:dyDescent="0.25">
      <c r="A11" s="1419" t="s">
        <v>526</v>
      </c>
      <c r="B11" s="1420" t="s">
        <v>1317</v>
      </c>
      <c r="C11" s="1421" t="s">
        <v>528</v>
      </c>
      <c r="D11" s="1379">
        <f>BS!D12</f>
        <v>0</v>
      </c>
      <c r="E11" s="1379"/>
      <c r="F11" s="1379"/>
      <c r="G11" s="1375">
        <f>BS!F12</f>
        <v>0</v>
      </c>
      <c r="H11" s="1376"/>
      <c r="I11" s="1378"/>
      <c r="J11" s="593"/>
    </row>
    <row r="12" spans="1:13" s="594" customFormat="1" ht="27.95" customHeight="1" x14ac:dyDescent="0.25">
      <c r="A12" s="1419"/>
      <c r="B12" s="1401"/>
      <c r="C12" s="1421"/>
      <c r="D12" s="1379">
        <f>BS!E12</f>
        <v>0</v>
      </c>
      <c r="E12" s="1379"/>
      <c r="F12" s="1379"/>
      <c r="G12" s="673"/>
      <c r="H12" s="1375">
        <f>BS!G12</f>
        <v>0</v>
      </c>
      <c r="I12" s="1376"/>
      <c r="J12" s="1377"/>
    </row>
    <row r="13" spans="1:13" s="592" customFormat="1" ht="27.95" customHeight="1" x14ac:dyDescent="0.25">
      <c r="A13" s="1415" t="s">
        <v>529</v>
      </c>
      <c r="B13" s="1399" t="s">
        <v>1316</v>
      </c>
      <c r="C13" s="1417" t="s">
        <v>531</v>
      </c>
      <c r="D13" s="1379">
        <f>BS!D13</f>
        <v>0</v>
      </c>
      <c r="E13" s="1379"/>
      <c r="F13" s="1379"/>
      <c r="G13" s="1375">
        <f>BS!F13</f>
        <v>0</v>
      </c>
      <c r="H13" s="1376"/>
      <c r="I13" s="1378"/>
      <c r="J13" s="593"/>
    </row>
    <row r="14" spans="1:13" s="592" customFormat="1" ht="27.95" customHeight="1" x14ac:dyDescent="0.25">
      <c r="A14" s="1416"/>
      <c r="B14" s="1399"/>
      <c r="C14" s="1418"/>
      <c r="D14" s="1379">
        <f>BS!E13</f>
        <v>0</v>
      </c>
      <c r="E14" s="1379"/>
      <c r="F14" s="1379"/>
      <c r="G14" s="673"/>
      <c r="H14" s="1375">
        <f>BS!G13</f>
        <v>0</v>
      </c>
      <c r="I14" s="1376"/>
      <c r="J14" s="1377"/>
    </row>
    <row r="15" spans="1:13" s="592" customFormat="1" ht="27.95" customHeight="1" x14ac:dyDescent="0.25">
      <c r="A15" s="1414" t="s">
        <v>532</v>
      </c>
      <c r="B15" s="1399" t="s">
        <v>1315</v>
      </c>
      <c r="C15" s="1417" t="s">
        <v>534</v>
      </c>
      <c r="D15" s="1379">
        <f>BS!D14</f>
        <v>0</v>
      </c>
      <c r="E15" s="1379"/>
      <c r="F15" s="1379"/>
      <c r="G15" s="1375">
        <f>BS!F14</f>
        <v>0</v>
      </c>
      <c r="H15" s="1376"/>
      <c r="I15" s="1378"/>
      <c r="J15" s="593"/>
    </row>
    <row r="16" spans="1:13" s="592" customFormat="1" ht="27.95" customHeight="1" x14ac:dyDescent="0.25">
      <c r="A16" s="1414"/>
      <c r="B16" s="1399"/>
      <c r="C16" s="1418"/>
      <c r="D16" s="1379">
        <f>BS!E14</f>
        <v>0</v>
      </c>
      <c r="E16" s="1379"/>
      <c r="F16" s="1379"/>
      <c r="G16" s="673"/>
      <c r="H16" s="1375">
        <f>BS!G14</f>
        <v>0</v>
      </c>
      <c r="I16" s="1376"/>
      <c r="J16" s="1377"/>
    </row>
    <row r="17" spans="1:10" s="592" customFormat="1" ht="27.95" customHeight="1" x14ac:dyDescent="0.25">
      <c r="A17" s="1414" t="s">
        <v>535</v>
      </c>
      <c r="B17" s="1399" t="s">
        <v>1314</v>
      </c>
      <c r="C17" s="1417" t="s">
        <v>537</v>
      </c>
      <c r="D17" s="1379">
        <f>BS!D15</f>
        <v>0</v>
      </c>
      <c r="E17" s="1379"/>
      <c r="F17" s="1379"/>
      <c r="G17" s="1375">
        <f>BS!F15</f>
        <v>0</v>
      </c>
      <c r="H17" s="1376"/>
      <c r="I17" s="1378"/>
      <c r="J17" s="593"/>
    </row>
    <row r="18" spans="1:10" s="592" customFormat="1" ht="27.95" customHeight="1" x14ac:dyDescent="0.25">
      <c r="A18" s="1414"/>
      <c r="B18" s="1399"/>
      <c r="C18" s="1418"/>
      <c r="D18" s="1379">
        <f>BS!E15</f>
        <v>0</v>
      </c>
      <c r="E18" s="1379"/>
      <c r="F18" s="1379"/>
      <c r="G18" s="673"/>
      <c r="H18" s="1375">
        <f>BS!G15</f>
        <v>0</v>
      </c>
      <c r="I18" s="1376"/>
      <c r="J18" s="1377"/>
    </row>
    <row r="19" spans="1:10" s="592" customFormat="1" ht="27.95" customHeight="1" x14ac:dyDescent="0.25">
      <c r="A19" s="1414" t="s">
        <v>538</v>
      </c>
      <c r="B19" s="1399" t="s">
        <v>1313</v>
      </c>
      <c r="C19" s="1417" t="s">
        <v>540</v>
      </c>
      <c r="D19" s="1379">
        <f>BS!D16</f>
        <v>0</v>
      </c>
      <c r="E19" s="1379"/>
      <c r="F19" s="1379"/>
      <c r="G19" s="1375">
        <f>BS!F16</f>
        <v>0</v>
      </c>
      <c r="H19" s="1376"/>
      <c r="I19" s="1378"/>
      <c r="J19" s="593"/>
    </row>
    <row r="20" spans="1:10" s="592" customFormat="1" ht="27.95" customHeight="1" x14ac:dyDescent="0.25">
      <c r="A20" s="1414"/>
      <c r="B20" s="1399"/>
      <c r="C20" s="1418"/>
      <c r="D20" s="1379">
        <f>BS!E16</f>
        <v>0</v>
      </c>
      <c r="E20" s="1379"/>
      <c r="F20" s="1379"/>
      <c r="G20" s="673"/>
      <c r="H20" s="1375">
        <f>BS!G16</f>
        <v>0</v>
      </c>
      <c r="I20" s="1376"/>
      <c r="J20" s="1377"/>
    </row>
    <row r="21" spans="1:10" s="592" customFormat="1" ht="27.95" customHeight="1" x14ac:dyDescent="0.25">
      <c r="A21" s="1414" t="s">
        <v>541</v>
      </c>
      <c r="B21" s="1399" t="s">
        <v>1312</v>
      </c>
      <c r="C21" s="1417" t="s">
        <v>543</v>
      </c>
      <c r="D21" s="1379">
        <f>BS!D17</f>
        <v>0</v>
      </c>
      <c r="E21" s="1379"/>
      <c r="F21" s="1379"/>
      <c r="G21" s="1375">
        <f>BS!F17</f>
        <v>0</v>
      </c>
      <c r="H21" s="1376"/>
      <c r="I21" s="1378"/>
      <c r="J21" s="593"/>
    </row>
    <row r="22" spans="1:10" s="592" customFormat="1" ht="27.95" customHeight="1" x14ac:dyDescent="0.25">
      <c r="A22" s="1414"/>
      <c r="B22" s="1399"/>
      <c r="C22" s="1418"/>
      <c r="D22" s="1379">
        <f>BS!E17</f>
        <v>0</v>
      </c>
      <c r="E22" s="1379"/>
      <c r="F22" s="1379"/>
      <c r="G22" s="673"/>
      <c r="H22" s="1375">
        <f>BS!G17</f>
        <v>0</v>
      </c>
      <c r="I22" s="1376"/>
      <c r="J22" s="1377"/>
    </row>
    <row r="23" spans="1:10" s="592" customFormat="1" ht="27.95" customHeight="1" x14ac:dyDescent="0.25">
      <c r="A23" s="1414" t="s">
        <v>544</v>
      </c>
      <c r="B23" s="1399" t="s">
        <v>1311</v>
      </c>
      <c r="C23" s="1417" t="s">
        <v>546</v>
      </c>
      <c r="D23" s="1379">
        <f>BS!D18</f>
        <v>0</v>
      </c>
      <c r="E23" s="1379"/>
      <c r="F23" s="1379"/>
      <c r="G23" s="1375">
        <f>BS!F18</f>
        <v>0</v>
      </c>
      <c r="H23" s="1376"/>
      <c r="I23" s="1378"/>
      <c r="J23" s="593"/>
    </row>
    <row r="24" spans="1:10" s="592" customFormat="1" ht="27.95" customHeight="1" x14ac:dyDescent="0.25">
      <c r="A24" s="1414"/>
      <c r="B24" s="1399"/>
      <c r="C24" s="1418"/>
      <c r="D24" s="1379">
        <f>BS!E18</f>
        <v>0</v>
      </c>
      <c r="E24" s="1379"/>
      <c r="F24" s="1379"/>
      <c r="G24" s="673"/>
      <c r="H24" s="1375">
        <f>BS!G18</f>
        <v>0</v>
      </c>
      <c r="I24" s="1376"/>
      <c r="J24" s="1377"/>
    </row>
    <row r="25" spans="1:10" s="592" customFormat="1" ht="27.95" customHeight="1" x14ac:dyDescent="0.25">
      <c r="A25" s="1414" t="s">
        <v>547</v>
      </c>
      <c r="B25" s="1399" t="s">
        <v>1310</v>
      </c>
      <c r="C25" s="1417" t="s">
        <v>549</v>
      </c>
      <c r="D25" s="1379">
        <f>BS!D19</f>
        <v>0</v>
      </c>
      <c r="E25" s="1379"/>
      <c r="F25" s="1379"/>
      <c r="G25" s="1375">
        <f>BS!F19</f>
        <v>0</v>
      </c>
      <c r="H25" s="1376"/>
      <c r="I25" s="1378"/>
      <c r="J25" s="593"/>
    </row>
    <row r="26" spans="1:10" s="592" customFormat="1" ht="27.95" customHeight="1" x14ac:dyDescent="0.25">
      <c r="A26" s="1414"/>
      <c r="B26" s="1399"/>
      <c r="C26" s="1418"/>
      <c r="D26" s="1379">
        <f>BS!E19</f>
        <v>0</v>
      </c>
      <c r="E26" s="1379"/>
      <c r="F26" s="1379"/>
      <c r="G26" s="673"/>
      <c r="H26" s="1375">
        <f>BS!G19</f>
        <v>0</v>
      </c>
      <c r="I26" s="1376"/>
      <c r="J26" s="1377"/>
    </row>
    <row r="27" spans="1:10" s="594" customFormat="1" ht="27.95" customHeight="1" x14ac:dyDescent="0.25">
      <c r="A27" s="1428" t="s">
        <v>550</v>
      </c>
      <c r="B27" s="1401" t="s">
        <v>1309</v>
      </c>
      <c r="C27" s="1429" t="s">
        <v>552</v>
      </c>
      <c r="D27" s="1379">
        <f>BS!D20</f>
        <v>0</v>
      </c>
      <c r="E27" s="1379"/>
      <c r="F27" s="1379"/>
      <c r="G27" s="1375">
        <f>BS!F20</f>
        <v>0</v>
      </c>
      <c r="H27" s="1376"/>
      <c r="I27" s="1378"/>
      <c r="J27" s="593"/>
    </row>
    <row r="28" spans="1:10" s="594" customFormat="1" ht="27.95" customHeight="1" x14ac:dyDescent="0.25">
      <c r="A28" s="1419"/>
      <c r="B28" s="1401"/>
      <c r="C28" s="1430"/>
      <c r="D28" s="1379">
        <f>BS!E20</f>
        <v>0</v>
      </c>
      <c r="E28" s="1379"/>
      <c r="F28" s="1379"/>
      <c r="G28" s="673"/>
      <c r="H28" s="1375">
        <f>BS!G20</f>
        <v>0</v>
      </c>
      <c r="I28" s="1376"/>
      <c r="J28" s="1377"/>
    </row>
    <row r="29" spans="1:10" s="592" customFormat="1" ht="27.95" customHeight="1" x14ac:dyDescent="0.25">
      <c r="A29" s="1415" t="s">
        <v>553</v>
      </c>
      <c r="B29" s="1399" t="s">
        <v>1308</v>
      </c>
      <c r="C29" s="1417" t="s">
        <v>555</v>
      </c>
      <c r="D29" s="1379">
        <f>BS!D21</f>
        <v>0</v>
      </c>
      <c r="E29" s="1379"/>
      <c r="F29" s="1379"/>
      <c r="G29" s="1375">
        <f>BS!F21</f>
        <v>0</v>
      </c>
      <c r="H29" s="1376"/>
      <c r="I29" s="1378"/>
      <c r="J29" s="593"/>
    </row>
    <row r="30" spans="1:10" s="592" customFormat="1" ht="27.95" customHeight="1" x14ac:dyDescent="0.25">
      <c r="A30" s="1431"/>
      <c r="B30" s="1399"/>
      <c r="C30" s="1418"/>
      <c r="D30" s="1379">
        <f>BS!E21</f>
        <v>0</v>
      </c>
      <c r="E30" s="1379"/>
      <c r="F30" s="1379"/>
      <c r="G30" s="673"/>
      <c r="H30" s="1375">
        <f>BS!G21</f>
        <v>0</v>
      </c>
      <c r="I30" s="1376"/>
      <c r="J30" s="1377"/>
    </row>
    <row r="31" spans="1:10" s="592" customFormat="1" ht="27.95" customHeight="1" x14ac:dyDescent="0.25">
      <c r="A31" s="1414" t="s">
        <v>532</v>
      </c>
      <c r="B31" s="1399" t="s">
        <v>1307</v>
      </c>
      <c r="C31" s="1417" t="s">
        <v>557</v>
      </c>
      <c r="D31" s="1379">
        <f>BS!D22</f>
        <v>0</v>
      </c>
      <c r="E31" s="1379"/>
      <c r="F31" s="1379"/>
      <c r="G31" s="1375">
        <f>BS!F22</f>
        <v>0</v>
      </c>
      <c r="H31" s="1376"/>
      <c r="I31" s="1378"/>
      <c r="J31" s="593"/>
    </row>
    <row r="32" spans="1:10" s="592" customFormat="1" ht="27.95" customHeight="1" x14ac:dyDescent="0.25">
      <c r="A32" s="1414"/>
      <c r="B32" s="1399"/>
      <c r="C32" s="1418"/>
      <c r="D32" s="1379">
        <f>BS!E22</f>
        <v>0</v>
      </c>
      <c r="E32" s="1379"/>
      <c r="F32" s="1379"/>
      <c r="G32" s="673"/>
      <c r="H32" s="1375">
        <f>BS!G22</f>
        <v>0</v>
      </c>
      <c r="I32" s="1376"/>
      <c r="J32" s="1377"/>
    </row>
    <row r="33" spans="1:10" s="592" customFormat="1" ht="11.25" customHeight="1" x14ac:dyDescent="0.25">
      <c r="A33" s="1434" t="s">
        <v>1223</v>
      </c>
      <c r="B33" s="1433" t="s">
        <v>1267</v>
      </c>
      <c r="C33" s="1440" t="s">
        <v>1221</v>
      </c>
      <c r="D33" s="1382" t="s">
        <v>2</v>
      </c>
      <c r="E33" s="1383"/>
      <c r="F33" s="1383"/>
      <c r="G33" s="1383"/>
      <c r="H33" s="1384"/>
      <c r="I33" s="1389" t="s">
        <v>1266</v>
      </c>
      <c r="J33" s="1390"/>
    </row>
    <row r="34" spans="1:10" s="592" customFormat="1" ht="11.25" customHeight="1" x14ac:dyDescent="0.15">
      <c r="A34" s="1423"/>
      <c r="B34" s="1397"/>
      <c r="C34" s="1427"/>
      <c r="D34" s="1398">
        <v>1</v>
      </c>
      <c r="E34" s="1397" t="s">
        <v>1265</v>
      </c>
      <c r="F34" s="1397"/>
      <c r="G34" s="1387" t="s">
        <v>1264</v>
      </c>
      <c r="H34" s="1388"/>
      <c r="I34" s="1382"/>
      <c r="J34" s="1391"/>
    </row>
    <row r="35" spans="1:10" s="592" customFormat="1" ht="12" customHeight="1" x14ac:dyDescent="0.15">
      <c r="A35" s="1423"/>
      <c r="B35" s="1397"/>
      <c r="C35" s="1427"/>
      <c r="D35" s="1398"/>
      <c r="E35" s="1397" t="s">
        <v>1263</v>
      </c>
      <c r="F35" s="1397"/>
      <c r="G35" s="1385"/>
      <c r="H35" s="1386"/>
      <c r="I35" s="1380" t="s">
        <v>1262</v>
      </c>
      <c r="J35" s="1381"/>
    </row>
    <row r="36" spans="1:10" ht="27.95" customHeight="1" x14ac:dyDescent="0.25">
      <c r="A36" s="1443" t="s">
        <v>535</v>
      </c>
      <c r="B36" s="1444" t="s">
        <v>1306</v>
      </c>
      <c r="C36" s="1418" t="s">
        <v>559</v>
      </c>
      <c r="D36" s="1379">
        <f>BS!D23</f>
        <v>0</v>
      </c>
      <c r="E36" s="1379"/>
      <c r="F36" s="1379"/>
      <c r="G36" s="1375">
        <f>BS!F23</f>
        <v>0</v>
      </c>
      <c r="H36" s="1376"/>
      <c r="I36" s="1378"/>
      <c r="J36" s="593"/>
    </row>
    <row r="37" spans="1:10" ht="27.95" customHeight="1" x14ac:dyDescent="0.25">
      <c r="A37" s="1414"/>
      <c r="B37" s="1399"/>
      <c r="C37" s="1409"/>
      <c r="D37" s="1379">
        <f>BS!E23</f>
        <v>0</v>
      </c>
      <c r="E37" s="1379"/>
      <c r="F37" s="1379"/>
      <c r="G37" s="673"/>
      <c r="H37" s="1375">
        <f>BS!G23</f>
        <v>0</v>
      </c>
      <c r="I37" s="1376"/>
      <c r="J37" s="1377"/>
    </row>
    <row r="38" spans="1:10" ht="27.95" customHeight="1" x14ac:dyDescent="0.25">
      <c r="A38" s="1414" t="s">
        <v>538</v>
      </c>
      <c r="B38" s="1399" t="s">
        <v>1305</v>
      </c>
      <c r="C38" s="1409" t="s">
        <v>561</v>
      </c>
      <c r="D38" s="1379">
        <f>BS!D24</f>
        <v>0</v>
      </c>
      <c r="E38" s="1379"/>
      <c r="F38" s="1379"/>
      <c r="G38" s="1375">
        <f>BS!F24</f>
        <v>0</v>
      </c>
      <c r="H38" s="1376"/>
      <c r="I38" s="1378"/>
      <c r="J38" s="593"/>
    </row>
    <row r="39" spans="1:10" ht="27.95" customHeight="1" x14ac:dyDescent="0.25">
      <c r="A39" s="1414"/>
      <c r="B39" s="1399"/>
      <c r="C39" s="1409"/>
      <c r="D39" s="1379">
        <f>BS!E24</f>
        <v>0</v>
      </c>
      <c r="E39" s="1379"/>
      <c r="F39" s="1379"/>
      <c r="G39" s="673"/>
      <c r="H39" s="1375">
        <f>BS!G24</f>
        <v>0</v>
      </c>
      <c r="I39" s="1376"/>
      <c r="J39" s="1377"/>
    </row>
    <row r="40" spans="1:10" ht="27.95" customHeight="1" x14ac:dyDescent="0.25">
      <c r="A40" s="1414" t="s">
        <v>541</v>
      </c>
      <c r="B40" s="1399" t="s">
        <v>1304</v>
      </c>
      <c r="C40" s="1418" t="s">
        <v>563</v>
      </c>
      <c r="D40" s="1379">
        <f>BS!D25</f>
        <v>0</v>
      </c>
      <c r="E40" s="1379"/>
      <c r="F40" s="1379"/>
      <c r="G40" s="1375">
        <f>BS!F25</f>
        <v>0</v>
      </c>
      <c r="H40" s="1376"/>
      <c r="I40" s="1378"/>
      <c r="J40" s="593"/>
    </row>
    <row r="41" spans="1:10" ht="27.95" customHeight="1" x14ac:dyDescent="0.25">
      <c r="A41" s="1414"/>
      <c r="B41" s="1399"/>
      <c r="C41" s="1409"/>
      <c r="D41" s="1379">
        <f>BS!E25</f>
        <v>0</v>
      </c>
      <c r="E41" s="1379"/>
      <c r="F41" s="1379"/>
      <c r="G41" s="673"/>
      <c r="H41" s="1375">
        <f>BS!G25</f>
        <v>0</v>
      </c>
      <c r="I41" s="1376"/>
      <c r="J41" s="1377"/>
    </row>
    <row r="42" spans="1:10" ht="27.95" customHeight="1" x14ac:dyDescent="0.25">
      <c r="A42" s="1414" t="s">
        <v>544</v>
      </c>
      <c r="B42" s="1399" t="s">
        <v>1303</v>
      </c>
      <c r="C42" s="1409" t="s">
        <v>565</v>
      </c>
      <c r="D42" s="1379">
        <f>BS!D26</f>
        <v>0</v>
      </c>
      <c r="E42" s="1379"/>
      <c r="F42" s="1379"/>
      <c r="G42" s="1375">
        <f>BS!F26</f>
        <v>0</v>
      </c>
      <c r="H42" s="1376"/>
      <c r="I42" s="1378"/>
      <c r="J42" s="593"/>
    </row>
    <row r="43" spans="1:10" ht="27.95" customHeight="1" x14ac:dyDescent="0.25">
      <c r="A43" s="1414"/>
      <c r="B43" s="1399"/>
      <c r="C43" s="1409"/>
      <c r="D43" s="1379">
        <f>BS!E26</f>
        <v>0</v>
      </c>
      <c r="E43" s="1379"/>
      <c r="F43" s="1379"/>
      <c r="G43" s="673"/>
      <c r="H43" s="1375">
        <f>BS!G26</f>
        <v>0</v>
      </c>
      <c r="I43" s="1376"/>
      <c r="J43" s="1377"/>
    </row>
    <row r="44" spans="1:10" ht="27.95" customHeight="1" x14ac:dyDescent="0.25">
      <c r="A44" s="1414" t="s">
        <v>547</v>
      </c>
      <c r="B44" s="1399" t="s">
        <v>1302</v>
      </c>
      <c r="C44" s="1418" t="s">
        <v>567</v>
      </c>
      <c r="D44" s="1379">
        <f>BS!D27</f>
        <v>0</v>
      </c>
      <c r="E44" s="1379"/>
      <c r="F44" s="1379"/>
      <c r="G44" s="1375">
        <f>BS!F27</f>
        <v>0</v>
      </c>
      <c r="H44" s="1376"/>
      <c r="I44" s="1378"/>
      <c r="J44" s="593"/>
    </row>
    <row r="45" spans="1:10" ht="27.95" customHeight="1" x14ac:dyDescent="0.25">
      <c r="A45" s="1414"/>
      <c r="B45" s="1399"/>
      <c r="C45" s="1409"/>
      <c r="D45" s="1379">
        <f>BS!E27</f>
        <v>0</v>
      </c>
      <c r="E45" s="1379"/>
      <c r="F45" s="1379"/>
      <c r="G45" s="673"/>
      <c r="H45" s="1375">
        <f>BS!G27</f>
        <v>0</v>
      </c>
      <c r="I45" s="1376"/>
      <c r="J45" s="1377"/>
    </row>
    <row r="46" spans="1:10" ht="27.95" customHeight="1" x14ac:dyDescent="0.25">
      <c r="A46" s="1414" t="s">
        <v>568</v>
      </c>
      <c r="B46" s="1399" t="s">
        <v>1301</v>
      </c>
      <c r="C46" s="1409" t="s">
        <v>570</v>
      </c>
      <c r="D46" s="1379">
        <f>BS!D28</f>
        <v>0</v>
      </c>
      <c r="E46" s="1379"/>
      <c r="F46" s="1379"/>
      <c r="G46" s="1375">
        <f>BS!F28</f>
        <v>0</v>
      </c>
      <c r="H46" s="1376"/>
      <c r="I46" s="1378"/>
      <c r="J46" s="593"/>
    </row>
    <row r="47" spans="1:10" ht="27.95" customHeight="1" x14ac:dyDescent="0.25">
      <c r="A47" s="1414"/>
      <c r="B47" s="1399"/>
      <c r="C47" s="1409"/>
      <c r="D47" s="1379">
        <f>BS!E28</f>
        <v>0</v>
      </c>
      <c r="E47" s="1379"/>
      <c r="F47" s="1379"/>
      <c r="G47" s="673"/>
      <c r="H47" s="1375">
        <f>BS!G28</f>
        <v>0</v>
      </c>
      <c r="I47" s="1376"/>
      <c r="J47" s="1377"/>
    </row>
    <row r="48" spans="1:10" ht="27.95" customHeight="1" x14ac:dyDescent="0.25">
      <c r="A48" s="1414" t="s">
        <v>571</v>
      </c>
      <c r="B48" s="1399" t="s">
        <v>1300</v>
      </c>
      <c r="C48" s="1418" t="s">
        <v>573</v>
      </c>
      <c r="D48" s="1379">
        <f>BS!D29</f>
        <v>0</v>
      </c>
      <c r="E48" s="1379"/>
      <c r="F48" s="1379"/>
      <c r="G48" s="1375">
        <f>BS!F29</f>
        <v>0</v>
      </c>
      <c r="H48" s="1376"/>
      <c r="I48" s="1378"/>
      <c r="J48" s="593"/>
    </row>
    <row r="49" spans="1:10" ht="27.95" customHeight="1" x14ac:dyDescent="0.25">
      <c r="A49" s="1414"/>
      <c r="B49" s="1399"/>
      <c r="C49" s="1409"/>
      <c r="D49" s="1379">
        <f>BS!E29</f>
        <v>0</v>
      </c>
      <c r="E49" s="1379"/>
      <c r="F49" s="1379"/>
      <c r="G49" s="673"/>
      <c r="H49" s="1375">
        <f>BS!G29</f>
        <v>0</v>
      </c>
      <c r="I49" s="1376"/>
      <c r="J49" s="1377"/>
    </row>
    <row r="50" spans="1:10" ht="27.95" customHeight="1" x14ac:dyDescent="0.25">
      <c r="A50" s="1428" t="s">
        <v>574</v>
      </c>
      <c r="B50" s="1420" t="s">
        <v>1299</v>
      </c>
      <c r="C50" s="1409" t="s">
        <v>576</v>
      </c>
      <c r="D50" s="1379">
        <f>BS!D30</f>
        <v>0</v>
      </c>
      <c r="E50" s="1379"/>
      <c r="F50" s="1379"/>
      <c r="G50" s="1375">
        <f>BS!F30</f>
        <v>0</v>
      </c>
      <c r="H50" s="1376"/>
      <c r="I50" s="1378"/>
      <c r="J50" s="593"/>
    </row>
    <row r="51" spans="1:10" ht="27.95" customHeight="1" x14ac:dyDescent="0.25">
      <c r="A51" s="1428"/>
      <c r="B51" s="1420"/>
      <c r="C51" s="1409"/>
      <c r="D51" s="1379">
        <f>BS!E30</f>
        <v>0</v>
      </c>
      <c r="E51" s="1379"/>
      <c r="F51" s="1379"/>
      <c r="G51" s="673"/>
      <c r="H51" s="1375">
        <f>BS!G30</f>
        <v>0</v>
      </c>
      <c r="I51" s="1376"/>
      <c r="J51" s="1377"/>
    </row>
    <row r="52" spans="1:10" s="522" customFormat="1" ht="27.95" customHeight="1" x14ac:dyDescent="0.25">
      <c r="A52" s="1432" t="s">
        <v>577</v>
      </c>
      <c r="B52" s="1399" t="s">
        <v>1298</v>
      </c>
      <c r="C52" s="1418" t="s">
        <v>579</v>
      </c>
      <c r="D52" s="1379">
        <f>BS!D31</f>
        <v>0</v>
      </c>
      <c r="E52" s="1379"/>
      <c r="F52" s="1379"/>
      <c r="G52" s="1375">
        <f>BS!F31</f>
        <v>0</v>
      </c>
      <c r="H52" s="1376"/>
      <c r="I52" s="1378"/>
      <c r="J52" s="593"/>
    </row>
    <row r="53" spans="1:10" s="522" customFormat="1" ht="27.95" customHeight="1" x14ac:dyDescent="0.25">
      <c r="A53" s="1432"/>
      <c r="B53" s="1399"/>
      <c r="C53" s="1409"/>
      <c r="D53" s="1379">
        <f>BS!E31</f>
        <v>0</v>
      </c>
      <c r="E53" s="1379"/>
      <c r="F53" s="1379"/>
      <c r="G53" s="673"/>
      <c r="H53" s="1375">
        <f>BS!G31</f>
        <v>0</v>
      </c>
      <c r="I53" s="1376"/>
      <c r="J53" s="1377"/>
    </row>
    <row r="54" spans="1:10" ht="27.95" customHeight="1" x14ac:dyDescent="0.25">
      <c r="A54" s="1414" t="s">
        <v>532</v>
      </c>
      <c r="B54" s="1399" t="s">
        <v>1297</v>
      </c>
      <c r="C54" s="1409" t="s">
        <v>581</v>
      </c>
      <c r="D54" s="1379">
        <f>BS!D32</f>
        <v>0</v>
      </c>
      <c r="E54" s="1379"/>
      <c r="F54" s="1379"/>
      <c r="G54" s="1375">
        <f>BS!F32</f>
        <v>0</v>
      </c>
      <c r="H54" s="1376"/>
      <c r="I54" s="1378"/>
      <c r="J54" s="593"/>
    </row>
    <row r="55" spans="1:10" ht="27.95" customHeight="1" x14ac:dyDescent="0.25">
      <c r="A55" s="1414"/>
      <c r="B55" s="1399"/>
      <c r="C55" s="1409"/>
      <c r="D55" s="1379">
        <f>BS!E32</f>
        <v>0</v>
      </c>
      <c r="E55" s="1379"/>
      <c r="F55" s="1379"/>
      <c r="G55" s="673"/>
      <c r="H55" s="1375">
        <f>BS!G32</f>
        <v>0</v>
      </c>
      <c r="I55" s="1376"/>
      <c r="J55" s="1377"/>
    </row>
    <row r="56" spans="1:10" ht="27.95" customHeight="1" x14ac:dyDescent="0.25">
      <c r="A56" s="1414" t="s">
        <v>535</v>
      </c>
      <c r="B56" s="1399" t="s">
        <v>1296</v>
      </c>
      <c r="C56" s="1418" t="s">
        <v>583</v>
      </c>
      <c r="D56" s="1379">
        <f>BS!D33</f>
        <v>0</v>
      </c>
      <c r="E56" s="1379"/>
      <c r="F56" s="1379"/>
      <c r="G56" s="1375">
        <f>BS!F33</f>
        <v>0</v>
      </c>
      <c r="H56" s="1376"/>
      <c r="I56" s="1378"/>
      <c r="J56" s="593"/>
    </row>
    <row r="57" spans="1:10" ht="27.95" customHeight="1" x14ac:dyDescent="0.25">
      <c r="A57" s="1414"/>
      <c r="B57" s="1399"/>
      <c r="C57" s="1409"/>
      <c r="D57" s="1379">
        <f>BS!E33</f>
        <v>0</v>
      </c>
      <c r="E57" s="1379"/>
      <c r="F57" s="1379"/>
      <c r="G57" s="673"/>
      <c r="H57" s="1375">
        <f>BS!G33</f>
        <v>0</v>
      </c>
      <c r="I57" s="1376"/>
      <c r="J57" s="1377"/>
    </row>
    <row r="58" spans="1:10" ht="27.95" customHeight="1" x14ac:dyDescent="0.25">
      <c r="A58" s="1414" t="s">
        <v>538</v>
      </c>
      <c r="B58" s="1399" t="s">
        <v>1295</v>
      </c>
      <c r="C58" s="1409" t="s">
        <v>585</v>
      </c>
      <c r="D58" s="1379">
        <f>BS!D34</f>
        <v>0</v>
      </c>
      <c r="E58" s="1379"/>
      <c r="F58" s="1379"/>
      <c r="G58" s="1375">
        <f>BS!F34</f>
        <v>0</v>
      </c>
      <c r="H58" s="1376"/>
      <c r="I58" s="1378"/>
      <c r="J58" s="593"/>
    </row>
    <row r="59" spans="1:10" ht="27.95" customHeight="1" x14ac:dyDescent="0.25">
      <c r="A59" s="1414"/>
      <c r="B59" s="1399"/>
      <c r="C59" s="1409"/>
      <c r="D59" s="1379">
        <f>BS!E34</f>
        <v>0</v>
      </c>
      <c r="E59" s="1379"/>
      <c r="F59" s="1379"/>
      <c r="G59" s="673"/>
      <c r="H59" s="1375">
        <f>BS!G34</f>
        <v>0</v>
      </c>
      <c r="I59" s="1376"/>
      <c r="J59" s="1377"/>
    </row>
    <row r="60" spans="1:10" ht="27.95" customHeight="1" x14ac:dyDescent="0.25">
      <c r="A60" s="1414" t="s">
        <v>541</v>
      </c>
      <c r="B60" s="1399" t="s">
        <v>1294</v>
      </c>
      <c r="C60" s="1418" t="s">
        <v>587</v>
      </c>
      <c r="D60" s="1379">
        <f>BS!D35</f>
        <v>0</v>
      </c>
      <c r="E60" s="1379"/>
      <c r="F60" s="1379"/>
      <c r="G60" s="1375">
        <f>BS!F35</f>
        <v>0</v>
      </c>
      <c r="H60" s="1376"/>
      <c r="I60" s="1378"/>
      <c r="J60" s="593"/>
    </row>
    <row r="61" spans="1:10" ht="27.95" customHeight="1" x14ac:dyDescent="0.25">
      <c r="A61" s="1414"/>
      <c r="B61" s="1399"/>
      <c r="C61" s="1409"/>
      <c r="D61" s="1379">
        <f>BS!E35</f>
        <v>0</v>
      </c>
      <c r="E61" s="1379"/>
      <c r="F61" s="1379"/>
      <c r="G61" s="673"/>
      <c r="H61" s="1375">
        <f>BS!G35</f>
        <v>0</v>
      </c>
      <c r="I61" s="1376"/>
      <c r="J61" s="1377"/>
    </row>
    <row r="62" spans="1:10" ht="27.95" customHeight="1" x14ac:dyDescent="0.25">
      <c r="A62" s="1414" t="s">
        <v>544</v>
      </c>
      <c r="B62" s="1399" t="s">
        <v>1293</v>
      </c>
      <c r="C62" s="1409" t="s">
        <v>589</v>
      </c>
      <c r="D62" s="1379">
        <f>BS!D36</f>
        <v>0</v>
      </c>
      <c r="E62" s="1379"/>
      <c r="F62" s="1379"/>
      <c r="G62" s="1375">
        <f>BS!F36</f>
        <v>0</v>
      </c>
      <c r="H62" s="1376"/>
      <c r="I62" s="1378"/>
      <c r="J62" s="593"/>
    </row>
    <row r="63" spans="1:10" ht="27.95" customHeight="1" x14ac:dyDescent="0.25">
      <c r="A63" s="1414"/>
      <c r="B63" s="1399"/>
      <c r="C63" s="1409"/>
      <c r="D63" s="1379">
        <f>BS!E36</f>
        <v>0</v>
      </c>
      <c r="E63" s="1379"/>
      <c r="F63" s="1379"/>
      <c r="G63" s="673"/>
      <c r="H63" s="1375">
        <f>BS!G36</f>
        <v>0</v>
      </c>
      <c r="I63" s="1376"/>
      <c r="J63" s="1377"/>
    </row>
    <row r="64" spans="1:10" ht="11.25" customHeight="1" x14ac:dyDescent="0.25">
      <c r="A64" s="1434" t="s">
        <v>1223</v>
      </c>
      <c r="B64" s="1433" t="s">
        <v>1267</v>
      </c>
      <c r="C64" s="1440" t="s">
        <v>1221</v>
      </c>
      <c r="D64" s="1382" t="s">
        <v>2</v>
      </c>
      <c r="E64" s="1383"/>
      <c r="F64" s="1383"/>
      <c r="G64" s="1383"/>
      <c r="H64" s="1384"/>
      <c r="I64" s="1389" t="s">
        <v>1266</v>
      </c>
      <c r="J64" s="1390"/>
    </row>
    <row r="65" spans="1:10" ht="11.25" customHeight="1" x14ac:dyDescent="0.15">
      <c r="A65" s="1423"/>
      <c r="B65" s="1397"/>
      <c r="C65" s="1427"/>
      <c r="D65" s="1398">
        <v>1</v>
      </c>
      <c r="E65" s="1397" t="s">
        <v>1265</v>
      </c>
      <c r="F65" s="1397"/>
      <c r="G65" s="1387" t="s">
        <v>1264</v>
      </c>
      <c r="H65" s="1388"/>
      <c r="I65" s="1382"/>
      <c r="J65" s="1391"/>
    </row>
    <row r="66" spans="1:10" ht="11.25" customHeight="1" x14ac:dyDescent="0.15">
      <c r="A66" s="1423"/>
      <c r="B66" s="1397"/>
      <c r="C66" s="1427"/>
      <c r="D66" s="1398"/>
      <c r="E66" s="1397" t="s">
        <v>1263</v>
      </c>
      <c r="F66" s="1397"/>
      <c r="G66" s="1405"/>
      <c r="H66" s="1406"/>
      <c r="I66" s="1412" t="s">
        <v>1262</v>
      </c>
      <c r="J66" s="1381"/>
    </row>
    <row r="67" spans="1:10" ht="27.95" customHeight="1" x14ac:dyDescent="0.25">
      <c r="A67" s="1414" t="s">
        <v>547</v>
      </c>
      <c r="B67" s="1399" t="s">
        <v>1292</v>
      </c>
      <c r="C67" s="1409" t="s">
        <v>888</v>
      </c>
      <c r="D67" s="1379">
        <f>BS!D37</f>
        <v>0</v>
      </c>
      <c r="E67" s="1379"/>
      <c r="F67" s="1379"/>
      <c r="G67" s="1375">
        <f>BS!F37</f>
        <v>0</v>
      </c>
      <c r="H67" s="1376"/>
      <c r="I67" s="1378"/>
      <c r="J67" s="593"/>
    </row>
    <row r="68" spans="1:10" ht="27.95" customHeight="1" x14ac:dyDescent="0.25">
      <c r="A68" s="1414"/>
      <c r="B68" s="1399"/>
      <c r="C68" s="1409"/>
      <c r="D68" s="1379">
        <f>BS!E37</f>
        <v>0</v>
      </c>
      <c r="E68" s="1379"/>
      <c r="F68" s="1379"/>
      <c r="G68" s="673"/>
      <c r="H68" s="1375">
        <f>BS!G37</f>
        <v>0</v>
      </c>
      <c r="I68" s="1376"/>
      <c r="J68" s="1377"/>
    </row>
    <row r="69" spans="1:10" ht="27.95" customHeight="1" x14ac:dyDescent="0.25">
      <c r="A69" s="1414" t="s">
        <v>568</v>
      </c>
      <c r="B69" s="1399" t="s">
        <v>1291</v>
      </c>
      <c r="C69" s="1409" t="s">
        <v>891</v>
      </c>
      <c r="D69" s="1379">
        <f>BS!D38</f>
        <v>0</v>
      </c>
      <c r="E69" s="1379"/>
      <c r="F69" s="1379"/>
      <c r="G69" s="1375">
        <f>BS!F38</f>
        <v>0</v>
      </c>
      <c r="H69" s="1376"/>
      <c r="I69" s="1378"/>
      <c r="J69" s="593"/>
    </row>
    <row r="70" spans="1:10" ht="27.95" customHeight="1" x14ac:dyDescent="0.25">
      <c r="A70" s="1414"/>
      <c r="B70" s="1399"/>
      <c r="C70" s="1409"/>
      <c r="D70" s="1379">
        <f>BS!E38</f>
        <v>0</v>
      </c>
      <c r="E70" s="1379"/>
      <c r="F70" s="1379"/>
      <c r="G70" s="673"/>
      <c r="H70" s="1375">
        <f>BS!G38</f>
        <v>0</v>
      </c>
      <c r="I70" s="1376"/>
      <c r="J70" s="1377"/>
    </row>
    <row r="71" spans="1:10" ht="27.95" customHeight="1" x14ac:dyDescent="0.25">
      <c r="A71" s="1419" t="s">
        <v>594</v>
      </c>
      <c r="B71" s="1420" t="s">
        <v>1290</v>
      </c>
      <c r="C71" s="1409" t="s">
        <v>894</v>
      </c>
      <c r="D71" s="1379">
        <f>BS!D39</f>
        <v>0</v>
      </c>
      <c r="E71" s="1379"/>
      <c r="F71" s="1379"/>
      <c r="G71" s="1375">
        <f>BS!F39</f>
        <v>0</v>
      </c>
      <c r="H71" s="1376"/>
      <c r="I71" s="1378"/>
      <c r="J71" s="593"/>
    </row>
    <row r="72" spans="1:10" ht="27.95" customHeight="1" x14ac:dyDescent="0.25">
      <c r="A72" s="1419"/>
      <c r="B72" s="1401"/>
      <c r="C72" s="1409"/>
      <c r="D72" s="1379">
        <f>BS!E39</f>
        <v>0</v>
      </c>
      <c r="E72" s="1379"/>
      <c r="F72" s="1379"/>
      <c r="G72" s="673"/>
      <c r="H72" s="1375">
        <f>BS!G39</f>
        <v>0</v>
      </c>
      <c r="I72" s="1376"/>
      <c r="J72" s="1377"/>
    </row>
    <row r="73" spans="1:10" s="522" customFormat="1" ht="27.95" customHeight="1" x14ac:dyDescent="0.25">
      <c r="A73" s="1428" t="s">
        <v>597</v>
      </c>
      <c r="B73" s="1420" t="s">
        <v>1289</v>
      </c>
      <c r="C73" s="1409" t="s">
        <v>897</v>
      </c>
      <c r="D73" s="1379">
        <f>BS!D40</f>
        <v>0</v>
      </c>
      <c r="E73" s="1379"/>
      <c r="F73" s="1379"/>
      <c r="G73" s="1375">
        <f>BS!F40</f>
        <v>0</v>
      </c>
      <c r="H73" s="1376"/>
      <c r="I73" s="1378"/>
      <c r="J73" s="593"/>
    </row>
    <row r="74" spans="1:10" s="522" customFormat="1" ht="27.95" customHeight="1" x14ac:dyDescent="0.25">
      <c r="A74" s="1419"/>
      <c r="B74" s="1401"/>
      <c r="C74" s="1409"/>
      <c r="D74" s="1379">
        <f>BS!E40</f>
        <v>0</v>
      </c>
      <c r="E74" s="1379"/>
      <c r="F74" s="1379"/>
      <c r="G74" s="673"/>
      <c r="H74" s="1375">
        <f>BS!G40</f>
        <v>0</v>
      </c>
      <c r="I74" s="1376"/>
      <c r="J74" s="1377"/>
    </row>
    <row r="75" spans="1:10" s="522" customFormat="1" ht="27.95" customHeight="1" x14ac:dyDescent="0.25">
      <c r="A75" s="1415" t="s">
        <v>600</v>
      </c>
      <c r="B75" s="1399" t="s">
        <v>1288</v>
      </c>
      <c r="C75" s="1409" t="s">
        <v>900</v>
      </c>
      <c r="D75" s="1379">
        <f>BS!D41</f>
        <v>0</v>
      </c>
      <c r="E75" s="1379"/>
      <c r="F75" s="1379"/>
      <c r="G75" s="1375">
        <f>BS!F41</f>
        <v>0</v>
      </c>
      <c r="H75" s="1376"/>
      <c r="I75" s="1378"/>
      <c r="J75" s="593"/>
    </row>
    <row r="76" spans="1:10" s="522" customFormat="1" ht="27.95" customHeight="1" x14ac:dyDescent="0.25">
      <c r="A76" s="1431"/>
      <c r="B76" s="1399"/>
      <c r="C76" s="1409"/>
      <c r="D76" s="1379">
        <f>BS!E41</f>
        <v>0</v>
      </c>
      <c r="E76" s="1379"/>
      <c r="F76" s="1379"/>
      <c r="G76" s="673"/>
      <c r="H76" s="1375">
        <f>BS!G41</f>
        <v>0</v>
      </c>
      <c r="I76" s="1376"/>
      <c r="J76" s="1377"/>
    </row>
    <row r="77" spans="1:10" ht="27.95" customHeight="1" x14ac:dyDescent="0.25">
      <c r="A77" s="1414" t="s">
        <v>532</v>
      </c>
      <c r="B77" s="1399" t="s">
        <v>1287</v>
      </c>
      <c r="C77" s="1409" t="s">
        <v>903</v>
      </c>
      <c r="D77" s="1379">
        <f>BS!D42</f>
        <v>0</v>
      </c>
      <c r="E77" s="1379"/>
      <c r="F77" s="1379"/>
      <c r="G77" s="1375">
        <f>BS!F42</f>
        <v>0</v>
      </c>
      <c r="H77" s="1376"/>
      <c r="I77" s="1378"/>
      <c r="J77" s="593"/>
    </row>
    <row r="78" spans="1:10" ht="27.95" customHeight="1" x14ac:dyDescent="0.25">
      <c r="A78" s="1414"/>
      <c r="B78" s="1399"/>
      <c r="C78" s="1409"/>
      <c r="D78" s="1379">
        <f>BS!E42</f>
        <v>0</v>
      </c>
      <c r="E78" s="1379"/>
      <c r="F78" s="1379"/>
      <c r="G78" s="673"/>
      <c r="H78" s="1375">
        <f>BS!G42</f>
        <v>0</v>
      </c>
      <c r="I78" s="1376"/>
      <c r="J78" s="1377"/>
    </row>
    <row r="79" spans="1:10" ht="27.95" customHeight="1" x14ac:dyDescent="0.25">
      <c r="A79" s="1414" t="s">
        <v>535</v>
      </c>
      <c r="B79" s="1399" t="s">
        <v>1286</v>
      </c>
      <c r="C79" s="1409" t="s">
        <v>906</v>
      </c>
      <c r="D79" s="1379">
        <f>BS!D43</f>
        <v>0</v>
      </c>
      <c r="E79" s="1379"/>
      <c r="F79" s="1379"/>
      <c r="G79" s="1375">
        <f>BS!F43</f>
        <v>0</v>
      </c>
      <c r="H79" s="1376"/>
      <c r="I79" s="1378"/>
      <c r="J79" s="593"/>
    </row>
    <row r="80" spans="1:10" ht="27.95" customHeight="1" x14ac:dyDescent="0.25">
      <c r="A80" s="1414"/>
      <c r="B80" s="1399"/>
      <c r="C80" s="1409"/>
      <c r="D80" s="1379">
        <f>BS!E43</f>
        <v>0</v>
      </c>
      <c r="E80" s="1379"/>
      <c r="F80" s="1379"/>
      <c r="G80" s="673"/>
      <c r="H80" s="1375">
        <f>BS!G43</f>
        <v>0</v>
      </c>
      <c r="I80" s="1376"/>
      <c r="J80" s="1377"/>
    </row>
    <row r="81" spans="1:10" ht="27.95" customHeight="1" x14ac:dyDescent="0.25">
      <c r="A81" s="1414" t="s">
        <v>538</v>
      </c>
      <c r="B81" s="1399" t="s">
        <v>1285</v>
      </c>
      <c r="C81" s="1409" t="s">
        <v>909</v>
      </c>
      <c r="D81" s="1379">
        <f>BS!D44</f>
        <v>0</v>
      </c>
      <c r="E81" s="1379"/>
      <c r="F81" s="1379"/>
      <c r="G81" s="1375">
        <f>BS!F44</f>
        <v>0</v>
      </c>
      <c r="H81" s="1376"/>
      <c r="I81" s="1378"/>
      <c r="J81" s="593"/>
    </row>
    <row r="82" spans="1:10" ht="27.95" customHeight="1" x14ac:dyDescent="0.25">
      <c r="A82" s="1414"/>
      <c r="B82" s="1399"/>
      <c r="C82" s="1409"/>
      <c r="D82" s="1379">
        <f>BS!E44</f>
        <v>0</v>
      </c>
      <c r="E82" s="1379"/>
      <c r="F82" s="1379"/>
      <c r="G82" s="673"/>
      <c r="H82" s="1375">
        <f>BS!G44</f>
        <v>0</v>
      </c>
      <c r="I82" s="1376"/>
      <c r="J82" s="1377"/>
    </row>
    <row r="83" spans="1:10" ht="27.95" customHeight="1" x14ac:dyDescent="0.25">
      <c r="A83" s="1414" t="s">
        <v>541</v>
      </c>
      <c r="B83" s="1399" t="s">
        <v>1284</v>
      </c>
      <c r="C83" s="1409" t="s">
        <v>912</v>
      </c>
      <c r="D83" s="1379">
        <f>BS!D45</f>
        <v>0</v>
      </c>
      <c r="E83" s="1379"/>
      <c r="F83" s="1379"/>
      <c r="G83" s="1375">
        <f>BS!F45</f>
        <v>0</v>
      </c>
      <c r="H83" s="1376"/>
      <c r="I83" s="1378"/>
      <c r="J83" s="593"/>
    </row>
    <row r="84" spans="1:10" ht="27.95" customHeight="1" x14ac:dyDescent="0.25">
      <c r="A84" s="1414"/>
      <c r="B84" s="1399"/>
      <c r="C84" s="1409"/>
      <c r="D84" s="1379">
        <f>BS!E45</f>
        <v>0</v>
      </c>
      <c r="E84" s="1379"/>
      <c r="F84" s="1379"/>
      <c r="G84" s="673"/>
      <c r="H84" s="1375">
        <f>BS!G45</f>
        <v>0</v>
      </c>
      <c r="I84" s="1376"/>
      <c r="J84" s="1377"/>
    </row>
    <row r="85" spans="1:10" ht="27.95" customHeight="1" x14ac:dyDescent="0.25">
      <c r="A85" s="1414" t="s">
        <v>544</v>
      </c>
      <c r="B85" s="1399" t="s">
        <v>1283</v>
      </c>
      <c r="C85" s="1409" t="s">
        <v>915</v>
      </c>
      <c r="D85" s="1379">
        <f>BS!D46</f>
        <v>0</v>
      </c>
      <c r="E85" s="1379"/>
      <c r="F85" s="1379"/>
      <c r="G85" s="1375">
        <f>BS!F46</f>
        <v>0</v>
      </c>
      <c r="H85" s="1376"/>
      <c r="I85" s="1378"/>
      <c r="J85" s="593"/>
    </row>
    <row r="86" spans="1:10" ht="27.95" customHeight="1" x14ac:dyDescent="0.25">
      <c r="A86" s="1414"/>
      <c r="B86" s="1399"/>
      <c r="C86" s="1409"/>
      <c r="D86" s="1379">
        <f>BS!E46</f>
        <v>0</v>
      </c>
      <c r="E86" s="1379"/>
      <c r="F86" s="1379"/>
      <c r="G86" s="673"/>
      <c r="H86" s="1375">
        <f>BS!G46</f>
        <v>0</v>
      </c>
      <c r="I86" s="1376"/>
      <c r="J86" s="1377"/>
    </row>
    <row r="87" spans="1:10" ht="27.95" customHeight="1" x14ac:dyDescent="0.25">
      <c r="A87" s="1428" t="s">
        <v>613</v>
      </c>
      <c r="B87" s="1401" t="s">
        <v>1282</v>
      </c>
      <c r="C87" s="1409" t="s">
        <v>918</v>
      </c>
      <c r="D87" s="1379">
        <f>BS!D47</f>
        <v>0</v>
      </c>
      <c r="E87" s="1379"/>
      <c r="F87" s="1379"/>
      <c r="G87" s="1375">
        <f>BS!F47</f>
        <v>0</v>
      </c>
      <c r="H87" s="1376"/>
      <c r="I87" s="1378"/>
      <c r="J87" s="593"/>
    </row>
    <row r="88" spans="1:10" ht="27.95" customHeight="1" x14ac:dyDescent="0.25">
      <c r="A88" s="1419"/>
      <c r="B88" s="1401"/>
      <c r="C88" s="1409"/>
      <c r="D88" s="1379">
        <f>BS!E47</f>
        <v>0</v>
      </c>
      <c r="E88" s="1379"/>
      <c r="F88" s="1379"/>
      <c r="G88" s="673"/>
      <c r="H88" s="1375">
        <f>BS!G47</f>
        <v>0</v>
      </c>
      <c r="I88" s="1376"/>
      <c r="J88" s="1377"/>
    </row>
    <row r="89" spans="1:10" s="522" customFormat="1" ht="27.95" customHeight="1" x14ac:dyDescent="0.25">
      <c r="A89" s="1415" t="s">
        <v>616</v>
      </c>
      <c r="B89" s="1399" t="s">
        <v>1281</v>
      </c>
      <c r="C89" s="1409" t="s">
        <v>921</v>
      </c>
      <c r="D89" s="1379">
        <f>BS!D48</f>
        <v>0</v>
      </c>
      <c r="E89" s="1379"/>
      <c r="F89" s="1379"/>
      <c r="G89" s="1375">
        <f>BS!F48</f>
        <v>0</v>
      </c>
      <c r="H89" s="1376"/>
      <c r="I89" s="1378"/>
      <c r="J89" s="593"/>
    </row>
    <row r="90" spans="1:10" s="522" customFormat="1" ht="27.95" customHeight="1" x14ac:dyDescent="0.25">
      <c r="A90" s="1431"/>
      <c r="B90" s="1399"/>
      <c r="C90" s="1409"/>
      <c r="D90" s="1379">
        <f>BS!E48</f>
        <v>0</v>
      </c>
      <c r="E90" s="1379"/>
      <c r="F90" s="1379"/>
      <c r="G90" s="673"/>
      <c r="H90" s="1375">
        <f>BS!G48</f>
        <v>0</v>
      </c>
      <c r="I90" s="1376"/>
      <c r="J90" s="1377"/>
    </row>
    <row r="91" spans="1:10" s="522" customFormat="1" ht="27.95" customHeight="1" x14ac:dyDescent="0.25">
      <c r="A91" s="1414" t="s">
        <v>532</v>
      </c>
      <c r="B91" s="1399" t="s">
        <v>1276</v>
      </c>
      <c r="C91" s="1409" t="s">
        <v>924</v>
      </c>
      <c r="D91" s="1379">
        <f>BS!D49</f>
        <v>0</v>
      </c>
      <c r="E91" s="1379"/>
      <c r="F91" s="1379"/>
      <c r="G91" s="1375">
        <f>BS!F49</f>
        <v>0</v>
      </c>
      <c r="H91" s="1376"/>
      <c r="I91" s="1378"/>
      <c r="J91" s="593"/>
    </row>
    <row r="92" spans="1:10" s="522" customFormat="1" ht="27.95" customHeight="1" x14ac:dyDescent="0.25">
      <c r="A92" s="1414"/>
      <c r="B92" s="1399"/>
      <c r="C92" s="1409"/>
      <c r="D92" s="1379">
        <f>BS!E49</f>
        <v>0</v>
      </c>
      <c r="E92" s="1379"/>
      <c r="F92" s="1379"/>
      <c r="G92" s="673"/>
      <c r="H92" s="1375">
        <f>BS!G49</f>
        <v>0</v>
      </c>
      <c r="I92" s="1376"/>
      <c r="J92" s="1377"/>
    </row>
    <row r="93" spans="1:10" ht="27.95" customHeight="1" x14ac:dyDescent="0.25">
      <c r="A93" s="1414" t="s">
        <v>535</v>
      </c>
      <c r="B93" s="1399" t="s">
        <v>1275</v>
      </c>
      <c r="C93" s="1409" t="s">
        <v>927</v>
      </c>
      <c r="D93" s="1379">
        <f>BS!D50</f>
        <v>0</v>
      </c>
      <c r="E93" s="1379"/>
      <c r="F93" s="1379"/>
      <c r="G93" s="1375">
        <f>BS!F50</f>
        <v>0</v>
      </c>
      <c r="H93" s="1376"/>
      <c r="I93" s="1378"/>
      <c r="J93" s="593"/>
    </row>
    <row r="94" spans="1:10" ht="27.95" customHeight="1" x14ac:dyDescent="0.25">
      <c r="A94" s="1414"/>
      <c r="B94" s="1399"/>
      <c r="C94" s="1409"/>
      <c r="D94" s="1379">
        <f>BS!E50</f>
        <v>0</v>
      </c>
      <c r="E94" s="1379"/>
      <c r="F94" s="1379"/>
      <c r="G94" s="673"/>
      <c r="H94" s="1375">
        <f>BS!G50</f>
        <v>0</v>
      </c>
      <c r="I94" s="1376"/>
      <c r="J94" s="1377"/>
    </row>
    <row r="95" spans="1:10" ht="11.25" customHeight="1" x14ac:dyDescent="0.25">
      <c r="A95" s="1434" t="s">
        <v>1223</v>
      </c>
      <c r="B95" s="1433" t="s">
        <v>1267</v>
      </c>
      <c r="C95" s="1440" t="s">
        <v>1221</v>
      </c>
      <c r="D95" s="1382" t="s">
        <v>2</v>
      </c>
      <c r="E95" s="1383"/>
      <c r="F95" s="1383"/>
      <c r="G95" s="1383"/>
      <c r="H95" s="1384"/>
      <c r="I95" s="1389" t="s">
        <v>1266</v>
      </c>
      <c r="J95" s="1390"/>
    </row>
    <row r="96" spans="1:10" ht="11.25" customHeight="1" x14ac:dyDescent="0.15">
      <c r="A96" s="1423"/>
      <c r="B96" s="1397"/>
      <c r="C96" s="1427"/>
      <c r="D96" s="1398">
        <v>1</v>
      </c>
      <c r="E96" s="1397" t="s">
        <v>1265</v>
      </c>
      <c r="F96" s="1397"/>
      <c r="G96" s="1387" t="s">
        <v>1264</v>
      </c>
      <c r="H96" s="1388"/>
      <c r="I96" s="1382"/>
      <c r="J96" s="1391"/>
    </row>
    <row r="97" spans="1:12" ht="12" customHeight="1" x14ac:dyDescent="0.15">
      <c r="A97" s="1435"/>
      <c r="B97" s="1436"/>
      <c r="C97" s="1427"/>
      <c r="D97" s="1413"/>
      <c r="E97" s="1436" t="s">
        <v>1263</v>
      </c>
      <c r="F97" s="1436"/>
      <c r="G97" s="1405"/>
      <c r="H97" s="1406"/>
      <c r="I97" s="1412" t="s">
        <v>1262</v>
      </c>
      <c r="J97" s="1381"/>
    </row>
    <row r="98" spans="1:12" ht="27.95" customHeight="1" x14ac:dyDescent="0.25">
      <c r="A98" s="1414" t="s">
        <v>538</v>
      </c>
      <c r="B98" s="1399" t="s">
        <v>1274</v>
      </c>
      <c r="C98" s="1418" t="s">
        <v>930</v>
      </c>
      <c r="D98" s="1379">
        <f>BS!D51</f>
        <v>0</v>
      </c>
      <c r="E98" s="1379"/>
      <c r="F98" s="1379"/>
      <c r="G98" s="1375">
        <f>BS!F51</f>
        <v>0</v>
      </c>
      <c r="H98" s="1376"/>
      <c r="I98" s="1378"/>
      <c r="J98" s="593"/>
      <c r="L98" s="574" t="s">
        <v>1179</v>
      </c>
    </row>
    <row r="99" spans="1:12" ht="27.95" customHeight="1" x14ac:dyDescent="0.25">
      <c r="A99" s="1414"/>
      <c r="B99" s="1399"/>
      <c r="C99" s="1409"/>
      <c r="D99" s="1379">
        <f>BS!E51</f>
        <v>0</v>
      </c>
      <c r="E99" s="1379"/>
      <c r="F99" s="1379"/>
      <c r="G99" s="673"/>
      <c r="H99" s="1375">
        <f>BS!G51</f>
        <v>0</v>
      </c>
      <c r="I99" s="1376"/>
      <c r="J99" s="1377"/>
    </row>
    <row r="100" spans="1:12" ht="27.95" customHeight="1" x14ac:dyDescent="0.25">
      <c r="A100" s="1414" t="s">
        <v>541</v>
      </c>
      <c r="B100" s="1399" t="s">
        <v>1280</v>
      </c>
      <c r="C100" s="1409" t="s">
        <v>933</v>
      </c>
      <c r="D100" s="1379">
        <f>BS!D52</f>
        <v>0</v>
      </c>
      <c r="E100" s="1379"/>
      <c r="F100" s="1379"/>
      <c r="G100" s="1375">
        <f>BS!F52</f>
        <v>0</v>
      </c>
      <c r="H100" s="1376"/>
      <c r="I100" s="1378"/>
      <c r="J100" s="593"/>
    </row>
    <row r="101" spans="1:12" ht="27.95" customHeight="1" x14ac:dyDescent="0.25">
      <c r="A101" s="1414"/>
      <c r="B101" s="1399"/>
      <c r="C101" s="1409"/>
      <c r="D101" s="1379">
        <f>BS!E52</f>
        <v>0</v>
      </c>
      <c r="E101" s="1379"/>
      <c r="F101" s="1379"/>
      <c r="G101" s="673"/>
      <c r="H101" s="1375">
        <f>BS!G52</f>
        <v>0</v>
      </c>
      <c r="I101" s="1376"/>
      <c r="J101" s="1377"/>
    </row>
    <row r="102" spans="1:12" ht="27.95" customHeight="1" x14ac:dyDescent="0.25">
      <c r="A102" s="1414" t="s">
        <v>544</v>
      </c>
      <c r="B102" s="1399" t="s">
        <v>1270</v>
      </c>
      <c r="C102" s="1418" t="s">
        <v>936</v>
      </c>
      <c r="D102" s="1379">
        <f>BS!D53</f>
        <v>0</v>
      </c>
      <c r="E102" s="1379"/>
      <c r="F102" s="1379"/>
      <c r="G102" s="1375">
        <f>BS!F53</f>
        <v>0</v>
      </c>
      <c r="H102" s="1376"/>
      <c r="I102" s="1378"/>
      <c r="J102" s="593"/>
    </row>
    <row r="103" spans="1:12" ht="27.95" customHeight="1" x14ac:dyDescent="0.25">
      <c r="A103" s="1414"/>
      <c r="B103" s="1399"/>
      <c r="C103" s="1409"/>
      <c r="D103" s="1379">
        <f>BS!E53</f>
        <v>0</v>
      </c>
      <c r="E103" s="1379"/>
      <c r="F103" s="1379"/>
      <c r="G103" s="673"/>
      <c r="H103" s="1375">
        <f>BS!G53</f>
        <v>0</v>
      </c>
      <c r="I103" s="1376"/>
      <c r="J103" s="1377"/>
    </row>
    <row r="104" spans="1:12" ht="27.95" customHeight="1" x14ac:dyDescent="0.25">
      <c r="A104" s="1414" t="s">
        <v>547</v>
      </c>
      <c r="B104" s="1399" t="s">
        <v>1279</v>
      </c>
      <c r="C104" s="1409" t="s">
        <v>939</v>
      </c>
      <c r="D104" s="1379">
        <f>BS!D54</f>
        <v>0</v>
      </c>
      <c r="E104" s="1379"/>
      <c r="F104" s="1379"/>
      <c r="G104" s="1375">
        <f>BS!F54</f>
        <v>0</v>
      </c>
      <c r="H104" s="1376"/>
      <c r="I104" s="1378"/>
      <c r="J104" s="593"/>
    </row>
    <row r="105" spans="1:12" ht="27.95" customHeight="1" x14ac:dyDescent="0.25">
      <c r="A105" s="1414"/>
      <c r="B105" s="1399"/>
      <c r="C105" s="1409"/>
      <c r="D105" s="1379">
        <f>BS!E54</f>
        <v>0</v>
      </c>
      <c r="E105" s="1379"/>
      <c r="F105" s="1379"/>
      <c r="G105" s="673"/>
      <c r="H105" s="1375">
        <f>BS!G54</f>
        <v>0</v>
      </c>
      <c r="I105" s="1376"/>
      <c r="J105" s="1377"/>
    </row>
    <row r="106" spans="1:12" ht="27.95" customHeight="1" x14ac:dyDescent="0.25">
      <c r="A106" s="1438" t="s">
        <v>631</v>
      </c>
      <c r="B106" s="1420" t="s">
        <v>1278</v>
      </c>
      <c r="C106" s="1418" t="s">
        <v>941</v>
      </c>
      <c r="D106" s="1379">
        <f>BS!D55</f>
        <v>0</v>
      </c>
      <c r="E106" s="1379"/>
      <c r="F106" s="1379"/>
      <c r="G106" s="1375">
        <f>BS!F55</f>
        <v>0</v>
      </c>
      <c r="H106" s="1376"/>
      <c r="I106" s="1378"/>
      <c r="J106" s="593"/>
    </row>
    <row r="107" spans="1:12" ht="27.95" customHeight="1" x14ac:dyDescent="0.25">
      <c r="A107" s="1439"/>
      <c r="B107" s="1401"/>
      <c r="C107" s="1409"/>
      <c r="D107" s="1379">
        <f>BS!E55</f>
        <v>0</v>
      </c>
      <c r="E107" s="1379"/>
      <c r="F107" s="1379"/>
      <c r="G107" s="673"/>
      <c r="H107" s="1375">
        <f>BS!G55</f>
        <v>0</v>
      </c>
      <c r="I107" s="1376"/>
      <c r="J107" s="1377"/>
    </row>
    <row r="108" spans="1:12" s="522" customFormat="1" ht="27.95" customHeight="1" x14ac:dyDescent="0.25">
      <c r="A108" s="1437" t="s">
        <v>634</v>
      </c>
      <c r="B108" s="1399" t="s">
        <v>1277</v>
      </c>
      <c r="C108" s="1409" t="s">
        <v>944</v>
      </c>
      <c r="D108" s="1379">
        <f>BS!D56</f>
        <v>0</v>
      </c>
      <c r="E108" s="1379"/>
      <c r="F108" s="1379"/>
      <c r="G108" s="1375">
        <f>BS!F56</f>
        <v>0</v>
      </c>
      <c r="H108" s="1376"/>
      <c r="I108" s="1378"/>
      <c r="J108" s="593"/>
    </row>
    <row r="109" spans="1:12" s="522" customFormat="1" ht="27.95" customHeight="1" x14ac:dyDescent="0.25">
      <c r="A109" s="1437"/>
      <c r="B109" s="1399"/>
      <c r="C109" s="1409"/>
      <c r="D109" s="1379">
        <f>BS!E56</f>
        <v>0</v>
      </c>
      <c r="E109" s="1379"/>
      <c r="F109" s="1379"/>
      <c r="G109" s="673"/>
      <c r="H109" s="1375">
        <f>BS!G56</f>
        <v>0</v>
      </c>
      <c r="I109" s="1376"/>
      <c r="J109" s="1377"/>
    </row>
    <row r="110" spans="1:12" s="522" customFormat="1" ht="27.95" customHeight="1" x14ac:dyDescent="0.25">
      <c r="A110" s="1414" t="s">
        <v>532</v>
      </c>
      <c r="B110" s="1399" t="s">
        <v>1276</v>
      </c>
      <c r="C110" s="1418" t="s">
        <v>947</v>
      </c>
      <c r="D110" s="1379">
        <f>BS!D57</f>
        <v>0</v>
      </c>
      <c r="E110" s="1379"/>
      <c r="F110" s="1379"/>
      <c r="G110" s="1375">
        <f>BS!F57</f>
        <v>0</v>
      </c>
      <c r="H110" s="1376"/>
      <c r="I110" s="1378"/>
      <c r="J110" s="593"/>
    </row>
    <row r="111" spans="1:12" s="522" customFormat="1" ht="27.95" customHeight="1" x14ac:dyDescent="0.25">
      <c r="A111" s="1414"/>
      <c r="B111" s="1399"/>
      <c r="C111" s="1409"/>
      <c r="D111" s="1379">
        <f>BS!E57</f>
        <v>0</v>
      </c>
      <c r="E111" s="1379"/>
      <c r="F111" s="1379"/>
      <c r="G111" s="673"/>
      <c r="H111" s="1375">
        <f>BS!G57</f>
        <v>0</v>
      </c>
      <c r="I111" s="1376"/>
      <c r="J111" s="1377"/>
    </row>
    <row r="112" spans="1:12" ht="27.95" customHeight="1" x14ac:dyDescent="0.25">
      <c r="A112" s="1414" t="s">
        <v>535</v>
      </c>
      <c r="B112" s="1399" t="s">
        <v>1275</v>
      </c>
      <c r="C112" s="1409" t="s">
        <v>950</v>
      </c>
      <c r="D112" s="1379">
        <f>BS!D58</f>
        <v>0</v>
      </c>
      <c r="E112" s="1379"/>
      <c r="F112" s="1379"/>
      <c r="G112" s="1375">
        <f>BS!F58</f>
        <v>0</v>
      </c>
      <c r="H112" s="1376"/>
      <c r="I112" s="1378"/>
      <c r="J112" s="593"/>
    </row>
    <row r="113" spans="1:10" ht="27.95" customHeight="1" x14ac:dyDescent="0.25">
      <c r="A113" s="1414"/>
      <c r="B113" s="1399"/>
      <c r="C113" s="1409"/>
      <c r="D113" s="1379">
        <f>BS!E58</f>
        <v>0</v>
      </c>
      <c r="E113" s="1379"/>
      <c r="F113" s="1379"/>
      <c r="G113" s="673"/>
      <c r="H113" s="1375">
        <f>BS!G58</f>
        <v>0</v>
      </c>
      <c r="I113" s="1376"/>
      <c r="J113" s="1377"/>
    </row>
    <row r="114" spans="1:10" ht="27.95" customHeight="1" x14ac:dyDescent="0.25">
      <c r="A114" s="1414" t="s">
        <v>538</v>
      </c>
      <c r="B114" s="1399" t="s">
        <v>1274</v>
      </c>
      <c r="C114" s="1418" t="s">
        <v>952</v>
      </c>
      <c r="D114" s="1379">
        <f>BS!D59</f>
        <v>0</v>
      </c>
      <c r="E114" s="1379"/>
      <c r="F114" s="1379"/>
      <c r="G114" s="1375">
        <f>BS!F59</f>
        <v>0</v>
      </c>
      <c r="H114" s="1376"/>
      <c r="I114" s="1378"/>
      <c r="J114" s="593"/>
    </row>
    <row r="115" spans="1:10" ht="27.95" customHeight="1" x14ac:dyDescent="0.25">
      <c r="A115" s="1414"/>
      <c r="B115" s="1399"/>
      <c r="C115" s="1409"/>
      <c r="D115" s="1379">
        <f>BS!E59</f>
        <v>0</v>
      </c>
      <c r="E115" s="1379"/>
      <c r="F115" s="1379"/>
      <c r="G115" s="673"/>
      <c r="H115" s="1375">
        <f>BS!G59</f>
        <v>0</v>
      </c>
      <c r="I115" s="1376"/>
      <c r="J115" s="1377"/>
    </row>
    <row r="116" spans="1:10" ht="27.95" customHeight="1" x14ac:dyDescent="0.25">
      <c r="A116" s="1414" t="s">
        <v>541</v>
      </c>
      <c r="B116" s="1399" t="s">
        <v>1273</v>
      </c>
      <c r="C116" s="1409" t="s">
        <v>954</v>
      </c>
      <c r="D116" s="1379">
        <f>BS!D60</f>
        <v>0</v>
      </c>
      <c r="E116" s="1379"/>
      <c r="F116" s="1379"/>
      <c r="G116" s="1375">
        <f>BS!F60</f>
        <v>0</v>
      </c>
      <c r="H116" s="1376"/>
      <c r="I116" s="1378"/>
      <c r="J116" s="593"/>
    </row>
    <row r="117" spans="1:10" ht="27.95" customHeight="1" x14ac:dyDescent="0.25">
      <c r="A117" s="1414"/>
      <c r="B117" s="1399"/>
      <c r="C117" s="1409"/>
      <c r="D117" s="1379">
        <f>BS!E60</f>
        <v>0</v>
      </c>
      <c r="E117" s="1379"/>
      <c r="F117" s="1379"/>
      <c r="G117" s="673"/>
      <c r="H117" s="1375">
        <f>BS!G60</f>
        <v>0</v>
      </c>
      <c r="I117" s="1376"/>
      <c r="J117" s="1377"/>
    </row>
    <row r="118" spans="1:10" ht="27.95" customHeight="1" x14ac:dyDescent="0.25">
      <c r="A118" s="1414" t="s">
        <v>544</v>
      </c>
      <c r="B118" s="1399" t="s">
        <v>1272</v>
      </c>
      <c r="C118" s="1418" t="s">
        <v>957</v>
      </c>
      <c r="D118" s="1379">
        <f>BS!D61</f>
        <v>0</v>
      </c>
      <c r="E118" s="1379"/>
      <c r="F118" s="1379"/>
      <c r="G118" s="1375">
        <f>BS!F61</f>
        <v>0</v>
      </c>
      <c r="H118" s="1376"/>
      <c r="I118" s="1378"/>
      <c r="J118" s="593"/>
    </row>
    <row r="119" spans="1:10" ht="27.95" customHeight="1" x14ac:dyDescent="0.25">
      <c r="A119" s="1414"/>
      <c r="B119" s="1399"/>
      <c r="C119" s="1409"/>
      <c r="D119" s="1379">
        <f>BS!E61</f>
        <v>0</v>
      </c>
      <c r="E119" s="1379"/>
      <c r="F119" s="1379"/>
      <c r="G119" s="673"/>
      <c r="H119" s="1375">
        <f>BS!G61</f>
        <v>0</v>
      </c>
      <c r="I119" s="1376"/>
      <c r="J119" s="1377"/>
    </row>
    <row r="120" spans="1:10" ht="27.95" customHeight="1" x14ac:dyDescent="0.25">
      <c r="A120" s="1414" t="s">
        <v>547</v>
      </c>
      <c r="B120" s="1399" t="s">
        <v>1271</v>
      </c>
      <c r="C120" s="1409" t="s">
        <v>960</v>
      </c>
      <c r="D120" s="1379">
        <f>BS!D62</f>
        <v>0</v>
      </c>
      <c r="E120" s="1379"/>
      <c r="F120" s="1379"/>
      <c r="G120" s="1375">
        <f>BS!F62</f>
        <v>0</v>
      </c>
      <c r="H120" s="1376"/>
      <c r="I120" s="1378"/>
      <c r="J120" s="593"/>
    </row>
    <row r="121" spans="1:10" ht="27.95" customHeight="1" x14ac:dyDescent="0.25">
      <c r="A121" s="1414"/>
      <c r="B121" s="1399"/>
      <c r="C121" s="1409"/>
      <c r="D121" s="1379">
        <f>BS!E62</f>
        <v>0</v>
      </c>
      <c r="E121" s="1379"/>
      <c r="F121" s="1379"/>
      <c r="G121" s="673"/>
      <c r="H121" s="1375">
        <f>BS!G62</f>
        <v>0</v>
      </c>
      <c r="I121" s="1376"/>
      <c r="J121" s="1377"/>
    </row>
    <row r="122" spans="1:10" ht="27.95" customHeight="1" x14ac:dyDescent="0.25">
      <c r="A122" s="1414" t="s">
        <v>568</v>
      </c>
      <c r="B122" s="1399" t="s">
        <v>1270</v>
      </c>
      <c r="C122" s="1418" t="s">
        <v>962</v>
      </c>
      <c r="D122" s="1379">
        <f>BS!D63</f>
        <v>0</v>
      </c>
      <c r="E122" s="1379"/>
      <c r="F122" s="1379"/>
      <c r="G122" s="1375">
        <f>BS!F63</f>
        <v>0</v>
      </c>
      <c r="H122" s="1376"/>
      <c r="I122" s="1378"/>
      <c r="J122" s="593"/>
    </row>
    <row r="123" spans="1:10" ht="27.95" customHeight="1" x14ac:dyDescent="0.25">
      <c r="A123" s="1414"/>
      <c r="B123" s="1399"/>
      <c r="C123" s="1409"/>
      <c r="D123" s="1379">
        <f>BS!E63</f>
        <v>0</v>
      </c>
      <c r="E123" s="1379"/>
      <c r="F123" s="1379"/>
      <c r="G123" s="673"/>
      <c r="H123" s="1375">
        <f>BS!G63</f>
        <v>0</v>
      </c>
      <c r="I123" s="1376"/>
      <c r="J123" s="1377"/>
    </row>
    <row r="124" spans="1:10" ht="27.95" customHeight="1" x14ac:dyDescent="0.25">
      <c r="A124" s="1442" t="s">
        <v>649</v>
      </c>
      <c r="B124" s="1441" t="s">
        <v>1269</v>
      </c>
      <c r="C124" s="1409" t="s">
        <v>965</v>
      </c>
      <c r="D124" s="1379">
        <f>BS!D64</f>
        <v>0</v>
      </c>
      <c r="E124" s="1379"/>
      <c r="F124" s="1379"/>
      <c r="G124" s="1375">
        <f>BS!F64</f>
        <v>0</v>
      </c>
      <c r="H124" s="1376"/>
      <c r="I124" s="1378"/>
      <c r="J124" s="593"/>
    </row>
    <row r="125" spans="1:10" ht="27.95" customHeight="1" x14ac:dyDescent="0.25">
      <c r="A125" s="1439"/>
      <c r="B125" s="1401"/>
      <c r="C125" s="1409"/>
      <c r="D125" s="1379">
        <f>BS!E64</f>
        <v>0</v>
      </c>
      <c r="E125" s="1379"/>
      <c r="F125" s="1379"/>
      <c r="G125" s="673"/>
      <c r="H125" s="1375">
        <f>BS!G64</f>
        <v>0</v>
      </c>
      <c r="I125" s="1376"/>
      <c r="J125" s="1377"/>
    </row>
    <row r="126" spans="1:10" s="522" customFormat="1" ht="27.95" customHeight="1" x14ac:dyDescent="0.25">
      <c r="A126" s="1431" t="s">
        <v>652</v>
      </c>
      <c r="B126" s="1399" t="s">
        <v>1268</v>
      </c>
      <c r="C126" s="1418" t="s">
        <v>968</v>
      </c>
      <c r="D126" s="1379">
        <f>BS!D65</f>
        <v>0</v>
      </c>
      <c r="E126" s="1379"/>
      <c r="F126" s="1379"/>
      <c r="G126" s="1375">
        <f>BS!F65</f>
        <v>0</v>
      </c>
      <c r="H126" s="1376"/>
      <c r="I126" s="1378"/>
      <c r="J126" s="593"/>
    </row>
    <row r="127" spans="1:10" s="522" customFormat="1" ht="27.95" customHeight="1" x14ac:dyDescent="0.25">
      <c r="A127" s="1431"/>
      <c r="B127" s="1399"/>
      <c r="C127" s="1409"/>
      <c r="D127" s="1379">
        <f>BS!E65</f>
        <v>0</v>
      </c>
      <c r="E127" s="1379"/>
      <c r="F127" s="1379"/>
      <c r="G127" s="673"/>
      <c r="H127" s="1375">
        <f>BS!G65</f>
        <v>0</v>
      </c>
      <c r="I127" s="1376"/>
      <c r="J127" s="1377"/>
    </row>
    <row r="128" spans="1:10" ht="11.25" customHeight="1" x14ac:dyDescent="0.25">
      <c r="A128" s="1434" t="s">
        <v>1223</v>
      </c>
      <c r="B128" s="1433" t="s">
        <v>1267</v>
      </c>
      <c r="C128" s="1440" t="s">
        <v>1221</v>
      </c>
      <c r="D128" s="1382" t="s">
        <v>2</v>
      </c>
      <c r="E128" s="1383"/>
      <c r="F128" s="1383"/>
      <c r="G128" s="1383"/>
      <c r="H128" s="1384"/>
      <c r="I128" s="1389" t="s">
        <v>1266</v>
      </c>
      <c r="J128" s="1390"/>
    </row>
    <row r="129" spans="1:10" ht="11.25" customHeight="1" x14ac:dyDescent="0.15">
      <c r="A129" s="1423"/>
      <c r="B129" s="1397"/>
      <c r="C129" s="1427"/>
      <c r="D129" s="1398">
        <v>1</v>
      </c>
      <c r="E129" s="1397" t="s">
        <v>1265</v>
      </c>
      <c r="F129" s="1397"/>
      <c r="G129" s="1387" t="s">
        <v>1264</v>
      </c>
      <c r="H129" s="1388"/>
      <c r="I129" s="1382"/>
      <c r="J129" s="1391"/>
    </row>
    <row r="130" spans="1:10" ht="11.25" customHeight="1" x14ac:dyDescent="0.15">
      <c r="A130" s="1423"/>
      <c r="B130" s="1397"/>
      <c r="C130" s="1427"/>
      <c r="D130" s="1398"/>
      <c r="E130" s="1397" t="s">
        <v>1263</v>
      </c>
      <c r="F130" s="1397"/>
      <c r="G130" s="1387"/>
      <c r="H130" s="1388"/>
      <c r="I130" s="1380" t="s">
        <v>1262</v>
      </c>
      <c r="J130" s="1381"/>
    </row>
    <row r="131" spans="1:10" s="592" customFormat="1" ht="27.95" customHeight="1" x14ac:dyDescent="0.25">
      <c r="A131" s="1414" t="s">
        <v>532</v>
      </c>
      <c r="B131" s="1399" t="s">
        <v>1261</v>
      </c>
      <c r="C131" s="1409" t="s">
        <v>656</v>
      </c>
      <c r="D131" s="1379">
        <f>BS!D66</f>
        <v>0</v>
      </c>
      <c r="E131" s="1379"/>
      <c r="F131" s="1379"/>
      <c r="G131" s="1375">
        <f>BS!F66</f>
        <v>0</v>
      </c>
      <c r="H131" s="1376"/>
      <c r="I131" s="1378"/>
      <c r="J131" s="593"/>
    </row>
    <row r="132" spans="1:10" s="592" customFormat="1" ht="27.95" customHeight="1" x14ac:dyDescent="0.25">
      <c r="A132" s="1414"/>
      <c r="B132" s="1399"/>
      <c r="C132" s="1409"/>
      <c r="D132" s="1379">
        <f>BS!E66</f>
        <v>0</v>
      </c>
      <c r="E132" s="1379"/>
      <c r="F132" s="1379"/>
      <c r="G132" s="673"/>
      <c r="H132" s="1375">
        <f>BS!G66</f>
        <v>0</v>
      </c>
      <c r="I132" s="1376"/>
      <c r="J132" s="1377"/>
    </row>
    <row r="133" spans="1:10" s="592" customFormat="1" ht="27.95" customHeight="1" x14ac:dyDescent="0.25">
      <c r="A133" s="1414" t="s">
        <v>535</v>
      </c>
      <c r="B133" s="1399" t="s">
        <v>1260</v>
      </c>
      <c r="C133" s="1409" t="s">
        <v>658</v>
      </c>
      <c r="D133" s="1379">
        <f>BS!D67</f>
        <v>0</v>
      </c>
      <c r="E133" s="1379"/>
      <c r="F133" s="1379"/>
      <c r="G133" s="1375">
        <f>BS!F67</f>
        <v>0</v>
      </c>
      <c r="H133" s="1376"/>
      <c r="I133" s="1378"/>
      <c r="J133" s="593"/>
    </row>
    <row r="134" spans="1:10" ht="27.95" customHeight="1" x14ac:dyDescent="0.25">
      <c r="A134" s="1414"/>
      <c r="B134" s="1399"/>
      <c r="C134" s="1409"/>
      <c r="D134" s="1379">
        <f>BS!E67</f>
        <v>0</v>
      </c>
      <c r="E134" s="1379"/>
      <c r="F134" s="1379"/>
      <c r="G134" s="673"/>
      <c r="H134" s="1375">
        <f>BS!G67</f>
        <v>0</v>
      </c>
      <c r="I134" s="1376"/>
      <c r="J134" s="1377"/>
    </row>
    <row r="135" spans="1:10" ht="27.95" customHeight="1" x14ac:dyDescent="0.25">
      <c r="A135" s="1414" t="s">
        <v>538</v>
      </c>
      <c r="B135" s="1399" t="s">
        <v>1259</v>
      </c>
      <c r="C135" s="1409" t="s">
        <v>660</v>
      </c>
      <c r="D135" s="1379">
        <f>BS!D68</f>
        <v>0</v>
      </c>
      <c r="E135" s="1379"/>
      <c r="F135" s="1379"/>
      <c r="G135" s="1375">
        <f>BS!F68</f>
        <v>0</v>
      </c>
      <c r="H135" s="1376"/>
      <c r="I135" s="1378"/>
      <c r="J135" s="593"/>
    </row>
    <row r="136" spans="1:10" ht="27.95" customHeight="1" x14ac:dyDescent="0.25">
      <c r="A136" s="1414"/>
      <c r="B136" s="1399"/>
      <c r="C136" s="1409"/>
      <c r="D136" s="1379">
        <f>BS!E68</f>
        <v>0</v>
      </c>
      <c r="E136" s="1379"/>
      <c r="F136" s="1379"/>
      <c r="G136" s="673"/>
      <c r="H136" s="1375">
        <f>BS!G68</f>
        <v>0</v>
      </c>
      <c r="I136" s="1376"/>
      <c r="J136" s="1377"/>
    </row>
    <row r="137" spans="1:10" ht="27.95" customHeight="1" x14ac:dyDescent="0.25">
      <c r="A137" s="1414" t="s">
        <v>541</v>
      </c>
      <c r="B137" s="1399" t="s">
        <v>1258</v>
      </c>
      <c r="C137" s="1409" t="s">
        <v>662</v>
      </c>
      <c r="D137" s="1379">
        <f>BS!D69</f>
        <v>0</v>
      </c>
      <c r="E137" s="1379"/>
      <c r="F137" s="1379"/>
      <c r="G137" s="1375">
        <f>BS!F69</f>
        <v>0</v>
      </c>
      <c r="H137" s="1376"/>
      <c r="I137" s="1378"/>
      <c r="J137" s="593"/>
    </row>
    <row r="138" spans="1:10" ht="27.95" customHeight="1" x14ac:dyDescent="0.25">
      <c r="A138" s="1414"/>
      <c r="B138" s="1399"/>
      <c r="C138" s="1409"/>
      <c r="D138" s="1379">
        <f>BS!E69</f>
        <v>0</v>
      </c>
      <c r="E138" s="1379"/>
      <c r="F138" s="1379"/>
      <c r="G138" s="673"/>
      <c r="H138" s="1375">
        <f>BS!G69</f>
        <v>0</v>
      </c>
      <c r="I138" s="1376"/>
      <c r="J138" s="1377"/>
    </row>
    <row r="139" spans="1:10" ht="27.95" customHeight="1" x14ac:dyDescent="0.25">
      <c r="A139" s="1419" t="s">
        <v>663</v>
      </c>
      <c r="B139" s="1401" t="s">
        <v>1257</v>
      </c>
      <c r="C139" s="1421" t="s">
        <v>665</v>
      </c>
      <c r="D139" s="1379">
        <f>BS!D70</f>
        <v>0</v>
      </c>
      <c r="E139" s="1379"/>
      <c r="F139" s="1379"/>
      <c r="G139" s="1375">
        <f>BS!F70</f>
        <v>0</v>
      </c>
      <c r="H139" s="1376"/>
      <c r="I139" s="1378"/>
      <c r="J139" s="593"/>
    </row>
    <row r="140" spans="1:10" ht="27.95" customHeight="1" x14ac:dyDescent="0.25">
      <c r="A140" s="1419"/>
      <c r="B140" s="1401"/>
      <c r="C140" s="1421"/>
      <c r="D140" s="1379">
        <f>BS!E70</f>
        <v>0</v>
      </c>
      <c r="E140" s="1379"/>
      <c r="F140" s="1379"/>
      <c r="G140" s="673"/>
      <c r="H140" s="1375">
        <f>BS!G70</f>
        <v>0</v>
      </c>
      <c r="I140" s="1376"/>
      <c r="J140" s="1377"/>
    </row>
    <row r="141" spans="1:10" ht="27.95" customHeight="1" x14ac:dyDescent="0.25">
      <c r="A141" s="1431" t="s">
        <v>666</v>
      </c>
      <c r="B141" s="1399" t="s">
        <v>1256</v>
      </c>
      <c r="C141" s="1409" t="s">
        <v>668</v>
      </c>
      <c r="D141" s="1379">
        <f>BS!D71</f>
        <v>0</v>
      </c>
      <c r="E141" s="1379"/>
      <c r="F141" s="1379"/>
      <c r="G141" s="1375">
        <f>BS!F71</f>
        <v>0</v>
      </c>
      <c r="H141" s="1376"/>
      <c r="I141" s="1378"/>
      <c r="J141" s="593"/>
    </row>
    <row r="142" spans="1:10" ht="27.95" customHeight="1" x14ac:dyDescent="0.25">
      <c r="A142" s="1431"/>
      <c r="B142" s="1399"/>
      <c r="C142" s="1409"/>
      <c r="D142" s="1379">
        <f>BS!E71</f>
        <v>0</v>
      </c>
      <c r="E142" s="1379"/>
      <c r="F142" s="1379"/>
      <c r="G142" s="673"/>
      <c r="H142" s="1375">
        <f>BS!G71</f>
        <v>0</v>
      </c>
      <c r="I142" s="1376"/>
      <c r="J142" s="1377"/>
    </row>
    <row r="143" spans="1:10" ht="27.95" customHeight="1" x14ac:dyDescent="0.25">
      <c r="A143" s="1414" t="s">
        <v>532</v>
      </c>
      <c r="B143" s="1399" t="s">
        <v>1255</v>
      </c>
      <c r="C143" s="1409" t="s">
        <v>670</v>
      </c>
      <c r="D143" s="1379">
        <f>BS!D72</f>
        <v>0</v>
      </c>
      <c r="E143" s="1379"/>
      <c r="F143" s="1379"/>
      <c r="G143" s="1375">
        <f>BS!F72</f>
        <v>0</v>
      </c>
      <c r="H143" s="1376"/>
      <c r="I143" s="1378"/>
      <c r="J143" s="593"/>
    </row>
    <row r="144" spans="1:10" s="522" customFormat="1" ht="27.95" customHeight="1" x14ac:dyDescent="0.25">
      <c r="A144" s="1414"/>
      <c r="B144" s="1399"/>
      <c r="C144" s="1409"/>
      <c r="D144" s="1379">
        <f>BS!E72</f>
        <v>0</v>
      </c>
      <c r="E144" s="1379"/>
      <c r="F144" s="1379"/>
      <c r="G144" s="673"/>
      <c r="H144" s="1375">
        <f>BS!G72</f>
        <v>0</v>
      </c>
      <c r="I144" s="1376"/>
      <c r="J144" s="1377"/>
    </row>
    <row r="145" spans="1:10" s="522" customFormat="1" ht="27.95" customHeight="1" x14ac:dyDescent="0.25">
      <c r="A145" s="1414" t="s">
        <v>535</v>
      </c>
      <c r="B145" s="1399" t="s">
        <v>1254</v>
      </c>
      <c r="C145" s="1409" t="s">
        <v>672</v>
      </c>
      <c r="D145" s="1379">
        <f>BS!D73</f>
        <v>0</v>
      </c>
      <c r="E145" s="1379"/>
      <c r="F145" s="1379"/>
      <c r="G145" s="1375">
        <f>BS!F73</f>
        <v>0</v>
      </c>
      <c r="H145" s="1376"/>
      <c r="I145" s="1378"/>
      <c r="J145" s="593"/>
    </row>
    <row r="146" spans="1:10" ht="27.95" customHeight="1" x14ac:dyDescent="0.25">
      <c r="A146" s="1414"/>
      <c r="B146" s="1399"/>
      <c r="C146" s="1409"/>
      <c r="D146" s="1379">
        <f>BS!E73</f>
        <v>0</v>
      </c>
      <c r="E146" s="1379"/>
      <c r="F146" s="1379"/>
      <c r="G146" s="673"/>
      <c r="H146" s="1375">
        <f>BS!G73</f>
        <v>0</v>
      </c>
      <c r="I146" s="1376"/>
      <c r="J146" s="1377"/>
    </row>
    <row r="147" spans="1:10" ht="27.95" customHeight="1" x14ac:dyDescent="0.25">
      <c r="A147" s="1414" t="s">
        <v>538</v>
      </c>
      <c r="B147" s="1399" t="s">
        <v>1253</v>
      </c>
      <c r="C147" s="1409" t="s">
        <v>674</v>
      </c>
      <c r="D147" s="1379">
        <f>BS!D74</f>
        <v>0</v>
      </c>
      <c r="E147" s="1379"/>
      <c r="F147" s="1379"/>
      <c r="G147" s="1375">
        <f>BS!F74</f>
        <v>0</v>
      </c>
      <c r="H147" s="1376"/>
      <c r="I147" s="1378"/>
      <c r="J147" s="593"/>
    </row>
    <row r="148" spans="1:10" s="587" customFormat="1" ht="27.95" customHeight="1" x14ac:dyDescent="0.2">
      <c r="A148" s="1414"/>
      <c r="B148" s="1399"/>
      <c r="C148" s="1409"/>
      <c r="D148" s="1379">
        <f>BS!E74</f>
        <v>0</v>
      </c>
      <c r="E148" s="1379"/>
      <c r="F148" s="1379"/>
      <c r="G148" s="673"/>
      <c r="H148" s="1375">
        <f>BS!G74</f>
        <v>0</v>
      </c>
      <c r="I148" s="1376"/>
      <c r="J148" s="1377"/>
    </row>
    <row r="149" spans="1:10" s="587" customFormat="1" ht="30" customHeight="1" x14ac:dyDescent="0.2">
      <c r="A149" s="590" t="s">
        <v>1223</v>
      </c>
      <c r="B149" s="1382" t="s">
        <v>1222</v>
      </c>
      <c r="C149" s="1383"/>
      <c r="D149" s="1383"/>
      <c r="E149" s="1384"/>
      <c r="F149" s="589" t="s">
        <v>1221</v>
      </c>
      <c r="G149" s="1382" t="s">
        <v>1220</v>
      </c>
      <c r="H149" s="1384"/>
      <c r="I149" s="1382" t="s">
        <v>1219</v>
      </c>
      <c r="J149" s="1391"/>
    </row>
    <row r="150" spans="1:10" s="587" customFormat="1" ht="27.75" customHeight="1" x14ac:dyDescent="0.2">
      <c r="A150" s="588"/>
      <c r="B150" s="1401" t="s">
        <v>1252</v>
      </c>
      <c r="C150" s="1402"/>
      <c r="D150" s="1402"/>
      <c r="E150" s="1402"/>
      <c r="F150" s="585" t="s">
        <v>681</v>
      </c>
      <c r="G150" s="1375">
        <f>BS!D81</f>
        <v>0</v>
      </c>
      <c r="H150" s="1378"/>
      <c r="I150" s="1375">
        <f>BS!E81</f>
        <v>0</v>
      </c>
      <c r="J150" s="1377"/>
    </row>
    <row r="151" spans="1:10" s="587" customFormat="1" ht="27.75" customHeight="1" x14ac:dyDescent="0.2">
      <c r="A151" s="579" t="s">
        <v>523</v>
      </c>
      <c r="B151" s="1401" t="s">
        <v>1251</v>
      </c>
      <c r="C151" s="1402"/>
      <c r="D151" s="1402"/>
      <c r="E151" s="1402"/>
      <c r="F151" s="585" t="s">
        <v>683</v>
      </c>
      <c r="G151" s="1375">
        <f>BS!D82</f>
        <v>0</v>
      </c>
      <c r="H151" s="1378"/>
      <c r="I151" s="1375">
        <f>BS!E82</f>
        <v>0</v>
      </c>
      <c r="J151" s="1377"/>
    </row>
    <row r="152" spans="1:10" ht="27.75" customHeight="1" x14ac:dyDescent="0.25">
      <c r="A152" s="579" t="s">
        <v>526</v>
      </c>
      <c r="B152" s="1401" t="s">
        <v>1250</v>
      </c>
      <c r="C152" s="1402"/>
      <c r="D152" s="1402"/>
      <c r="E152" s="1402"/>
      <c r="F152" s="585" t="s">
        <v>685</v>
      </c>
      <c r="G152" s="1375">
        <f>BS!D83</f>
        <v>0</v>
      </c>
      <c r="H152" s="1378"/>
      <c r="I152" s="1375">
        <f>BS!E83</f>
        <v>0</v>
      </c>
      <c r="J152" s="1377"/>
    </row>
    <row r="153" spans="1:10" s="522" customFormat="1" ht="27.75" customHeight="1" x14ac:dyDescent="0.25">
      <c r="A153" s="578" t="s">
        <v>529</v>
      </c>
      <c r="B153" s="1399" t="s">
        <v>1249</v>
      </c>
      <c r="C153" s="1400"/>
      <c r="D153" s="1400"/>
      <c r="E153" s="1400"/>
      <c r="F153" s="575" t="s">
        <v>687</v>
      </c>
      <c r="G153" s="1375">
        <f>BS!D84</f>
        <v>0</v>
      </c>
      <c r="H153" s="1378"/>
      <c r="I153" s="1375">
        <f>BS!E84</f>
        <v>0</v>
      </c>
      <c r="J153" s="1377"/>
    </row>
    <row r="154" spans="1:10" s="522" customFormat="1" ht="27.75" customHeight="1" x14ac:dyDescent="0.25">
      <c r="A154" s="577" t="s">
        <v>532</v>
      </c>
      <c r="B154" s="1399" t="s">
        <v>1248</v>
      </c>
      <c r="C154" s="1400"/>
      <c r="D154" s="1400"/>
      <c r="E154" s="1400"/>
      <c r="F154" s="575" t="s">
        <v>689</v>
      </c>
      <c r="G154" s="1375">
        <f>BS!D85</f>
        <v>0</v>
      </c>
      <c r="H154" s="1378"/>
      <c r="I154" s="1375">
        <f>BS!E85</f>
        <v>0</v>
      </c>
      <c r="J154" s="1377"/>
    </row>
    <row r="155" spans="1:10" s="522" customFormat="1" ht="27.75" customHeight="1" x14ac:dyDescent="0.25">
      <c r="A155" s="577" t="s">
        <v>535</v>
      </c>
      <c r="B155" s="1399" t="s">
        <v>1247</v>
      </c>
      <c r="C155" s="1400"/>
      <c r="D155" s="1400"/>
      <c r="E155" s="1400"/>
      <c r="F155" s="575" t="s">
        <v>691</v>
      </c>
      <c r="G155" s="1375">
        <f>BS!D86</f>
        <v>0</v>
      </c>
      <c r="H155" s="1378"/>
      <c r="I155" s="1375">
        <f>BS!E86</f>
        <v>0</v>
      </c>
      <c r="J155" s="1377"/>
    </row>
    <row r="156" spans="1:10" ht="27.75" customHeight="1" x14ac:dyDescent="0.25">
      <c r="A156" s="577" t="s">
        <v>538</v>
      </c>
      <c r="B156" s="1399" t="s">
        <v>1246</v>
      </c>
      <c r="C156" s="1400"/>
      <c r="D156" s="1400"/>
      <c r="E156" s="1400"/>
      <c r="F156" s="575" t="s">
        <v>693</v>
      </c>
      <c r="G156" s="1375">
        <f>BS!D87</f>
        <v>0</v>
      </c>
      <c r="H156" s="1378"/>
      <c r="I156" s="1375">
        <f>BS!E87</f>
        <v>0</v>
      </c>
      <c r="J156" s="1377"/>
    </row>
    <row r="157" spans="1:10" ht="27.75" customHeight="1" x14ac:dyDescent="0.25">
      <c r="A157" s="579" t="s">
        <v>550</v>
      </c>
      <c r="B157" s="1401" t="s">
        <v>1245</v>
      </c>
      <c r="C157" s="1402"/>
      <c r="D157" s="1402"/>
      <c r="E157" s="1402"/>
      <c r="F157" s="585" t="s">
        <v>695</v>
      </c>
      <c r="G157" s="1375">
        <f>BS!D88</f>
        <v>0</v>
      </c>
      <c r="H157" s="1378"/>
      <c r="I157" s="1375">
        <f>BS!E88</f>
        <v>0</v>
      </c>
      <c r="J157" s="1377"/>
    </row>
    <row r="158" spans="1:10" ht="27.75" customHeight="1" x14ac:dyDescent="0.25">
      <c r="A158" s="578" t="s">
        <v>553</v>
      </c>
      <c r="B158" s="1399" t="s">
        <v>1244</v>
      </c>
      <c r="C158" s="1400"/>
      <c r="D158" s="1400"/>
      <c r="E158" s="1400"/>
      <c r="F158" s="575" t="s">
        <v>697</v>
      </c>
      <c r="G158" s="1375">
        <f>BS!D89</f>
        <v>0</v>
      </c>
      <c r="H158" s="1378"/>
      <c r="I158" s="1375">
        <f>BS!E89</f>
        <v>0</v>
      </c>
      <c r="J158" s="1377"/>
    </row>
    <row r="159" spans="1:10" ht="27.75" customHeight="1" x14ac:dyDescent="0.25">
      <c r="A159" s="577" t="s">
        <v>532</v>
      </c>
      <c r="B159" s="1399" t="s">
        <v>1243</v>
      </c>
      <c r="C159" s="1400"/>
      <c r="D159" s="1400"/>
      <c r="E159" s="1400"/>
      <c r="F159" s="575" t="s">
        <v>699</v>
      </c>
      <c r="G159" s="1375">
        <f>BS!D90</f>
        <v>0</v>
      </c>
      <c r="H159" s="1378"/>
      <c r="I159" s="1375">
        <f>BS!E90</f>
        <v>0</v>
      </c>
      <c r="J159" s="1377"/>
    </row>
    <row r="160" spans="1:10" s="522" customFormat="1" ht="27.75" customHeight="1" x14ac:dyDescent="0.25">
      <c r="A160" s="577" t="s">
        <v>535</v>
      </c>
      <c r="B160" s="1399" t="s">
        <v>1242</v>
      </c>
      <c r="C160" s="1400"/>
      <c r="D160" s="1400"/>
      <c r="E160" s="1400"/>
      <c r="F160" s="575" t="s">
        <v>701</v>
      </c>
      <c r="G160" s="1375">
        <f>BS!D91</f>
        <v>0</v>
      </c>
      <c r="H160" s="1378"/>
      <c r="I160" s="1375">
        <f>BS!E91</f>
        <v>0</v>
      </c>
      <c r="J160" s="1377"/>
    </row>
    <row r="161" spans="1:10" ht="27.75" customHeight="1" x14ac:dyDescent="0.25">
      <c r="A161" s="577" t="s">
        <v>538</v>
      </c>
      <c r="B161" s="1399" t="s">
        <v>1241</v>
      </c>
      <c r="C161" s="1400"/>
      <c r="D161" s="1400"/>
      <c r="E161" s="1400"/>
      <c r="F161" s="575" t="s">
        <v>703</v>
      </c>
      <c r="G161" s="1375">
        <f>BS!D92</f>
        <v>0</v>
      </c>
      <c r="H161" s="1378"/>
      <c r="I161" s="1375">
        <f>BS!E92</f>
        <v>0</v>
      </c>
      <c r="J161" s="1377"/>
    </row>
    <row r="162" spans="1:10" ht="27.75" customHeight="1" x14ac:dyDescent="0.25">
      <c r="A162" s="577" t="s">
        <v>541</v>
      </c>
      <c r="B162" s="1399" t="s">
        <v>1240</v>
      </c>
      <c r="C162" s="1400"/>
      <c r="D162" s="1400"/>
      <c r="E162" s="1400"/>
      <c r="F162" s="575" t="s">
        <v>705</v>
      </c>
      <c r="G162" s="1375">
        <f>BS!D93</f>
        <v>0</v>
      </c>
      <c r="H162" s="1378"/>
      <c r="I162" s="1375">
        <f>BS!E93</f>
        <v>0</v>
      </c>
      <c r="J162" s="1377"/>
    </row>
    <row r="163" spans="1:10" ht="27.75" customHeight="1" x14ac:dyDescent="0.25">
      <c r="A163" s="577" t="s">
        <v>544</v>
      </c>
      <c r="B163" s="1399" t="s">
        <v>1239</v>
      </c>
      <c r="C163" s="1400"/>
      <c r="D163" s="1400"/>
      <c r="E163" s="1400"/>
      <c r="F163" s="575" t="s">
        <v>707</v>
      </c>
      <c r="G163" s="1375">
        <f>BS!D94</f>
        <v>0</v>
      </c>
      <c r="H163" s="1378"/>
      <c r="I163" s="1375">
        <f>BS!E94</f>
        <v>0</v>
      </c>
      <c r="J163" s="1377"/>
    </row>
    <row r="164" spans="1:10" ht="27.75" customHeight="1" x14ac:dyDescent="0.25">
      <c r="A164" s="579" t="s">
        <v>574</v>
      </c>
      <c r="B164" s="1401" t="s">
        <v>1238</v>
      </c>
      <c r="C164" s="1402"/>
      <c r="D164" s="1402"/>
      <c r="E164" s="1402"/>
      <c r="F164" s="585" t="s">
        <v>709</v>
      </c>
      <c r="G164" s="1375">
        <f>BS!D95</f>
        <v>0</v>
      </c>
      <c r="H164" s="1378"/>
      <c r="I164" s="1375">
        <f>BS!E95</f>
        <v>0</v>
      </c>
      <c r="J164" s="1377"/>
    </row>
    <row r="165" spans="1:10" ht="27.75" customHeight="1" x14ac:dyDescent="0.25">
      <c r="A165" s="577" t="s">
        <v>577</v>
      </c>
      <c r="B165" s="1399" t="s">
        <v>1237</v>
      </c>
      <c r="C165" s="1400"/>
      <c r="D165" s="1400"/>
      <c r="E165" s="1400"/>
      <c r="F165" s="575" t="s">
        <v>711</v>
      </c>
      <c r="G165" s="1375">
        <f>BS!D96</f>
        <v>0</v>
      </c>
      <c r="H165" s="1378"/>
      <c r="I165" s="1375">
        <f>BS!E96</f>
        <v>0</v>
      </c>
      <c r="J165" s="1377"/>
    </row>
    <row r="166" spans="1:10" ht="27.75" customHeight="1" x14ac:dyDescent="0.25">
      <c r="A166" s="577" t="s">
        <v>532</v>
      </c>
      <c r="B166" s="1399" t="s">
        <v>1236</v>
      </c>
      <c r="C166" s="1400"/>
      <c r="D166" s="1400"/>
      <c r="E166" s="1400"/>
      <c r="F166" s="575" t="s">
        <v>713</v>
      </c>
      <c r="G166" s="1375">
        <f>BS!D97</f>
        <v>0</v>
      </c>
      <c r="H166" s="1378"/>
      <c r="I166" s="1375">
        <f>BS!E97</f>
        <v>0</v>
      </c>
      <c r="J166" s="1377"/>
    </row>
    <row r="167" spans="1:10" s="522" customFormat="1" ht="27.75" customHeight="1" x14ac:dyDescent="0.25">
      <c r="A167" s="577" t="s">
        <v>535</v>
      </c>
      <c r="B167" s="1399" t="s">
        <v>1235</v>
      </c>
      <c r="C167" s="1400"/>
      <c r="D167" s="1400"/>
      <c r="E167" s="1400"/>
      <c r="F167" s="575" t="s">
        <v>715</v>
      </c>
      <c r="G167" s="1375">
        <f>BS!D98</f>
        <v>0</v>
      </c>
      <c r="H167" s="1378"/>
      <c r="I167" s="1375">
        <f>BS!E98</f>
        <v>0</v>
      </c>
      <c r="J167" s="1377"/>
    </row>
    <row r="168" spans="1:10" ht="27.75" customHeight="1" x14ac:dyDescent="0.25">
      <c r="A168" s="579" t="s">
        <v>716</v>
      </c>
      <c r="B168" s="1401" t="s">
        <v>1234</v>
      </c>
      <c r="C168" s="1402"/>
      <c r="D168" s="1402"/>
      <c r="E168" s="1402"/>
      <c r="F168" s="585" t="s">
        <v>718</v>
      </c>
      <c r="G168" s="1375">
        <f>BS!D99</f>
        <v>0</v>
      </c>
      <c r="H168" s="1378"/>
      <c r="I168" s="1375">
        <f>BS!E99</f>
        <v>0</v>
      </c>
      <c r="J168" s="1377"/>
    </row>
    <row r="169" spans="1:10" ht="27.75" customHeight="1" x14ac:dyDescent="0.25">
      <c r="A169" s="586" t="s">
        <v>719</v>
      </c>
      <c r="B169" s="1399" t="s">
        <v>1233</v>
      </c>
      <c r="C169" s="1400"/>
      <c r="D169" s="1400"/>
      <c r="E169" s="1400"/>
      <c r="F169" s="575" t="s">
        <v>721</v>
      </c>
      <c r="G169" s="1375">
        <f>BS!D100</f>
        <v>0</v>
      </c>
      <c r="H169" s="1378"/>
      <c r="I169" s="1375">
        <f>BS!E100</f>
        <v>0</v>
      </c>
      <c r="J169" s="1377"/>
    </row>
    <row r="170" spans="1:10" ht="27.75" customHeight="1" x14ac:dyDescent="0.25">
      <c r="A170" s="577" t="s">
        <v>532</v>
      </c>
      <c r="B170" s="1399" t="s">
        <v>1232</v>
      </c>
      <c r="C170" s="1400"/>
      <c r="D170" s="1400"/>
      <c r="E170" s="1400"/>
      <c r="F170" s="575" t="s">
        <v>723</v>
      </c>
      <c r="G170" s="1375">
        <f>BS!D101</f>
        <v>0</v>
      </c>
      <c r="H170" s="1378"/>
      <c r="I170" s="1375">
        <f>BS!E101</f>
        <v>0</v>
      </c>
      <c r="J170" s="1377"/>
    </row>
    <row r="171" spans="1:10" s="522" customFormat="1" ht="31.5" customHeight="1" x14ac:dyDescent="0.25">
      <c r="A171" s="579" t="s">
        <v>724</v>
      </c>
      <c r="B171" s="1401" t="s">
        <v>1231</v>
      </c>
      <c r="C171" s="1402"/>
      <c r="D171" s="1402"/>
      <c r="E171" s="1402"/>
      <c r="F171" s="585" t="s">
        <v>726</v>
      </c>
      <c r="G171" s="1375">
        <f>BS!D102</f>
        <v>0</v>
      </c>
      <c r="H171" s="1378"/>
      <c r="I171" s="1375">
        <f>BS!E102</f>
        <v>0</v>
      </c>
      <c r="J171" s="1377"/>
    </row>
    <row r="172" spans="1:10" ht="27.75" customHeight="1" x14ac:dyDescent="0.25">
      <c r="A172" s="579" t="s">
        <v>594</v>
      </c>
      <c r="B172" s="1401" t="s">
        <v>1230</v>
      </c>
      <c r="C172" s="1402"/>
      <c r="D172" s="1402"/>
      <c r="E172" s="1402"/>
      <c r="F172" s="585" t="s">
        <v>728</v>
      </c>
      <c r="G172" s="1375">
        <f>BS!D103</f>
        <v>0</v>
      </c>
      <c r="H172" s="1378"/>
      <c r="I172" s="1375">
        <f>BS!E103</f>
        <v>0</v>
      </c>
      <c r="J172" s="1377"/>
    </row>
    <row r="173" spans="1:10" ht="27.75" customHeight="1" x14ac:dyDescent="0.25">
      <c r="A173" s="579" t="s">
        <v>597</v>
      </c>
      <c r="B173" s="1401" t="s">
        <v>1229</v>
      </c>
      <c r="C173" s="1402"/>
      <c r="D173" s="1402"/>
      <c r="E173" s="1402"/>
      <c r="F173" s="585" t="s">
        <v>730</v>
      </c>
      <c r="G173" s="1375">
        <f>BS!D104</f>
        <v>0</v>
      </c>
      <c r="H173" s="1378"/>
      <c r="I173" s="1375">
        <f>BS!E104</f>
        <v>0</v>
      </c>
      <c r="J173" s="1377"/>
    </row>
    <row r="174" spans="1:10" s="522" customFormat="1" ht="27.75" customHeight="1" x14ac:dyDescent="0.25">
      <c r="A174" s="578" t="s">
        <v>600</v>
      </c>
      <c r="B174" s="1399" t="s">
        <v>1228</v>
      </c>
      <c r="C174" s="1400"/>
      <c r="D174" s="1400"/>
      <c r="E174" s="1400"/>
      <c r="F174" s="575" t="s">
        <v>732</v>
      </c>
      <c r="G174" s="1375">
        <f>BS!D105</f>
        <v>0</v>
      </c>
      <c r="H174" s="1378"/>
      <c r="I174" s="1375">
        <f>BS!E105</f>
        <v>0</v>
      </c>
      <c r="J174" s="1377"/>
    </row>
    <row r="175" spans="1:10" s="522" customFormat="1" ht="27.75" customHeight="1" x14ac:dyDescent="0.25">
      <c r="A175" s="577" t="s">
        <v>532</v>
      </c>
      <c r="B175" s="1399" t="s">
        <v>1227</v>
      </c>
      <c r="C175" s="1400"/>
      <c r="D175" s="1400"/>
      <c r="E175" s="1400"/>
      <c r="F175" s="575" t="s">
        <v>734</v>
      </c>
      <c r="G175" s="1375">
        <f>BS!D106</f>
        <v>0</v>
      </c>
      <c r="H175" s="1378"/>
      <c r="I175" s="1375">
        <f>BS!E106</f>
        <v>0</v>
      </c>
      <c r="J175" s="1377"/>
    </row>
    <row r="176" spans="1:10" s="522" customFormat="1" ht="27.75" customHeight="1" x14ac:dyDescent="0.25">
      <c r="A176" s="577" t="s">
        <v>535</v>
      </c>
      <c r="B176" s="1399" t="s">
        <v>1226</v>
      </c>
      <c r="C176" s="1400"/>
      <c r="D176" s="1400"/>
      <c r="E176" s="1400"/>
      <c r="F176" s="575" t="s">
        <v>736</v>
      </c>
      <c r="G176" s="1375">
        <f>BS!D107</f>
        <v>0</v>
      </c>
      <c r="H176" s="1378"/>
      <c r="I176" s="1375">
        <f>BS!E107</f>
        <v>0</v>
      </c>
      <c r="J176" s="1377"/>
    </row>
    <row r="177" spans="1:10" ht="27.75" customHeight="1" x14ac:dyDescent="0.25">
      <c r="A177" s="577" t="s">
        <v>538</v>
      </c>
      <c r="B177" s="1399" t="s">
        <v>1225</v>
      </c>
      <c r="C177" s="1400"/>
      <c r="D177" s="1400"/>
      <c r="E177" s="1400"/>
      <c r="F177" s="575" t="s">
        <v>738</v>
      </c>
      <c r="G177" s="1375">
        <f>BS!D108</f>
        <v>0</v>
      </c>
      <c r="H177" s="1378"/>
      <c r="I177" s="1375">
        <f>BS!E108</f>
        <v>0</v>
      </c>
      <c r="J177" s="1377"/>
    </row>
    <row r="178" spans="1:10" ht="25.5" customHeight="1" thickBot="1" x14ac:dyDescent="0.3">
      <c r="A178" s="584" t="s">
        <v>613</v>
      </c>
      <c r="B178" s="1410" t="s">
        <v>1224</v>
      </c>
      <c r="C178" s="1411"/>
      <c r="D178" s="1411"/>
      <c r="E178" s="1411"/>
      <c r="F178" s="583" t="s">
        <v>740</v>
      </c>
      <c r="G178" s="1375">
        <f>BS!D109</f>
        <v>0</v>
      </c>
      <c r="H178" s="1378"/>
      <c r="I178" s="1375">
        <f>BS!E109</f>
        <v>0</v>
      </c>
      <c r="J178" s="1377"/>
    </row>
    <row r="179" spans="1:10" ht="30" customHeight="1" x14ac:dyDescent="0.15">
      <c r="A179" s="582" t="s">
        <v>1223</v>
      </c>
      <c r="B179" s="1394" t="s">
        <v>1222</v>
      </c>
      <c r="C179" s="1403"/>
      <c r="D179" s="1403"/>
      <c r="E179" s="1404"/>
      <c r="F179" s="581" t="s">
        <v>1221</v>
      </c>
      <c r="G179" s="1394" t="s">
        <v>1220</v>
      </c>
      <c r="H179" s="1396"/>
      <c r="I179" s="1394" t="s">
        <v>1219</v>
      </c>
      <c r="J179" s="1445"/>
    </row>
    <row r="180" spans="1:10" ht="27.75" customHeight="1" x14ac:dyDescent="0.25">
      <c r="A180" s="578" t="s">
        <v>616</v>
      </c>
      <c r="B180" s="1399" t="s">
        <v>1218</v>
      </c>
      <c r="C180" s="1400"/>
      <c r="D180" s="1400"/>
      <c r="E180" s="1400"/>
      <c r="F180" s="575" t="s">
        <v>742</v>
      </c>
      <c r="G180" s="1375">
        <f>BS!D110</f>
        <v>0</v>
      </c>
      <c r="H180" s="1378"/>
      <c r="I180" s="1375">
        <f>BS!E110</f>
        <v>0</v>
      </c>
      <c r="J180" s="1377"/>
    </row>
    <row r="181" spans="1:10" ht="27.75" customHeight="1" x14ac:dyDescent="0.25">
      <c r="A181" s="577" t="s">
        <v>532</v>
      </c>
      <c r="B181" s="1399" t="s">
        <v>1206</v>
      </c>
      <c r="C181" s="1400"/>
      <c r="D181" s="1400"/>
      <c r="E181" s="1400"/>
      <c r="F181" s="575" t="s">
        <v>743</v>
      </c>
      <c r="G181" s="1375">
        <f>BS!D111</f>
        <v>0</v>
      </c>
      <c r="H181" s="1378"/>
      <c r="I181" s="1375">
        <f>BS!E111</f>
        <v>0</v>
      </c>
      <c r="J181" s="1377"/>
    </row>
    <row r="182" spans="1:10" s="522" customFormat="1" ht="27.75" customHeight="1" x14ac:dyDescent="0.25">
      <c r="A182" s="577" t="s">
        <v>535</v>
      </c>
      <c r="B182" s="1399" t="s">
        <v>1217</v>
      </c>
      <c r="C182" s="1400"/>
      <c r="D182" s="1400"/>
      <c r="E182" s="1400"/>
      <c r="F182" s="575" t="s">
        <v>745</v>
      </c>
      <c r="G182" s="1375">
        <f>BS!D112</f>
        <v>0</v>
      </c>
      <c r="H182" s="1378"/>
      <c r="I182" s="1375">
        <f>BS!E112</f>
        <v>0</v>
      </c>
      <c r="J182" s="1377"/>
    </row>
    <row r="183" spans="1:10" ht="27.75" customHeight="1" x14ac:dyDescent="0.25">
      <c r="A183" s="577" t="s">
        <v>538</v>
      </c>
      <c r="B183" s="1399" t="s">
        <v>1216</v>
      </c>
      <c r="C183" s="1400"/>
      <c r="D183" s="1400"/>
      <c r="E183" s="1400"/>
      <c r="F183" s="575" t="s">
        <v>747</v>
      </c>
      <c r="G183" s="1375">
        <f>BS!D113</f>
        <v>0</v>
      </c>
      <c r="H183" s="1378"/>
      <c r="I183" s="1375">
        <f>BS!E113</f>
        <v>0</v>
      </c>
      <c r="J183" s="1377"/>
    </row>
    <row r="184" spans="1:10" ht="27.75" customHeight="1" x14ac:dyDescent="0.25">
      <c r="A184" s="577" t="s">
        <v>541</v>
      </c>
      <c r="B184" s="1399" t="s">
        <v>1215</v>
      </c>
      <c r="C184" s="1400"/>
      <c r="D184" s="1400"/>
      <c r="E184" s="1400"/>
      <c r="F184" s="575" t="s">
        <v>749</v>
      </c>
      <c r="G184" s="1375">
        <f>BS!D114</f>
        <v>0</v>
      </c>
      <c r="H184" s="1378"/>
      <c r="I184" s="1375">
        <f>BS!E114</f>
        <v>0</v>
      </c>
      <c r="J184" s="1377"/>
    </row>
    <row r="185" spans="1:10" ht="27.75" customHeight="1" x14ac:dyDescent="0.25">
      <c r="A185" s="577" t="s">
        <v>544</v>
      </c>
      <c r="B185" s="1399" t="s">
        <v>1214</v>
      </c>
      <c r="C185" s="1400"/>
      <c r="D185" s="1400"/>
      <c r="E185" s="1400"/>
      <c r="F185" s="575" t="s">
        <v>751</v>
      </c>
      <c r="G185" s="1375">
        <f>BS!D115</f>
        <v>0</v>
      </c>
      <c r="H185" s="1378"/>
      <c r="I185" s="1375">
        <f>BS!E115</f>
        <v>0</v>
      </c>
      <c r="J185" s="1377"/>
    </row>
    <row r="186" spans="1:10" ht="27.75" customHeight="1" x14ac:dyDescent="0.25">
      <c r="A186" s="577" t="s">
        <v>547</v>
      </c>
      <c r="B186" s="1399" t="s">
        <v>1213</v>
      </c>
      <c r="C186" s="1400"/>
      <c r="D186" s="1400"/>
      <c r="E186" s="1400"/>
      <c r="F186" s="575" t="s">
        <v>753</v>
      </c>
      <c r="G186" s="1375">
        <f>BS!D116</f>
        <v>0</v>
      </c>
      <c r="H186" s="1378"/>
      <c r="I186" s="1375">
        <f>BS!E116</f>
        <v>0</v>
      </c>
      <c r="J186" s="1377"/>
    </row>
    <row r="187" spans="1:10" ht="27.75" customHeight="1" x14ac:dyDescent="0.25">
      <c r="A187" s="577" t="s">
        <v>568</v>
      </c>
      <c r="B187" s="1399" t="s">
        <v>1212</v>
      </c>
      <c r="C187" s="1400"/>
      <c r="D187" s="1400"/>
      <c r="E187" s="1400"/>
      <c r="F187" s="575" t="s">
        <v>755</v>
      </c>
      <c r="G187" s="1375">
        <f>BS!D117</f>
        <v>0</v>
      </c>
      <c r="H187" s="1378"/>
      <c r="I187" s="1375">
        <f>BS!E117</f>
        <v>0</v>
      </c>
      <c r="J187" s="1377"/>
    </row>
    <row r="188" spans="1:10" ht="27.75" customHeight="1" x14ac:dyDescent="0.25">
      <c r="A188" s="577" t="s">
        <v>571</v>
      </c>
      <c r="B188" s="1399" t="s">
        <v>1211</v>
      </c>
      <c r="C188" s="1400"/>
      <c r="D188" s="1400"/>
      <c r="E188" s="1400"/>
      <c r="F188" s="575" t="s">
        <v>757</v>
      </c>
      <c r="G188" s="1375">
        <f>BS!D118</f>
        <v>0</v>
      </c>
      <c r="H188" s="1378"/>
      <c r="I188" s="1375">
        <f>BS!E118</f>
        <v>0</v>
      </c>
      <c r="J188" s="1377"/>
    </row>
    <row r="189" spans="1:10" ht="27.75" customHeight="1" x14ac:dyDescent="0.25">
      <c r="A189" s="577" t="s">
        <v>758</v>
      </c>
      <c r="B189" s="1399" t="s">
        <v>1210</v>
      </c>
      <c r="C189" s="1400"/>
      <c r="D189" s="1400"/>
      <c r="E189" s="1400"/>
      <c r="F189" s="575" t="s">
        <v>760</v>
      </c>
      <c r="G189" s="1375">
        <f>BS!D119</f>
        <v>0</v>
      </c>
      <c r="H189" s="1378"/>
      <c r="I189" s="1375">
        <f>BS!E119</f>
        <v>0</v>
      </c>
      <c r="J189" s="1377"/>
    </row>
    <row r="190" spans="1:10" ht="27.75" customHeight="1" x14ac:dyDescent="0.25">
      <c r="A190" s="577" t="s">
        <v>761</v>
      </c>
      <c r="B190" s="1399" t="s">
        <v>1209</v>
      </c>
      <c r="C190" s="1400"/>
      <c r="D190" s="1400"/>
      <c r="E190" s="1400"/>
      <c r="F190" s="575" t="s">
        <v>763</v>
      </c>
      <c r="G190" s="1375">
        <f>BS!D120</f>
        <v>0</v>
      </c>
      <c r="H190" s="1378"/>
      <c r="I190" s="1375">
        <f>BS!E120</f>
        <v>0</v>
      </c>
      <c r="J190" s="1377"/>
    </row>
    <row r="191" spans="1:10" ht="27.75" customHeight="1" x14ac:dyDescent="0.25">
      <c r="A191" s="579" t="s">
        <v>631</v>
      </c>
      <c r="B191" s="1401" t="s">
        <v>1208</v>
      </c>
      <c r="C191" s="1402"/>
      <c r="D191" s="1402"/>
      <c r="E191" s="1402"/>
      <c r="F191" s="575" t="s">
        <v>765</v>
      </c>
      <c r="G191" s="1375">
        <f>BS!D121</f>
        <v>0</v>
      </c>
      <c r="H191" s="1378"/>
      <c r="I191" s="1375">
        <f>BS!E121</f>
        <v>0</v>
      </c>
      <c r="J191" s="1377"/>
    </row>
    <row r="192" spans="1:10" ht="27.75" customHeight="1" x14ac:dyDescent="0.25">
      <c r="A192" s="577" t="s">
        <v>634</v>
      </c>
      <c r="B192" s="1399" t="s">
        <v>1207</v>
      </c>
      <c r="C192" s="1400"/>
      <c r="D192" s="1400"/>
      <c r="E192" s="1400"/>
      <c r="F192" s="575" t="s">
        <v>767</v>
      </c>
      <c r="G192" s="1375">
        <f>BS!D122</f>
        <v>0</v>
      </c>
      <c r="H192" s="1378"/>
      <c r="I192" s="1375">
        <f>BS!E122</f>
        <v>0</v>
      </c>
      <c r="J192" s="1377"/>
    </row>
    <row r="193" spans="1:10" ht="27.75" customHeight="1" x14ac:dyDescent="0.25">
      <c r="A193" s="577" t="s">
        <v>532</v>
      </c>
      <c r="B193" s="1399" t="s">
        <v>1206</v>
      </c>
      <c r="C193" s="1400"/>
      <c r="D193" s="1400"/>
      <c r="E193" s="1400"/>
      <c r="F193" s="575" t="s">
        <v>768</v>
      </c>
      <c r="G193" s="1375">
        <f>BS!D123</f>
        <v>0</v>
      </c>
      <c r="H193" s="1378"/>
      <c r="I193" s="1375">
        <f>BS!E123</f>
        <v>0</v>
      </c>
      <c r="J193" s="1377"/>
    </row>
    <row r="194" spans="1:10" ht="27.75" customHeight="1" x14ac:dyDescent="0.25">
      <c r="A194" s="577" t="s">
        <v>535</v>
      </c>
      <c r="B194" s="1399" t="s">
        <v>1205</v>
      </c>
      <c r="C194" s="1400"/>
      <c r="D194" s="1400"/>
      <c r="E194" s="1400"/>
      <c r="F194" s="575" t="s">
        <v>770</v>
      </c>
      <c r="G194" s="1375">
        <f>BS!D124</f>
        <v>0</v>
      </c>
      <c r="H194" s="1378"/>
      <c r="I194" s="1375">
        <f>BS!E124</f>
        <v>0</v>
      </c>
      <c r="J194" s="1377"/>
    </row>
    <row r="195" spans="1:10" s="522" customFormat="1" ht="27.75" customHeight="1" x14ac:dyDescent="0.25">
      <c r="A195" s="577" t="s">
        <v>538</v>
      </c>
      <c r="B195" s="1399" t="s">
        <v>1204</v>
      </c>
      <c r="C195" s="1400"/>
      <c r="D195" s="1400"/>
      <c r="E195" s="1400"/>
      <c r="F195" s="575" t="s">
        <v>772</v>
      </c>
      <c r="G195" s="1375">
        <f>BS!D125</f>
        <v>0</v>
      </c>
      <c r="H195" s="1378"/>
      <c r="I195" s="1375">
        <f>BS!E125</f>
        <v>0</v>
      </c>
      <c r="J195" s="1377"/>
    </row>
    <row r="196" spans="1:10" ht="27.75" customHeight="1" x14ac:dyDescent="0.25">
      <c r="A196" s="577" t="s">
        <v>541</v>
      </c>
      <c r="B196" s="1399" t="s">
        <v>1203</v>
      </c>
      <c r="C196" s="1400"/>
      <c r="D196" s="1400"/>
      <c r="E196" s="1400"/>
      <c r="F196" s="575" t="s">
        <v>774</v>
      </c>
      <c r="G196" s="1375">
        <f>BS!D126</f>
        <v>0</v>
      </c>
      <c r="H196" s="1378"/>
      <c r="I196" s="1375">
        <f>BS!E126</f>
        <v>0</v>
      </c>
      <c r="J196" s="1377"/>
    </row>
    <row r="197" spans="1:10" ht="27.75" customHeight="1" x14ac:dyDescent="0.25">
      <c r="A197" s="577" t="s">
        <v>544</v>
      </c>
      <c r="B197" s="1399" t="s">
        <v>1202</v>
      </c>
      <c r="C197" s="1400"/>
      <c r="D197" s="1400"/>
      <c r="E197" s="1400"/>
      <c r="F197" s="575" t="s">
        <v>776</v>
      </c>
      <c r="G197" s="1375">
        <f>BS!D127</f>
        <v>0</v>
      </c>
      <c r="H197" s="1378"/>
      <c r="I197" s="1375">
        <f>BS!E127</f>
        <v>0</v>
      </c>
      <c r="J197" s="1377"/>
    </row>
    <row r="198" spans="1:10" ht="27.75" customHeight="1" x14ac:dyDescent="0.25">
      <c r="A198" s="577" t="s">
        <v>547</v>
      </c>
      <c r="B198" s="1399" t="s">
        <v>1201</v>
      </c>
      <c r="C198" s="1400"/>
      <c r="D198" s="1400"/>
      <c r="E198" s="1400"/>
      <c r="F198" s="575" t="s">
        <v>778</v>
      </c>
      <c r="G198" s="1375">
        <f>BS!D128</f>
        <v>0</v>
      </c>
      <c r="H198" s="1378"/>
      <c r="I198" s="1375">
        <f>BS!E128</f>
        <v>0</v>
      </c>
      <c r="J198" s="1377"/>
    </row>
    <row r="199" spans="1:10" ht="27.75" customHeight="1" x14ac:dyDescent="0.25">
      <c r="A199" s="577" t="s">
        <v>568</v>
      </c>
      <c r="B199" s="1399" t="s">
        <v>1200</v>
      </c>
      <c r="C199" s="1400"/>
      <c r="D199" s="1400"/>
      <c r="E199" s="1400"/>
      <c r="F199" s="575" t="s">
        <v>780</v>
      </c>
      <c r="G199" s="1375">
        <f>BS!D129</f>
        <v>0</v>
      </c>
      <c r="H199" s="1378"/>
      <c r="I199" s="1375">
        <f>BS!E129</f>
        <v>0</v>
      </c>
      <c r="J199" s="1377"/>
    </row>
    <row r="200" spans="1:10" ht="27.75" customHeight="1" x14ac:dyDescent="0.25">
      <c r="A200" s="577" t="s">
        <v>571</v>
      </c>
      <c r="B200" s="1399" t="s">
        <v>1199</v>
      </c>
      <c r="C200" s="1400"/>
      <c r="D200" s="1400"/>
      <c r="E200" s="1400"/>
      <c r="F200" s="575" t="s">
        <v>782</v>
      </c>
      <c r="G200" s="1375">
        <f>BS!D130</f>
        <v>0</v>
      </c>
      <c r="H200" s="1378"/>
      <c r="I200" s="1375">
        <f>BS!E130</f>
        <v>0</v>
      </c>
      <c r="J200" s="1377"/>
    </row>
    <row r="201" spans="1:10" ht="27.75" customHeight="1" x14ac:dyDescent="0.25">
      <c r="A201" s="577" t="s">
        <v>758</v>
      </c>
      <c r="B201" s="1399" t="s">
        <v>1198</v>
      </c>
      <c r="C201" s="1400"/>
      <c r="D201" s="1400"/>
      <c r="E201" s="1400"/>
      <c r="F201" s="575" t="s">
        <v>784</v>
      </c>
      <c r="G201" s="1375">
        <f>BS!D131</f>
        <v>0</v>
      </c>
      <c r="H201" s="1378"/>
      <c r="I201" s="1375">
        <f>BS!E131</f>
        <v>0</v>
      </c>
      <c r="J201" s="1377"/>
    </row>
    <row r="202" spans="1:10" ht="27.75" customHeight="1" x14ac:dyDescent="0.25">
      <c r="A202" s="579" t="s">
        <v>649</v>
      </c>
      <c r="B202" s="1401" t="s">
        <v>1197</v>
      </c>
      <c r="C202" s="1402"/>
      <c r="D202" s="1402"/>
      <c r="E202" s="1402"/>
      <c r="F202" s="575" t="s">
        <v>786</v>
      </c>
      <c r="G202" s="1375">
        <f>BS!D132</f>
        <v>0</v>
      </c>
      <c r="H202" s="1378"/>
      <c r="I202" s="1375">
        <f>BS!E132</f>
        <v>0</v>
      </c>
      <c r="J202" s="1377"/>
    </row>
    <row r="203" spans="1:10" ht="27.75" customHeight="1" x14ac:dyDescent="0.25">
      <c r="A203" s="580" t="s">
        <v>787</v>
      </c>
      <c r="B203" s="1401" t="s">
        <v>1196</v>
      </c>
      <c r="C203" s="1402"/>
      <c r="D203" s="1402"/>
      <c r="E203" s="1402"/>
      <c r="F203" s="575" t="s">
        <v>789</v>
      </c>
      <c r="G203" s="1375">
        <f>BS!D133</f>
        <v>0</v>
      </c>
      <c r="H203" s="1378"/>
      <c r="I203" s="1375">
        <f>BS!E133</f>
        <v>0</v>
      </c>
      <c r="J203" s="1377"/>
    </row>
    <row r="204" spans="1:10" ht="27.75" customHeight="1" x14ac:dyDescent="0.25">
      <c r="A204" s="577" t="s">
        <v>790</v>
      </c>
      <c r="B204" s="1401" t="s">
        <v>1195</v>
      </c>
      <c r="C204" s="1402"/>
      <c r="D204" s="1402"/>
      <c r="E204" s="1402"/>
      <c r="F204" s="575" t="s">
        <v>792</v>
      </c>
      <c r="G204" s="1375">
        <f>BS!D134</f>
        <v>0</v>
      </c>
      <c r="H204" s="1378"/>
      <c r="I204" s="1375">
        <f>BS!E134</f>
        <v>0</v>
      </c>
      <c r="J204" s="1377"/>
    </row>
    <row r="205" spans="1:10" s="522" customFormat="1" ht="27.75" customHeight="1" x14ac:dyDescent="0.25">
      <c r="A205" s="577" t="s">
        <v>532</v>
      </c>
      <c r="B205" s="1399" t="s">
        <v>1194</v>
      </c>
      <c r="C205" s="1400"/>
      <c r="D205" s="1400"/>
      <c r="E205" s="1400"/>
      <c r="F205" s="575" t="s">
        <v>794</v>
      </c>
      <c r="G205" s="1375">
        <f>BS!D135</f>
        <v>0</v>
      </c>
      <c r="H205" s="1378"/>
      <c r="I205" s="1375">
        <f>BS!E135</f>
        <v>0</v>
      </c>
      <c r="J205" s="1377"/>
    </row>
    <row r="206" spans="1:10" ht="27.75" customHeight="1" x14ac:dyDescent="0.25">
      <c r="A206" s="579" t="s">
        <v>663</v>
      </c>
      <c r="B206" s="1401" t="s">
        <v>1193</v>
      </c>
      <c r="C206" s="1402"/>
      <c r="D206" s="1402"/>
      <c r="E206" s="1402"/>
      <c r="F206" s="575" t="s">
        <v>796</v>
      </c>
      <c r="G206" s="1375">
        <f>BS!D136</f>
        <v>0</v>
      </c>
      <c r="H206" s="1378"/>
      <c r="I206" s="1375">
        <f>BS!E136</f>
        <v>0</v>
      </c>
      <c r="J206" s="1377"/>
    </row>
    <row r="207" spans="1:10" ht="27.75" customHeight="1" x14ac:dyDescent="0.25">
      <c r="A207" s="578" t="s">
        <v>666</v>
      </c>
      <c r="B207" s="1399" t="s">
        <v>1192</v>
      </c>
      <c r="C207" s="1400"/>
      <c r="D207" s="1400"/>
      <c r="E207" s="1400"/>
      <c r="F207" s="575" t="s">
        <v>798</v>
      </c>
      <c r="G207" s="1375">
        <f>BS!D137</f>
        <v>0</v>
      </c>
      <c r="H207" s="1378"/>
      <c r="I207" s="1375">
        <f>BS!E137</f>
        <v>0</v>
      </c>
      <c r="J207" s="1377"/>
    </row>
    <row r="208" spans="1:10" ht="27.75" customHeight="1" x14ac:dyDescent="0.25">
      <c r="A208" s="577" t="s">
        <v>532</v>
      </c>
      <c r="B208" s="1399" t="s">
        <v>1191</v>
      </c>
      <c r="C208" s="1400"/>
      <c r="D208" s="1400"/>
      <c r="E208" s="1400"/>
      <c r="F208" s="575" t="s">
        <v>800</v>
      </c>
      <c r="G208" s="1375">
        <f>BS!D138</f>
        <v>0</v>
      </c>
      <c r="H208" s="1378"/>
      <c r="I208" s="1375">
        <f>BS!E138</f>
        <v>0</v>
      </c>
      <c r="J208" s="1377"/>
    </row>
    <row r="209" spans="1:10" s="522" customFormat="1" ht="27.75" customHeight="1" x14ac:dyDescent="0.25">
      <c r="A209" s="577" t="s">
        <v>535</v>
      </c>
      <c r="B209" s="1399" t="s">
        <v>1190</v>
      </c>
      <c r="C209" s="1400"/>
      <c r="D209" s="1400"/>
      <c r="E209" s="1400"/>
      <c r="F209" s="575" t="s">
        <v>802</v>
      </c>
      <c r="G209" s="1375">
        <f>BS!D139</f>
        <v>0</v>
      </c>
      <c r="H209" s="1378"/>
      <c r="I209" s="1375">
        <f>BS!E139</f>
        <v>0</v>
      </c>
      <c r="J209" s="1377"/>
    </row>
    <row r="210" spans="1:10" ht="27.75" customHeight="1" thickBot="1" x14ac:dyDescent="0.3">
      <c r="A210" s="576" t="s">
        <v>538</v>
      </c>
      <c r="B210" s="1407" t="s">
        <v>1189</v>
      </c>
      <c r="C210" s="1408"/>
      <c r="D210" s="1408"/>
      <c r="E210" s="1408"/>
      <c r="F210" s="575" t="s">
        <v>804</v>
      </c>
      <c r="G210" s="1375">
        <f>BS!D140</f>
        <v>0</v>
      </c>
      <c r="H210" s="1378"/>
      <c r="I210" s="1375">
        <f>BS!E140</f>
        <v>0</v>
      </c>
      <c r="J210" s="1377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6">
    <mergeCell ref="I208:J208"/>
    <mergeCell ref="I195:J195"/>
    <mergeCell ref="I196:J196"/>
    <mergeCell ref="I197:J197"/>
    <mergeCell ref="I198:J198"/>
    <mergeCell ref="I209:J209"/>
    <mergeCell ref="I210:J210"/>
    <mergeCell ref="I201:J201"/>
    <mergeCell ref="I202:J202"/>
    <mergeCell ref="I203:J203"/>
    <mergeCell ref="I204:J204"/>
    <mergeCell ref="I205:J205"/>
    <mergeCell ref="I206:J206"/>
    <mergeCell ref="I194:J194"/>
    <mergeCell ref="I186:J186"/>
    <mergeCell ref="I187:J187"/>
    <mergeCell ref="I188:J188"/>
    <mergeCell ref="I189:J189"/>
    <mergeCell ref="I193:J193"/>
    <mergeCell ref="I199:J199"/>
    <mergeCell ref="I200:J200"/>
    <mergeCell ref="I207:J207"/>
    <mergeCell ref="I184:J184"/>
    <mergeCell ref="I185:J185"/>
    <mergeCell ref="I177:J177"/>
    <mergeCell ref="I178:J178"/>
    <mergeCell ref="I179:J179"/>
    <mergeCell ref="I180:J180"/>
    <mergeCell ref="I190:J190"/>
    <mergeCell ref="I191:J191"/>
    <mergeCell ref="I192:J192"/>
    <mergeCell ref="I175:J175"/>
    <mergeCell ref="I176:J176"/>
    <mergeCell ref="I181:J181"/>
    <mergeCell ref="I169:J169"/>
    <mergeCell ref="I170:J170"/>
    <mergeCell ref="I171:J171"/>
    <mergeCell ref="I172:J172"/>
    <mergeCell ref="I182:J182"/>
    <mergeCell ref="I183:J183"/>
    <mergeCell ref="I166:J166"/>
    <mergeCell ref="I167:J167"/>
    <mergeCell ref="I168:J168"/>
    <mergeCell ref="I161:J161"/>
    <mergeCell ref="I162:J162"/>
    <mergeCell ref="I163:J163"/>
    <mergeCell ref="I164:J164"/>
    <mergeCell ref="I173:J173"/>
    <mergeCell ref="I174:J174"/>
    <mergeCell ref="G210:H210"/>
    <mergeCell ref="G203:H203"/>
    <mergeCell ref="G204:H204"/>
    <mergeCell ref="G205:H205"/>
    <mergeCell ref="G206:H206"/>
    <mergeCell ref="I149:J149"/>
    <mergeCell ref="I150:J150"/>
    <mergeCell ref="I151:J151"/>
    <mergeCell ref="I152:J152"/>
    <mergeCell ref="G207:H207"/>
    <mergeCell ref="G208:H208"/>
    <mergeCell ref="G199:H199"/>
    <mergeCell ref="G200:H200"/>
    <mergeCell ref="G201:H201"/>
    <mergeCell ref="G202:H202"/>
    <mergeCell ref="I157:J157"/>
    <mergeCell ref="I158:J158"/>
    <mergeCell ref="I159:J159"/>
    <mergeCell ref="I160:J160"/>
    <mergeCell ref="I153:J153"/>
    <mergeCell ref="I154:J154"/>
    <mergeCell ref="I155:J155"/>
    <mergeCell ref="I156:J156"/>
    <mergeCell ref="I165:J165"/>
    <mergeCell ref="G195:H195"/>
    <mergeCell ref="G196:H196"/>
    <mergeCell ref="G197:H197"/>
    <mergeCell ref="G198:H198"/>
    <mergeCell ref="G190:H190"/>
    <mergeCell ref="G191:H191"/>
    <mergeCell ref="G192:H192"/>
    <mergeCell ref="G194:H194"/>
    <mergeCell ref="G209:H209"/>
    <mergeCell ref="G186:H186"/>
    <mergeCell ref="G187:H187"/>
    <mergeCell ref="G188:H188"/>
    <mergeCell ref="G189:H189"/>
    <mergeCell ref="G193:H193"/>
    <mergeCell ref="G182:H182"/>
    <mergeCell ref="G183:H183"/>
    <mergeCell ref="G184:H184"/>
    <mergeCell ref="G185:H185"/>
    <mergeCell ref="G162:H162"/>
    <mergeCell ref="G163:H163"/>
    <mergeCell ref="G164:H164"/>
    <mergeCell ref="G157:H157"/>
    <mergeCell ref="G158:H158"/>
    <mergeCell ref="G159:H159"/>
    <mergeCell ref="G160:H160"/>
    <mergeCell ref="G181:H181"/>
    <mergeCell ref="G169:H169"/>
    <mergeCell ref="G170:H170"/>
    <mergeCell ref="G171:H171"/>
    <mergeCell ref="G172:H172"/>
    <mergeCell ref="G165:H165"/>
    <mergeCell ref="G166:H166"/>
    <mergeCell ref="G167:H167"/>
    <mergeCell ref="G168:H168"/>
    <mergeCell ref="G177:H177"/>
    <mergeCell ref="G178:H178"/>
    <mergeCell ref="G179:H179"/>
    <mergeCell ref="G180:H180"/>
    <mergeCell ref="G173:H173"/>
    <mergeCell ref="G174:H174"/>
    <mergeCell ref="G175:H175"/>
    <mergeCell ref="G176:H176"/>
    <mergeCell ref="G153:H153"/>
    <mergeCell ref="G154:H154"/>
    <mergeCell ref="G155:H155"/>
    <mergeCell ref="G156:H156"/>
    <mergeCell ref="G149:H149"/>
    <mergeCell ref="G150:H150"/>
    <mergeCell ref="G151:H151"/>
    <mergeCell ref="G152:H152"/>
    <mergeCell ref="G161:H161"/>
    <mergeCell ref="G114:I114"/>
    <mergeCell ref="H113:J113"/>
    <mergeCell ref="G110:I110"/>
    <mergeCell ref="H111:J111"/>
    <mergeCell ref="H138:J138"/>
    <mergeCell ref="G137:I137"/>
    <mergeCell ref="H134:J134"/>
    <mergeCell ref="G133:I133"/>
    <mergeCell ref="H105:J105"/>
    <mergeCell ref="G106:I106"/>
    <mergeCell ref="G116:I116"/>
    <mergeCell ref="H115:J115"/>
    <mergeCell ref="G120:I120"/>
    <mergeCell ref="H119:J119"/>
    <mergeCell ref="G118:I118"/>
    <mergeCell ref="H117:J117"/>
    <mergeCell ref="H132:J132"/>
    <mergeCell ref="G131:I131"/>
    <mergeCell ref="H123:J123"/>
    <mergeCell ref="H99:J99"/>
    <mergeCell ref="G112:I112"/>
    <mergeCell ref="H109:J109"/>
    <mergeCell ref="G108:I108"/>
    <mergeCell ref="H107:J107"/>
    <mergeCell ref="H103:J103"/>
    <mergeCell ref="G102:I102"/>
    <mergeCell ref="H101:J101"/>
    <mergeCell ref="G100:I100"/>
    <mergeCell ref="G104:I104"/>
    <mergeCell ref="H148:J148"/>
    <mergeCell ref="G147:I147"/>
    <mergeCell ref="H146:J146"/>
    <mergeCell ref="G145:I145"/>
    <mergeCell ref="G93:I93"/>
    <mergeCell ref="H90:J90"/>
    <mergeCell ref="G89:I89"/>
    <mergeCell ref="H88:J88"/>
    <mergeCell ref="H41:J41"/>
    <mergeCell ref="G79:I79"/>
    <mergeCell ref="H78:J78"/>
    <mergeCell ref="G83:I83"/>
    <mergeCell ref="H140:J140"/>
    <mergeCell ref="G139:I139"/>
    <mergeCell ref="I128:J129"/>
    <mergeCell ref="G129:H129"/>
    <mergeCell ref="G130:H130"/>
    <mergeCell ref="H136:J136"/>
    <mergeCell ref="G135:I135"/>
    <mergeCell ref="H144:J144"/>
    <mergeCell ref="G143:I143"/>
    <mergeCell ref="H142:J142"/>
    <mergeCell ref="G141:I141"/>
    <mergeCell ref="I130:J130"/>
    <mergeCell ref="G62:I62"/>
    <mergeCell ref="H61:J61"/>
    <mergeCell ref="G60:I60"/>
    <mergeCell ref="G77:I77"/>
    <mergeCell ref="H76:J76"/>
    <mergeCell ref="G75:I75"/>
    <mergeCell ref="H74:J74"/>
    <mergeCell ref="G69:I69"/>
    <mergeCell ref="H68:J68"/>
    <mergeCell ref="G73:I73"/>
    <mergeCell ref="H72:J72"/>
    <mergeCell ref="G71:I71"/>
    <mergeCell ref="H70:J70"/>
    <mergeCell ref="G67:I67"/>
    <mergeCell ref="I64:J65"/>
    <mergeCell ref="G65:H65"/>
    <mergeCell ref="A33:A35"/>
    <mergeCell ref="A36:A37"/>
    <mergeCell ref="B36:B37"/>
    <mergeCell ref="C36:C37"/>
    <mergeCell ref="B33:B35"/>
    <mergeCell ref="A38:A39"/>
    <mergeCell ref="C40:C41"/>
    <mergeCell ref="B42:B43"/>
    <mergeCell ref="H59:J59"/>
    <mergeCell ref="G58:I58"/>
    <mergeCell ref="H57:J57"/>
    <mergeCell ref="H37:J37"/>
    <mergeCell ref="H53:J53"/>
    <mergeCell ref="H51:J51"/>
    <mergeCell ref="G56:I56"/>
    <mergeCell ref="H55:J55"/>
    <mergeCell ref="G46:I46"/>
    <mergeCell ref="H45:J45"/>
    <mergeCell ref="A54:A55"/>
    <mergeCell ref="B54:B55"/>
    <mergeCell ref="C54:C55"/>
    <mergeCell ref="A48:A49"/>
    <mergeCell ref="C52:C53"/>
    <mergeCell ref="A46:A47"/>
    <mergeCell ref="B69:B70"/>
    <mergeCell ref="C64:C66"/>
    <mergeCell ref="D71:F71"/>
    <mergeCell ref="C73:C74"/>
    <mergeCell ref="D63:F63"/>
    <mergeCell ref="C62:C63"/>
    <mergeCell ref="D57:F57"/>
    <mergeCell ref="D70:F70"/>
    <mergeCell ref="C60:C61"/>
    <mergeCell ref="D61:F61"/>
    <mergeCell ref="D59:F59"/>
    <mergeCell ref="E66:F66"/>
    <mergeCell ref="D147:F147"/>
    <mergeCell ref="D145:F145"/>
    <mergeCell ref="A145:A146"/>
    <mergeCell ref="B145:B146"/>
    <mergeCell ref="C145:C146"/>
    <mergeCell ref="A147:A148"/>
    <mergeCell ref="B147:B148"/>
    <mergeCell ref="C147:C148"/>
    <mergeCell ref="D148:F148"/>
    <mergeCell ref="D146:F146"/>
    <mergeCell ref="D10:F10"/>
    <mergeCell ref="D122:F122"/>
    <mergeCell ref="D7:F7"/>
    <mergeCell ref="D58:F58"/>
    <mergeCell ref="D52:F52"/>
    <mergeCell ref="D53:F53"/>
    <mergeCell ref="D8:F8"/>
    <mergeCell ref="D11:F11"/>
    <mergeCell ref="D12:F12"/>
    <mergeCell ref="D17:F17"/>
    <mergeCell ref="D116:F116"/>
    <mergeCell ref="D88:F88"/>
    <mergeCell ref="D113:F113"/>
    <mergeCell ref="D112:F112"/>
    <mergeCell ref="D104:F104"/>
    <mergeCell ref="D119:F119"/>
    <mergeCell ref="D18:F18"/>
    <mergeCell ref="D15:F15"/>
    <mergeCell ref="D49:F49"/>
    <mergeCell ref="D56:F56"/>
    <mergeCell ref="D108:F108"/>
    <mergeCell ref="D109:F109"/>
    <mergeCell ref="D101:F101"/>
    <mergeCell ref="D98:F98"/>
    <mergeCell ref="D99:F99"/>
    <mergeCell ref="D39:F39"/>
    <mergeCell ref="D36:F36"/>
    <mergeCell ref="D37:F37"/>
    <mergeCell ref="D34:D35"/>
    <mergeCell ref="E34:F34"/>
    <mergeCell ref="E35:F35"/>
    <mergeCell ref="B143:B144"/>
    <mergeCell ref="C143:C144"/>
    <mergeCell ref="D140:F140"/>
    <mergeCell ref="D144:F144"/>
    <mergeCell ref="D143:F143"/>
    <mergeCell ref="D134:F134"/>
    <mergeCell ref="D135:F135"/>
    <mergeCell ref="D138:F138"/>
    <mergeCell ref="C137:C138"/>
    <mergeCell ref="D137:F137"/>
    <mergeCell ref="C98:C99"/>
    <mergeCell ref="D93:F93"/>
    <mergeCell ref="B46:B47"/>
    <mergeCell ref="C33:C35"/>
    <mergeCell ref="D38:F38"/>
    <mergeCell ref="C38:C39"/>
    <mergeCell ref="D40:F40"/>
    <mergeCell ref="D141:F141"/>
    <mergeCell ref="D142:F142"/>
    <mergeCell ref="A143:A144"/>
    <mergeCell ref="C131:C132"/>
    <mergeCell ref="C89:C90"/>
    <mergeCell ref="C95:C97"/>
    <mergeCell ref="D115:F115"/>
    <mergeCell ref="D117:F117"/>
    <mergeCell ref="D133:F133"/>
    <mergeCell ref="D114:F114"/>
    <mergeCell ref="D126:F126"/>
    <mergeCell ref="D127:F127"/>
    <mergeCell ref="C120:C121"/>
    <mergeCell ref="C126:C127"/>
    <mergeCell ref="D118:F118"/>
    <mergeCell ref="D120:F120"/>
    <mergeCell ref="D121:F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C141:C142"/>
    <mergeCell ref="A133:A134"/>
    <mergeCell ref="B133:B134"/>
    <mergeCell ref="C133:C134"/>
    <mergeCell ref="B128:B130"/>
    <mergeCell ref="B120:B121"/>
    <mergeCell ref="A128:A130"/>
    <mergeCell ref="A124:A125"/>
    <mergeCell ref="A126:A127"/>
    <mergeCell ref="A135:A136"/>
    <mergeCell ref="A137:A138"/>
    <mergeCell ref="B137:B138"/>
    <mergeCell ref="A131:A132"/>
    <mergeCell ref="B135:B136"/>
    <mergeCell ref="B139:B140"/>
    <mergeCell ref="C139:C140"/>
    <mergeCell ref="D124:F124"/>
    <mergeCell ref="D123:F123"/>
    <mergeCell ref="G122:I122"/>
    <mergeCell ref="H121:J121"/>
    <mergeCell ref="A139:A140"/>
    <mergeCell ref="D139:F139"/>
    <mergeCell ref="C118:C119"/>
    <mergeCell ref="C122:C123"/>
    <mergeCell ref="D125:F125"/>
    <mergeCell ref="E129:F129"/>
    <mergeCell ref="D131:F131"/>
    <mergeCell ref="D132:F132"/>
    <mergeCell ref="D128:H128"/>
    <mergeCell ref="E130:F130"/>
    <mergeCell ref="C128:C130"/>
    <mergeCell ref="C135:C136"/>
    <mergeCell ref="D136:F136"/>
    <mergeCell ref="D129:D130"/>
    <mergeCell ref="B124:B125"/>
    <mergeCell ref="C124:C125"/>
    <mergeCell ref="H127:J127"/>
    <mergeCell ref="G126:I126"/>
    <mergeCell ref="H125:J125"/>
    <mergeCell ref="G124:I124"/>
    <mergeCell ref="A114:A115"/>
    <mergeCell ref="B114:B115"/>
    <mergeCell ref="C114:C115"/>
    <mergeCell ref="A112:A113"/>
    <mergeCell ref="B112:B113"/>
    <mergeCell ref="C112:C113"/>
    <mergeCell ref="A116:A117"/>
    <mergeCell ref="B116:B117"/>
    <mergeCell ref="C116:C117"/>
    <mergeCell ref="D107:F107"/>
    <mergeCell ref="B104:B105"/>
    <mergeCell ref="C104:C105"/>
    <mergeCell ref="D102:F102"/>
    <mergeCell ref="D103:F103"/>
    <mergeCell ref="C100:C101"/>
    <mergeCell ref="D100:F100"/>
    <mergeCell ref="A108:A109"/>
    <mergeCell ref="B108:B109"/>
    <mergeCell ref="C108:C109"/>
    <mergeCell ref="C106:C107"/>
    <mergeCell ref="A106:A107"/>
    <mergeCell ref="B106:B107"/>
    <mergeCell ref="G98:I98"/>
    <mergeCell ref="I97:J97"/>
    <mergeCell ref="D90:F90"/>
    <mergeCell ref="D85:F85"/>
    <mergeCell ref="A79:A80"/>
    <mergeCell ref="B79:B80"/>
    <mergeCell ref="C79:C80"/>
    <mergeCell ref="D87:F87"/>
    <mergeCell ref="D86:F86"/>
    <mergeCell ref="A98:A99"/>
    <mergeCell ref="A93:A94"/>
    <mergeCell ref="B93:B94"/>
    <mergeCell ref="C93:C94"/>
    <mergeCell ref="B95:B97"/>
    <mergeCell ref="D94:F94"/>
    <mergeCell ref="D95:H95"/>
    <mergeCell ref="E96:F96"/>
    <mergeCell ref="E97:F97"/>
    <mergeCell ref="G97:H97"/>
    <mergeCell ref="A85:A86"/>
    <mergeCell ref="B85:B86"/>
    <mergeCell ref="C85:C86"/>
    <mergeCell ref="A89:A90"/>
    <mergeCell ref="B89:B90"/>
    <mergeCell ref="A91:A92"/>
    <mergeCell ref="D81:F81"/>
    <mergeCell ref="B83:B84"/>
    <mergeCell ref="C83:C84"/>
    <mergeCell ref="A87:A88"/>
    <mergeCell ref="A110:A111"/>
    <mergeCell ref="C110:C111"/>
    <mergeCell ref="D110:F110"/>
    <mergeCell ref="A81:A82"/>
    <mergeCell ref="B81:B82"/>
    <mergeCell ref="C81:C82"/>
    <mergeCell ref="D82:F82"/>
    <mergeCell ref="D111:F111"/>
    <mergeCell ref="C91:C92"/>
    <mergeCell ref="A83:A84"/>
    <mergeCell ref="A100:A101"/>
    <mergeCell ref="A95:A97"/>
    <mergeCell ref="A104:A105"/>
    <mergeCell ref="D106:F106"/>
    <mergeCell ref="D105:F105"/>
    <mergeCell ref="B102:B103"/>
    <mergeCell ref="C102:C103"/>
    <mergeCell ref="A102:A103"/>
    <mergeCell ref="B100:B101"/>
    <mergeCell ref="A77:A78"/>
    <mergeCell ref="B77:B78"/>
    <mergeCell ref="C77:C78"/>
    <mergeCell ref="D77:F77"/>
    <mergeCell ref="D78:F78"/>
    <mergeCell ref="A75:A76"/>
    <mergeCell ref="B75:B76"/>
    <mergeCell ref="C75:C76"/>
    <mergeCell ref="D75:F75"/>
    <mergeCell ref="D76:F76"/>
    <mergeCell ref="A62:A63"/>
    <mergeCell ref="A56:A57"/>
    <mergeCell ref="B56:B57"/>
    <mergeCell ref="B44:B45"/>
    <mergeCell ref="A58:A59"/>
    <mergeCell ref="A67:A68"/>
    <mergeCell ref="E65:F65"/>
    <mergeCell ref="D73:F73"/>
    <mergeCell ref="B67:B68"/>
    <mergeCell ref="A69:A70"/>
    <mergeCell ref="C67:C68"/>
    <mergeCell ref="A71:A72"/>
    <mergeCell ref="B71:B72"/>
    <mergeCell ref="C71:C72"/>
    <mergeCell ref="C69:C70"/>
    <mergeCell ref="D72:F72"/>
    <mergeCell ref="C46:C47"/>
    <mergeCell ref="B58:B59"/>
    <mergeCell ref="C56:C57"/>
    <mergeCell ref="C58:C59"/>
    <mergeCell ref="A73:A74"/>
    <mergeCell ref="B73:B74"/>
    <mergeCell ref="B64:B66"/>
    <mergeCell ref="A64:A66"/>
    <mergeCell ref="A50:A51"/>
    <mergeCell ref="A60:A61"/>
    <mergeCell ref="B60:B61"/>
    <mergeCell ref="C42:C43"/>
    <mergeCell ref="A42:A43"/>
    <mergeCell ref="A40:A41"/>
    <mergeCell ref="C48:C49"/>
    <mergeCell ref="A44:A45"/>
    <mergeCell ref="B48:B49"/>
    <mergeCell ref="B50:B51"/>
    <mergeCell ref="B52:B53"/>
    <mergeCell ref="A52:A53"/>
    <mergeCell ref="C44:C45"/>
    <mergeCell ref="C50:C51"/>
    <mergeCell ref="B40:B41"/>
    <mergeCell ref="C31:C32"/>
    <mergeCell ref="D31:F31"/>
    <mergeCell ref="D32:F32"/>
    <mergeCell ref="A17:A18"/>
    <mergeCell ref="B17:B18"/>
    <mergeCell ref="C17:C18"/>
    <mergeCell ref="A19:A20"/>
    <mergeCell ref="A21:A22"/>
    <mergeCell ref="D27:F27"/>
    <mergeCell ref="C29:C30"/>
    <mergeCell ref="D29:F29"/>
    <mergeCell ref="A27:A28"/>
    <mergeCell ref="B27:B28"/>
    <mergeCell ref="C27:C28"/>
    <mergeCell ref="A25:A26"/>
    <mergeCell ref="B25:B26"/>
    <mergeCell ref="C25:C26"/>
    <mergeCell ref="D25:F25"/>
    <mergeCell ref="D28:F28"/>
    <mergeCell ref="A31:A32"/>
    <mergeCell ref="A29:A30"/>
    <mergeCell ref="B29:B30"/>
    <mergeCell ref="B31:B32"/>
    <mergeCell ref="A23:A24"/>
    <mergeCell ref="C23:C24"/>
    <mergeCell ref="D24:F24"/>
    <mergeCell ref="D23:F23"/>
    <mergeCell ref="B21:B22"/>
    <mergeCell ref="C21:C22"/>
    <mergeCell ref="B19:B20"/>
    <mergeCell ref="C19:C20"/>
    <mergeCell ref="D22:F22"/>
    <mergeCell ref="D16:F16"/>
    <mergeCell ref="B23:B24"/>
    <mergeCell ref="A15:A16"/>
    <mergeCell ref="B15:B16"/>
    <mergeCell ref="A13:A14"/>
    <mergeCell ref="B13:B14"/>
    <mergeCell ref="C13:C14"/>
    <mergeCell ref="A11:A12"/>
    <mergeCell ref="B11:B12"/>
    <mergeCell ref="C11:C12"/>
    <mergeCell ref="A4:A6"/>
    <mergeCell ref="B4:B6"/>
    <mergeCell ref="A7:A8"/>
    <mergeCell ref="B7:B8"/>
    <mergeCell ref="C7:C8"/>
    <mergeCell ref="A9:A10"/>
    <mergeCell ref="B9:B10"/>
    <mergeCell ref="C9:C10"/>
    <mergeCell ref="C4:C6"/>
    <mergeCell ref="C15:C16"/>
    <mergeCell ref="B185:E185"/>
    <mergeCell ref="B184:E184"/>
    <mergeCell ref="I66:J66"/>
    <mergeCell ref="D26:F26"/>
    <mergeCell ref="D30:F30"/>
    <mergeCell ref="B38:B39"/>
    <mergeCell ref="B180:E180"/>
    <mergeCell ref="B182:E182"/>
    <mergeCell ref="B183:E183"/>
    <mergeCell ref="B167:E167"/>
    <mergeCell ref="B176:E176"/>
    <mergeCell ref="B181:E181"/>
    <mergeCell ref="D46:F46"/>
    <mergeCell ref="D54:F54"/>
    <mergeCell ref="B153:E153"/>
    <mergeCell ref="B158:E158"/>
    <mergeCell ref="B159:E159"/>
    <mergeCell ref="B154:E154"/>
    <mergeCell ref="B155:E155"/>
    <mergeCell ref="B98:B99"/>
    <mergeCell ref="H82:J82"/>
    <mergeCell ref="D96:D97"/>
    <mergeCell ref="I95:J96"/>
    <mergeCell ref="H94:J94"/>
    <mergeCell ref="B186:E186"/>
    <mergeCell ref="D62:F62"/>
    <mergeCell ref="D51:F51"/>
    <mergeCell ref="D60:F60"/>
    <mergeCell ref="D55:F55"/>
    <mergeCell ref="B164:E164"/>
    <mergeCell ref="B165:E165"/>
    <mergeCell ref="B156:E156"/>
    <mergeCell ref="B157:E157"/>
    <mergeCell ref="B162:E162"/>
    <mergeCell ref="B163:E163"/>
    <mergeCell ref="B62:B63"/>
    <mergeCell ref="B87:B88"/>
    <mergeCell ref="C87:C88"/>
    <mergeCell ref="B160:E160"/>
    <mergeCell ref="B161:E161"/>
    <mergeCell ref="D74:F74"/>
    <mergeCell ref="D84:F84"/>
    <mergeCell ref="B178:E178"/>
    <mergeCell ref="B172:E172"/>
    <mergeCell ref="B173:E173"/>
    <mergeCell ref="D64:H64"/>
    <mergeCell ref="G91:I91"/>
    <mergeCell ref="B149:E149"/>
    <mergeCell ref="B210:E210"/>
    <mergeCell ref="B200:E200"/>
    <mergeCell ref="B201:E201"/>
    <mergeCell ref="B202:E202"/>
    <mergeCell ref="B203:E203"/>
    <mergeCell ref="B204:E204"/>
    <mergeCell ref="B199:E199"/>
    <mergeCell ref="B207:E207"/>
    <mergeCell ref="B189:E189"/>
    <mergeCell ref="B190:E190"/>
    <mergeCell ref="B192:E192"/>
    <mergeCell ref="B197:E197"/>
    <mergeCell ref="B194:E194"/>
    <mergeCell ref="B195:E195"/>
    <mergeCell ref="B196:E196"/>
    <mergeCell ref="B193:E193"/>
    <mergeCell ref="B198:E198"/>
    <mergeCell ref="B191:E191"/>
    <mergeCell ref="B209:E209"/>
    <mergeCell ref="B205:E205"/>
    <mergeCell ref="B206:E206"/>
    <mergeCell ref="B208:E208"/>
    <mergeCell ref="B187:E187"/>
    <mergeCell ref="B168:E168"/>
    <mergeCell ref="B169:E169"/>
    <mergeCell ref="B179:E179"/>
    <mergeCell ref="G66:H66"/>
    <mergeCell ref="G96:H96"/>
    <mergeCell ref="B188:E188"/>
    <mergeCell ref="B166:E166"/>
    <mergeCell ref="D80:F80"/>
    <mergeCell ref="D79:F79"/>
    <mergeCell ref="D91:F91"/>
    <mergeCell ref="D92:F92"/>
    <mergeCell ref="B91:B92"/>
    <mergeCell ref="D65:D66"/>
    <mergeCell ref="D69:F69"/>
    <mergeCell ref="B177:E177"/>
    <mergeCell ref="B170:E170"/>
    <mergeCell ref="B171:E171"/>
    <mergeCell ref="B174:E174"/>
    <mergeCell ref="B175:E175"/>
    <mergeCell ref="B110:B111"/>
    <mergeCell ref="B150:E150"/>
    <mergeCell ref="B151:E151"/>
    <mergeCell ref="B152:E152"/>
    <mergeCell ref="G11:I11"/>
    <mergeCell ref="H14:J14"/>
    <mergeCell ref="G13:I13"/>
    <mergeCell ref="H92:J92"/>
    <mergeCell ref="D83:F83"/>
    <mergeCell ref="G81:I81"/>
    <mergeCell ref="H80:J80"/>
    <mergeCell ref="G87:I87"/>
    <mergeCell ref="H86:J86"/>
    <mergeCell ref="G85:I85"/>
    <mergeCell ref="H84:J84"/>
    <mergeCell ref="G25:I25"/>
    <mergeCell ref="D68:F68"/>
    <mergeCell ref="D67:F67"/>
    <mergeCell ref="D89:F89"/>
    <mergeCell ref="D50:F50"/>
    <mergeCell ref="H49:J49"/>
    <mergeCell ref="D47:F47"/>
    <mergeCell ref="G44:I44"/>
    <mergeCell ref="H43:J43"/>
    <mergeCell ref="D14:F14"/>
    <mergeCell ref="D13:F13"/>
    <mergeCell ref="G36:I36"/>
    <mergeCell ref="H63:J63"/>
    <mergeCell ref="I4:J5"/>
    <mergeCell ref="H8:J8"/>
    <mergeCell ref="G5:H5"/>
    <mergeCell ref="G6:H6"/>
    <mergeCell ref="D4:H4"/>
    <mergeCell ref="G9:I9"/>
    <mergeCell ref="G7:I7"/>
    <mergeCell ref="E5:F5"/>
    <mergeCell ref="E6:F6"/>
    <mergeCell ref="D5:D6"/>
    <mergeCell ref="D9:F9"/>
    <mergeCell ref="I6:J6"/>
    <mergeCell ref="H32:J32"/>
    <mergeCell ref="D48:F48"/>
    <mergeCell ref="G54:I54"/>
    <mergeCell ref="G50:I50"/>
    <mergeCell ref="G52:I52"/>
    <mergeCell ref="H20:J20"/>
    <mergeCell ref="G19:I19"/>
    <mergeCell ref="H18:J18"/>
    <mergeCell ref="G17:I17"/>
    <mergeCell ref="G21:I21"/>
    <mergeCell ref="H26:J26"/>
    <mergeCell ref="G34:H34"/>
    <mergeCell ref="H22:J22"/>
    <mergeCell ref="H30:J30"/>
    <mergeCell ref="G29:I29"/>
    <mergeCell ref="H28:J28"/>
    <mergeCell ref="I33:J34"/>
    <mergeCell ref="D21:F21"/>
    <mergeCell ref="H10:J10"/>
    <mergeCell ref="H12:J12"/>
    <mergeCell ref="G15:I15"/>
    <mergeCell ref="D19:F19"/>
    <mergeCell ref="D44:F44"/>
    <mergeCell ref="D45:F45"/>
    <mergeCell ref="G48:I48"/>
    <mergeCell ref="H47:J47"/>
    <mergeCell ref="H16:J16"/>
    <mergeCell ref="G31:I31"/>
    <mergeCell ref="I35:J35"/>
    <mergeCell ref="D33:H33"/>
    <mergeCell ref="G23:I23"/>
    <mergeCell ref="G40:I40"/>
    <mergeCell ref="H39:J39"/>
    <mergeCell ref="D41:F41"/>
    <mergeCell ref="D20:F20"/>
    <mergeCell ref="D42:F42"/>
    <mergeCell ref="D43:F43"/>
    <mergeCell ref="G38:I38"/>
    <mergeCell ref="G42:I42"/>
    <mergeCell ref="G35:H35"/>
    <mergeCell ref="H24:J24"/>
    <mergeCell ref="G27:I27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>
      <selection activeCell="AR13" sqref="AR13"/>
    </sheetView>
  </sheetViews>
  <sheetFormatPr defaultColWidth="9.140625" defaultRowHeight="12.75" x14ac:dyDescent="0.25"/>
  <cols>
    <col min="1" max="41" width="2.5703125" style="462" customWidth="1"/>
    <col min="42" max="42" width="9.140625" style="462"/>
    <col min="43" max="45" width="2.5703125" style="462" customWidth="1"/>
    <col min="46" max="46" width="7.7109375" style="462" customWidth="1"/>
    <col min="47" max="61" width="2.5703125" style="462" customWidth="1"/>
    <col min="62" max="16384" width="9.140625" style="462"/>
  </cols>
  <sheetData>
    <row r="1" spans="1:39" s="572" customFormat="1" ht="10.5" customHeight="1" x14ac:dyDescent="0.25">
      <c r="B1" s="573" t="s">
        <v>1323</v>
      </c>
      <c r="N1" s="1446" t="s">
        <v>1322</v>
      </c>
      <c r="O1" s="1446"/>
      <c r="P1" s="1446"/>
      <c r="Q1" s="1446"/>
      <c r="R1" s="1446"/>
      <c r="S1" s="1446"/>
      <c r="T1" s="1446"/>
      <c r="U1" s="1446"/>
      <c r="V1" s="1446"/>
      <c r="W1" s="1446"/>
      <c r="AM1" s="573"/>
    </row>
    <row r="2" spans="1:39" s="469" customFormat="1" ht="21" customHeight="1" x14ac:dyDescent="0.25">
      <c r="B2" s="571" t="s">
        <v>1321</v>
      </c>
      <c r="C2" s="570"/>
      <c r="D2" s="570"/>
      <c r="E2" s="570"/>
      <c r="F2" s="570"/>
      <c r="G2" s="570"/>
      <c r="H2" s="570"/>
      <c r="I2" s="570"/>
      <c r="J2" s="607"/>
      <c r="K2" s="570"/>
      <c r="L2" s="570"/>
      <c r="M2" s="606"/>
      <c r="N2" s="1446"/>
      <c r="O2" s="1446"/>
      <c r="P2" s="1446"/>
      <c r="Q2" s="1446"/>
      <c r="R2" s="1446"/>
      <c r="S2" s="1446"/>
      <c r="T2" s="1446"/>
      <c r="U2" s="1446"/>
      <c r="V2" s="1446"/>
      <c r="W2" s="1446"/>
      <c r="AM2" s="605"/>
    </row>
    <row r="3" spans="1:39" ht="13.5" customHeight="1" thickBot="1" x14ac:dyDescent="0.3">
      <c r="N3" s="1447"/>
      <c r="O3" s="1447"/>
      <c r="P3" s="1447"/>
      <c r="Q3" s="1447"/>
      <c r="R3" s="1447"/>
      <c r="S3" s="1447"/>
      <c r="T3" s="1447"/>
      <c r="U3" s="1447"/>
      <c r="V3" s="1447"/>
      <c r="W3" s="1447"/>
    </row>
    <row r="4" spans="1:39" ht="28.5" customHeight="1" thickBot="1" x14ac:dyDescent="0.3">
      <c r="K4" s="567" t="s">
        <v>1148</v>
      </c>
      <c r="L4" s="566" t="str">
        <f>+MID('Input data'!$B$11,1,1)</f>
        <v>3</v>
      </c>
      <c r="M4" s="566" t="str">
        <f>+MID('Input data'!$B$11,2,1)</f>
        <v>1</v>
      </c>
      <c r="N4" s="566" t="s">
        <v>1149</v>
      </c>
      <c r="O4" s="566" t="str">
        <f>LEFT('Input data'!B13,1)</f>
        <v>1</v>
      </c>
      <c r="P4" s="566" t="str">
        <f>RIGHT('Input data'!B13,1)</f>
        <v>2</v>
      </c>
      <c r="Q4" s="566" t="s">
        <v>1149</v>
      </c>
      <c r="R4" s="566" t="str">
        <f>+LEFT('Input data'!$B$14,1)</f>
        <v>2</v>
      </c>
      <c r="S4" s="566" t="str">
        <f>+MID('Input data'!$B$14,2,1)</f>
        <v>0</v>
      </c>
      <c r="T4" s="566" t="str">
        <f>+MID('Input data'!$B$14,3,1)</f>
        <v>1</v>
      </c>
      <c r="U4" s="566" t="str">
        <f>+MID('Input data'!$B$14,4,1)</f>
        <v>3</v>
      </c>
      <c r="V4" s="565" t="s">
        <v>1150</v>
      </c>
      <c r="W4" s="564"/>
      <c r="X4" s="564"/>
      <c r="Y4" s="564"/>
      <c r="Z4" s="563"/>
    </row>
    <row r="5" spans="1:39" ht="7.5" customHeight="1" thickBot="1" x14ac:dyDescent="0.3"/>
    <row r="6" spans="1:39" s="559" customFormat="1" ht="14.25" customHeight="1" x14ac:dyDescent="0.25">
      <c r="A6" s="562" t="s">
        <v>1151</v>
      </c>
      <c r="B6" s="561"/>
      <c r="C6" s="561"/>
      <c r="D6" s="561"/>
      <c r="E6" s="561"/>
      <c r="F6" s="561"/>
      <c r="G6" s="561"/>
      <c r="H6" s="561"/>
      <c r="I6" s="561"/>
      <c r="J6" s="561"/>
      <c r="K6" s="561"/>
      <c r="L6" s="561"/>
      <c r="M6" s="561"/>
      <c r="N6" s="561"/>
      <c r="O6" s="561"/>
      <c r="P6" s="561"/>
      <c r="Q6" s="561"/>
      <c r="R6" s="561"/>
      <c r="S6" s="560"/>
      <c r="T6" s="561"/>
      <c r="U6" s="561"/>
      <c r="V6" s="561"/>
      <c r="W6" s="561"/>
      <c r="X6" s="561"/>
      <c r="Y6" s="561"/>
      <c r="Z6" s="561"/>
      <c r="AA6" s="561"/>
      <c r="AB6" s="561"/>
      <c r="AC6" s="561"/>
      <c r="AD6" s="561"/>
      <c r="AE6" s="561"/>
      <c r="AF6" s="561"/>
      <c r="AG6" s="561"/>
      <c r="AH6" s="561"/>
      <c r="AI6" s="561"/>
      <c r="AJ6" s="561"/>
      <c r="AK6" s="560"/>
    </row>
    <row r="7" spans="1:39" s="463" customFormat="1" ht="15" customHeight="1" x14ac:dyDescent="0.25">
      <c r="A7" s="475" t="s">
        <v>1152</v>
      </c>
      <c r="B7" s="474"/>
      <c r="C7" s="474"/>
      <c r="D7" s="474"/>
      <c r="E7" s="474"/>
      <c r="F7" s="474"/>
      <c r="G7" s="474"/>
      <c r="H7" s="474"/>
      <c r="I7" s="474"/>
      <c r="J7" s="474"/>
      <c r="K7" s="474"/>
      <c r="L7" s="474"/>
      <c r="M7" s="474"/>
      <c r="N7" s="474"/>
      <c r="O7" s="474"/>
      <c r="P7" s="474"/>
      <c r="Q7" s="474"/>
      <c r="R7" s="474"/>
      <c r="S7" s="558"/>
      <c r="T7" s="474"/>
      <c r="U7" s="474"/>
      <c r="V7" s="474"/>
      <c r="W7" s="474"/>
      <c r="X7" s="474"/>
      <c r="Y7" s="474"/>
      <c r="Z7" s="474"/>
      <c r="AA7" s="474"/>
      <c r="AB7" s="474"/>
      <c r="AC7" s="474"/>
      <c r="AD7" s="474"/>
      <c r="AE7" s="474"/>
      <c r="AF7" s="474"/>
      <c r="AG7" s="474"/>
      <c r="AH7" s="474"/>
      <c r="AI7" s="474"/>
      <c r="AJ7" s="474"/>
      <c r="AK7" s="558"/>
    </row>
    <row r="8" spans="1:39" s="554" customFormat="1" ht="18" customHeight="1" thickBot="1" x14ac:dyDescent="0.3">
      <c r="A8" s="557" t="s">
        <v>1153</v>
      </c>
      <c r="B8" s="556"/>
      <c r="C8" s="556"/>
      <c r="D8" s="556"/>
      <c r="E8" s="557"/>
      <c r="F8" s="556"/>
      <c r="G8" s="556"/>
      <c r="H8" s="556"/>
      <c r="I8" s="556"/>
      <c r="J8" s="556"/>
      <c r="K8" s="556"/>
      <c r="L8" s="556"/>
      <c r="M8" s="556"/>
      <c r="N8" s="556"/>
      <c r="O8" s="556"/>
      <c r="P8" s="556"/>
      <c r="Q8" s="556"/>
      <c r="R8" s="556"/>
      <c r="S8" s="555"/>
      <c r="T8" s="556"/>
      <c r="U8" s="556"/>
      <c r="V8" s="556"/>
      <c r="W8" s="556"/>
      <c r="X8" s="556"/>
      <c r="Y8" s="556"/>
      <c r="Z8" s="556"/>
      <c r="AA8" s="556"/>
      <c r="AB8" s="556"/>
      <c r="AC8" s="556"/>
      <c r="AD8" s="556"/>
      <c r="AE8" s="556"/>
      <c r="AF8" s="556"/>
      <c r="AG8" s="556"/>
      <c r="AH8" s="556"/>
      <c r="AI8" s="556"/>
      <c r="AJ8" s="556"/>
      <c r="AK8" s="555"/>
    </row>
    <row r="9" spans="1:39" s="534" customFormat="1" ht="3.75" customHeight="1" thickBot="1" x14ac:dyDescent="0.3"/>
    <row r="10" spans="1:39" s="534" customFormat="1" ht="14.25" customHeight="1" x14ac:dyDescent="0.25">
      <c r="A10" s="536" t="s">
        <v>1154</v>
      </c>
      <c r="B10" s="535"/>
      <c r="C10" s="535"/>
      <c r="D10" s="535"/>
      <c r="E10" s="535"/>
      <c r="F10" s="535"/>
      <c r="G10" s="535"/>
      <c r="H10" s="535"/>
      <c r="I10" s="479"/>
      <c r="J10" s="478"/>
      <c r="K10" s="552" t="s">
        <v>1155</v>
      </c>
      <c r="L10" s="535"/>
      <c r="M10" s="553"/>
      <c r="N10" s="553"/>
      <c r="O10" s="553"/>
      <c r="P10" s="535"/>
      <c r="Q10" s="552" t="s">
        <v>1155</v>
      </c>
      <c r="R10" s="535"/>
      <c r="S10" s="479"/>
      <c r="T10" s="535"/>
      <c r="U10" s="535"/>
      <c r="V10" s="551"/>
      <c r="W10" s="535"/>
      <c r="X10" s="535"/>
      <c r="Y10" s="535"/>
      <c r="Z10" s="535"/>
      <c r="AA10" s="535"/>
      <c r="AB10" s="535"/>
      <c r="AC10" s="535"/>
      <c r="AD10" s="552" t="s">
        <v>1156</v>
      </c>
      <c r="AE10" s="552"/>
      <c r="AF10" s="552"/>
      <c r="AG10" s="552" t="s">
        <v>1157</v>
      </c>
      <c r="AH10" s="535"/>
      <c r="AI10" s="535"/>
      <c r="AJ10" s="535"/>
      <c r="AK10" s="551"/>
    </row>
    <row r="11" spans="1:39" s="534" customFormat="1" ht="19.5" customHeight="1" x14ac:dyDescent="0.2">
      <c r="A11" s="548">
        <v>2</v>
      </c>
      <c r="B11" s="513">
        <v>0</v>
      </c>
      <c r="C11" s="513">
        <v>2</v>
      </c>
      <c r="D11" s="513">
        <v>0</v>
      </c>
      <c r="E11" s="513">
        <v>3</v>
      </c>
      <c r="F11" s="513">
        <v>1</v>
      </c>
      <c r="G11" s="513">
        <v>3</v>
      </c>
      <c r="H11" s="513">
        <v>9</v>
      </c>
      <c r="I11" s="513">
        <v>4</v>
      </c>
      <c r="J11" s="520">
        <v>4</v>
      </c>
      <c r="K11" s="471"/>
      <c r="L11" s="537"/>
      <c r="M11" s="537"/>
      <c r="N11" s="537"/>
      <c r="O11" s="537"/>
      <c r="P11" s="537"/>
      <c r="Q11" s="537"/>
      <c r="R11" s="537"/>
      <c r="S11" s="537"/>
      <c r="T11" s="537"/>
      <c r="U11" s="537"/>
      <c r="V11" s="543"/>
      <c r="W11" s="542" t="s">
        <v>1158</v>
      </c>
      <c r="X11" s="537"/>
      <c r="Y11" s="537"/>
      <c r="Z11" s="537"/>
      <c r="AA11" s="537"/>
      <c r="AB11" s="542" t="s">
        <v>1159</v>
      </c>
      <c r="AC11" s="537"/>
      <c r="AD11" s="513" t="str">
        <f>MID('Input data'!$B$8,1,1)</f>
        <v>0</v>
      </c>
      <c r="AE11" s="513" t="str">
        <f>MID('Input data'!$B$8,2,1)</f>
        <v>1</v>
      </c>
      <c r="AF11" s="513"/>
      <c r="AG11" s="513" t="str">
        <f>MID('Input data'!$B$9,1,1)</f>
        <v>2</v>
      </c>
      <c r="AH11" s="513" t="str">
        <f>MID('Input data'!$B$9,2,1)</f>
        <v>0</v>
      </c>
      <c r="AI11" s="513" t="str">
        <f>MID('Input data'!$B$9,3,1)</f>
        <v>1</v>
      </c>
      <c r="AJ11" s="513" t="str">
        <f>MID('Input data'!$B$9,4,1)</f>
        <v>3</v>
      </c>
      <c r="AK11" s="543"/>
    </row>
    <row r="12" spans="1:39" s="534" customFormat="1" ht="19.5" customHeight="1" thickBot="1" x14ac:dyDescent="0.3">
      <c r="A12" s="475" t="s">
        <v>1160</v>
      </c>
      <c r="B12" s="537"/>
      <c r="C12" s="537"/>
      <c r="D12" s="537"/>
      <c r="E12" s="537"/>
      <c r="F12" s="537"/>
      <c r="G12" s="537"/>
      <c r="H12" s="471"/>
      <c r="I12" s="471"/>
      <c r="J12" s="470"/>
      <c r="K12" s="471"/>
      <c r="L12" s="550" t="str">
        <f>IF('Input data'!D7="x","x"," ")</f>
        <v>x</v>
      </c>
      <c r="M12" s="542" t="s">
        <v>1161</v>
      </c>
      <c r="N12" s="544"/>
      <c r="O12" s="544"/>
      <c r="P12" s="544"/>
      <c r="Q12" s="544"/>
      <c r="R12" s="550" t="str">
        <f>IF('Input data'!D16="x","x"," ")</f>
        <v>x</v>
      </c>
      <c r="S12" s="542" t="s">
        <v>1162</v>
      </c>
      <c r="T12" s="537"/>
      <c r="U12" s="537"/>
      <c r="V12" s="543"/>
      <c r="W12" s="549"/>
      <c r="X12" s="539"/>
      <c r="Y12" s="539"/>
      <c r="Z12" s="539"/>
      <c r="AA12" s="539"/>
      <c r="AB12" s="538" t="s">
        <v>1163</v>
      </c>
      <c r="AC12" s="539"/>
      <c r="AD12" s="511" t="str">
        <f>MID('Input data'!$B$13,1,1)</f>
        <v>1</v>
      </c>
      <c r="AE12" s="511" t="str">
        <f>MID('Input data'!$B$13,2,1)</f>
        <v>2</v>
      </c>
      <c r="AF12" s="511"/>
      <c r="AG12" s="511" t="str">
        <f>MID('Input data'!$B$14,1,1)</f>
        <v>2</v>
      </c>
      <c r="AH12" s="511" t="str">
        <f>MID('Input data'!$B$14,2,1)</f>
        <v>0</v>
      </c>
      <c r="AI12" s="511" t="str">
        <f>MID('Input data'!$B$14,3,1)</f>
        <v>1</v>
      </c>
      <c r="AJ12" s="511" t="str">
        <f>MID('Input data'!$B$14,4,1)</f>
        <v>3</v>
      </c>
      <c r="AK12" s="540"/>
    </row>
    <row r="13" spans="1:39" s="534" customFormat="1" ht="19.5" customHeight="1" x14ac:dyDescent="0.2">
      <c r="A13" s="548">
        <v>3</v>
      </c>
      <c r="B13" s="513">
        <v>1</v>
      </c>
      <c r="C13" s="513">
        <v>3</v>
      </c>
      <c r="D13" s="513">
        <v>5</v>
      </c>
      <c r="E13" s="513">
        <v>2</v>
      </c>
      <c r="F13" s="513">
        <v>3</v>
      </c>
      <c r="G13" s="513">
        <v>1</v>
      </c>
      <c r="H13" s="513">
        <v>6</v>
      </c>
      <c r="I13" s="471"/>
      <c r="J13" s="470"/>
      <c r="K13" s="471"/>
      <c r="L13" s="546" t="str">
        <f>IF('Input data'!D8="x","x", "")</f>
        <v/>
      </c>
      <c r="M13" s="542" t="s">
        <v>1164</v>
      </c>
      <c r="N13" s="544"/>
      <c r="O13" s="544"/>
      <c r="P13" s="544"/>
      <c r="Q13" s="544"/>
      <c r="R13" s="547" t="str">
        <f>IF('Input data'!D17="x","x"," ")</f>
        <v xml:space="preserve"> </v>
      </c>
      <c r="S13" s="542" t="s">
        <v>1165</v>
      </c>
      <c r="T13" s="537"/>
      <c r="U13" s="537"/>
      <c r="V13" s="543"/>
      <c r="W13" s="542" t="s">
        <v>1166</v>
      </c>
      <c r="X13" s="537"/>
      <c r="Y13" s="474"/>
      <c r="Z13" s="471"/>
      <c r="AA13" s="471"/>
      <c r="AB13" s="544"/>
      <c r="AC13" s="471"/>
      <c r="AD13" s="546"/>
      <c r="AE13" s="546"/>
      <c r="AF13" s="546"/>
      <c r="AG13" s="546"/>
      <c r="AH13" s="546"/>
      <c r="AI13" s="546"/>
      <c r="AJ13" s="546"/>
      <c r="AK13" s="470"/>
    </row>
    <row r="14" spans="1:39" s="534" customFormat="1" ht="19.5" customHeight="1" x14ac:dyDescent="0.2">
      <c r="A14" s="475" t="s">
        <v>1167</v>
      </c>
      <c r="B14" s="537"/>
      <c r="C14" s="537"/>
      <c r="D14" s="537"/>
      <c r="E14" s="537"/>
      <c r="F14" s="537"/>
      <c r="G14" s="537"/>
      <c r="H14" s="537"/>
      <c r="I14" s="471"/>
      <c r="J14" s="470"/>
      <c r="K14" s="471"/>
      <c r="L14" s="471"/>
      <c r="M14" s="542"/>
      <c r="N14" s="544"/>
      <c r="O14" s="544"/>
      <c r="P14" s="544"/>
      <c r="Q14" s="544"/>
      <c r="R14" s="545" t="s">
        <v>1168</v>
      </c>
      <c r="S14" s="544"/>
      <c r="T14" s="537"/>
      <c r="U14" s="537"/>
      <c r="V14" s="543"/>
      <c r="W14" s="542" t="s">
        <v>987</v>
      </c>
      <c r="X14" s="537"/>
      <c r="Y14" s="474"/>
      <c r="Z14" s="471"/>
      <c r="AA14" s="471"/>
      <c r="AB14" s="542" t="s">
        <v>1159</v>
      </c>
      <c r="AC14" s="471"/>
      <c r="AD14" s="513" t="str">
        <f>MID('Input data'!$B$18,1,1)</f>
        <v>0</v>
      </c>
      <c r="AE14" s="513" t="str">
        <f>MID('Input data'!$B$18,2,1)</f>
        <v>1</v>
      </c>
      <c r="AF14" s="513"/>
      <c r="AG14" s="513" t="str">
        <f>MID('Input data'!$B$19,1,1)</f>
        <v>2</v>
      </c>
      <c r="AH14" s="513" t="str">
        <f>MID('Input data'!$B$19,2,1)</f>
        <v>0</v>
      </c>
      <c r="AI14" s="513" t="str">
        <f>MID('Input data'!$B$19,3,1)</f>
        <v>1</v>
      </c>
      <c r="AJ14" s="513" t="str">
        <f>MID('Input data'!$B$19,4,1)</f>
        <v>2</v>
      </c>
      <c r="AK14" s="470"/>
    </row>
    <row r="15" spans="1:39" s="534" customFormat="1" ht="19.5" customHeight="1" thickBot="1" x14ac:dyDescent="0.25">
      <c r="A15" s="541">
        <v>4</v>
      </c>
      <c r="B15" s="466">
        <v>6</v>
      </c>
      <c r="C15" s="539" t="s">
        <v>1149</v>
      </c>
      <c r="D15" s="466">
        <v>3</v>
      </c>
      <c r="E15" s="466">
        <v>9</v>
      </c>
      <c r="F15" s="490" t="s">
        <v>1149</v>
      </c>
      <c r="G15" s="466">
        <v>0</v>
      </c>
      <c r="H15" s="466"/>
      <c r="I15" s="466"/>
      <c r="J15" s="465"/>
      <c r="K15" s="466"/>
      <c r="L15" s="466"/>
      <c r="M15" s="466"/>
      <c r="N15" s="466"/>
      <c r="O15" s="466"/>
      <c r="P15" s="466"/>
      <c r="Q15" s="466"/>
      <c r="R15" s="466"/>
      <c r="S15" s="466"/>
      <c r="T15" s="539"/>
      <c r="U15" s="539"/>
      <c r="V15" s="540"/>
      <c r="W15" s="538" t="s">
        <v>1169</v>
      </c>
      <c r="X15" s="539"/>
      <c r="Y15" s="467"/>
      <c r="Z15" s="466"/>
      <c r="AA15" s="466"/>
      <c r="AB15" s="538" t="s">
        <v>1163</v>
      </c>
      <c r="AC15" s="466"/>
      <c r="AD15" s="511" t="str">
        <f>MID('Input data'!$B$21,1,1)</f>
        <v>1</v>
      </c>
      <c r="AE15" s="511" t="str">
        <f>MID('Input data'!$B$21,2,1)</f>
        <v>2</v>
      </c>
      <c r="AF15" s="511"/>
      <c r="AG15" s="511" t="str">
        <f>MID('Input data'!$B$22,1,1)</f>
        <v>2</v>
      </c>
      <c r="AH15" s="511" t="str">
        <f>MID('Input data'!$B$22,2,1)</f>
        <v>0</v>
      </c>
      <c r="AI15" s="511" t="str">
        <f>MID('Input data'!$B$22,3,1)</f>
        <v>1</v>
      </c>
      <c r="AJ15" s="511" t="str">
        <f>MID('Input data'!$B$22,4,1)</f>
        <v>2</v>
      </c>
      <c r="AK15" s="465"/>
    </row>
    <row r="16" spans="1:39" s="534" customFormat="1" ht="4.5" customHeight="1" x14ac:dyDescent="0.25">
      <c r="A16" s="537"/>
      <c r="B16" s="537"/>
      <c r="C16" s="537"/>
      <c r="D16" s="537"/>
      <c r="E16" s="537"/>
      <c r="F16" s="535"/>
      <c r="G16" s="537"/>
      <c r="H16" s="471"/>
      <c r="I16" s="471"/>
      <c r="J16" s="471"/>
      <c r="K16" s="471"/>
      <c r="L16" s="471"/>
      <c r="M16" s="471"/>
      <c r="N16" s="471"/>
      <c r="O16" s="471"/>
      <c r="P16" s="471"/>
      <c r="Q16" s="471"/>
      <c r="R16" s="471"/>
      <c r="S16" s="471"/>
      <c r="T16" s="537"/>
      <c r="U16" s="537"/>
      <c r="V16" s="471"/>
      <c r="W16" s="471"/>
      <c r="X16" s="471"/>
      <c r="Y16" s="471"/>
      <c r="Z16" s="471"/>
      <c r="AA16" s="471"/>
      <c r="AB16" s="471"/>
      <c r="AC16" s="471"/>
      <c r="AD16" s="471"/>
      <c r="AE16" s="471"/>
      <c r="AF16" s="471"/>
      <c r="AG16" s="471"/>
      <c r="AH16" s="471"/>
      <c r="AI16" s="471"/>
      <c r="AJ16" s="471"/>
      <c r="AK16" s="471"/>
    </row>
    <row r="17" spans="1:39" s="534" customFormat="1" ht="3" customHeight="1" thickBot="1" x14ac:dyDescent="0.3">
      <c r="H17" s="464"/>
      <c r="I17" s="464"/>
      <c r="J17" s="464"/>
      <c r="K17" s="464"/>
      <c r="L17" s="464"/>
      <c r="M17" s="464"/>
      <c r="N17" s="464"/>
      <c r="O17" s="464"/>
      <c r="P17" s="464"/>
      <c r="Q17" s="464"/>
      <c r="R17" s="464"/>
      <c r="S17" s="464"/>
      <c r="W17" s="464"/>
      <c r="X17" s="464"/>
      <c r="Y17" s="464"/>
      <c r="Z17" s="464"/>
      <c r="AA17" s="46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4"/>
    </row>
    <row r="18" spans="1:39" s="534" customFormat="1" ht="16.5" x14ac:dyDescent="0.25">
      <c r="A18" s="536" t="s">
        <v>1170</v>
      </c>
      <c r="B18" s="535"/>
      <c r="C18" s="535"/>
      <c r="D18" s="535"/>
      <c r="E18" s="535"/>
      <c r="F18" s="535"/>
      <c r="G18" s="535"/>
      <c r="H18" s="479"/>
      <c r="I18" s="479"/>
      <c r="J18" s="479"/>
      <c r="K18" s="479"/>
      <c r="L18" s="479"/>
      <c r="M18" s="479"/>
      <c r="N18" s="479"/>
      <c r="O18" s="479"/>
      <c r="P18" s="479"/>
      <c r="Q18" s="479"/>
      <c r="R18" s="479"/>
      <c r="S18" s="479"/>
      <c r="T18" s="535"/>
      <c r="U18" s="535"/>
      <c r="V18" s="535"/>
      <c r="W18" s="479"/>
      <c r="X18" s="479"/>
      <c r="Y18" s="479"/>
      <c r="Z18" s="479"/>
      <c r="AA18" s="479"/>
      <c r="AB18" s="479"/>
      <c r="AC18" s="479"/>
      <c r="AD18" s="479"/>
      <c r="AE18" s="479"/>
      <c r="AF18" s="479"/>
      <c r="AG18" s="479"/>
      <c r="AH18" s="479"/>
      <c r="AI18" s="479"/>
      <c r="AJ18" s="479"/>
      <c r="AK18" s="478"/>
    </row>
    <row r="19" spans="1:39" s="464" customFormat="1" ht="19.5" customHeight="1" x14ac:dyDescent="0.35">
      <c r="A19" s="521" t="s">
        <v>1638</v>
      </c>
      <c r="B19" s="513" t="s">
        <v>1639</v>
      </c>
      <c r="C19" s="513" t="s">
        <v>1640</v>
      </c>
      <c r="D19" s="513" t="s">
        <v>1641</v>
      </c>
      <c r="E19" s="513" t="s">
        <v>1642</v>
      </c>
      <c r="F19" s="513" t="s">
        <v>1641</v>
      </c>
      <c r="G19" s="534"/>
      <c r="H19" s="513" t="s">
        <v>1643</v>
      </c>
      <c r="I19" s="513" t="s">
        <v>1644</v>
      </c>
      <c r="J19" s="513" t="s">
        <v>1645</v>
      </c>
      <c r="K19" s="513" t="s">
        <v>1638</v>
      </c>
      <c r="L19" s="513" t="s">
        <v>1646</v>
      </c>
      <c r="M19" s="513" t="s">
        <v>1642</v>
      </c>
      <c r="N19" s="513" t="s">
        <v>1643</v>
      </c>
      <c r="O19" s="513" t="s">
        <v>1647</v>
      </c>
      <c r="P19" s="513" t="s">
        <v>1645</v>
      </c>
      <c r="Q19" s="513" t="s">
        <v>1648</v>
      </c>
      <c r="R19" s="513" t="str">
        <f>+MID('Input data'!$F$3,8,1)</f>
        <v/>
      </c>
      <c r="S19" s="513" t="s">
        <v>1649</v>
      </c>
      <c r="T19" s="513" t="s">
        <v>1149</v>
      </c>
      <c r="U19" s="513" t="s">
        <v>1650</v>
      </c>
      <c r="V19" s="513" t="s">
        <v>1149</v>
      </c>
      <c r="W19" s="513" t="s">
        <v>1651</v>
      </c>
      <c r="X19" s="513" t="s">
        <v>1149</v>
      </c>
      <c r="Y19" s="513" t="str">
        <f>+MID('Input data'!$F$3,25,1)</f>
        <v/>
      </c>
      <c r="Z19" s="513" t="str">
        <f>+MID('Input data'!$F$3,26,1)</f>
        <v/>
      </c>
      <c r="AA19" s="513" t="str">
        <f>+MID('Input data'!$F$3,27,1)</f>
        <v/>
      </c>
      <c r="AB19" s="513" t="str">
        <f>+MID('Input data'!$F$3,28,1)</f>
        <v/>
      </c>
      <c r="AC19" s="513" t="str">
        <f>+MID('Input data'!$F$3,29,1)</f>
        <v/>
      </c>
      <c r="AD19" s="513" t="str">
        <f>+MID('Input data'!$F$3,30,1)</f>
        <v/>
      </c>
      <c r="AE19" s="513" t="str">
        <f>+MID('Input data'!$F$3,31,1)</f>
        <v/>
      </c>
      <c r="AF19" s="513" t="str">
        <f>+MID('Input data'!$F$3,32,1)</f>
        <v/>
      </c>
      <c r="AG19" s="513" t="str">
        <f>+MID('Input data'!$F$3,33,1)</f>
        <v/>
      </c>
      <c r="AH19" s="513" t="str">
        <f>+MID('Input data'!$E$3,34,1)</f>
        <v/>
      </c>
      <c r="AI19" s="513" t="str">
        <f>+MID('Input data'!$E$3,35,1)</f>
        <v/>
      </c>
      <c r="AJ19" s="513" t="str">
        <f>+MID('Input data'!$E$3,36,1)</f>
        <v/>
      </c>
      <c r="AK19" s="520" t="str">
        <f>+MID('Input data'!$E$3,37,1)</f>
        <v/>
      </c>
      <c r="AL19" s="534"/>
      <c r="AM19" s="534"/>
    </row>
    <row r="20" spans="1:39" s="603" customFormat="1" ht="19.5" customHeight="1" x14ac:dyDescent="0.35">
      <c r="A20" s="521" t="str">
        <f>+MID('Input data'!$E$3,38,1)</f>
        <v/>
      </c>
      <c r="B20" s="513" t="str">
        <f>+MID('Input data'!$E$3,39,1)</f>
        <v/>
      </c>
      <c r="C20" s="513" t="str">
        <f>+MID('Input data'!$E$3,40,1)</f>
        <v/>
      </c>
      <c r="D20" s="513" t="str">
        <f>+MID('Input data'!$E$3,41,1)</f>
        <v/>
      </c>
      <c r="E20" s="513" t="str">
        <f>+MID('Input data'!$E$3,42,1)</f>
        <v/>
      </c>
      <c r="F20" s="513" t="str">
        <f>+MID('Input data'!$E$3,43,1)</f>
        <v/>
      </c>
      <c r="G20" s="513" t="str">
        <f>+MID('Input data'!$E$3,44,1)</f>
        <v/>
      </c>
      <c r="H20" s="513" t="str">
        <f>+MID('Input data'!$E$3,45,1)</f>
        <v/>
      </c>
      <c r="I20" s="513" t="str">
        <f>+MID('Input data'!$E$3,46,1)</f>
        <v/>
      </c>
      <c r="J20" s="513" t="str">
        <f>+MID('Input data'!$E$3,47,1)</f>
        <v/>
      </c>
      <c r="K20" s="513" t="str">
        <f>+MID('Input data'!$E$3,48,1)</f>
        <v/>
      </c>
      <c r="L20" s="513" t="str">
        <f>+MID('Input data'!$E$3,49,1)</f>
        <v/>
      </c>
      <c r="M20" s="513" t="str">
        <f>+MID('Input data'!$E$3,50,1)</f>
        <v/>
      </c>
      <c r="N20" s="513" t="str">
        <f>+MID('Input data'!$E$3,51,1)</f>
        <v/>
      </c>
      <c r="O20" s="513" t="str">
        <f>+MID('Input data'!$E$3,52,1)</f>
        <v/>
      </c>
      <c r="P20" s="513" t="str">
        <f>+MID('Input data'!$E$3,53,1)</f>
        <v/>
      </c>
      <c r="Q20" s="513" t="str">
        <f>+MID('Input data'!$E$3,54,1)</f>
        <v/>
      </c>
      <c r="R20" s="513" t="str">
        <f>+MID('Input data'!$E$3,55,1)</f>
        <v/>
      </c>
      <c r="S20" s="513" t="str">
        <f>+MID('Input data'!$E$3,56,1)</f>
        <v/>
      </c>
      <c r="T20" s="513" t="str">
        <f>+MID('Input data'!$E$3,57,1)</f>
        <v/>
      </c>
      <c r="U20" s="513" t="str">
        <f>+MID('Input data'!$E$3,58,1)</f>
        <v/>
      </c>
      <c r="V20" s="513" t="str">
        <f>+MID('Input data'!$E$3,59,1)</f>
        <v/>
      </c>
      <c r="W20" s="513" t="str">
        <f>+MID('Input data'!$E$3,60,1)</f>
        <v/>
      </c>
      <c r="X20" s="513" t="str">
        <f>+MID('Input data'!$E$3,61,1)</f>
        <v/>
      </c>
      <c r="Y20" s="513" t="str">
        <f>+MID('Input data'!$E$3,62,1)</f>
        <v/>
      </c>
      <c r="Z20" s="513" t="str">
        <f>+MID('Input data'!$E$3,63,1)</f>
        <v/>
      </c>
      <c r="AA20" s="513" t="str">
        <f>+MID('Input data'!$E$3,64,1)</f>
        <v/>
      </c>
      <c r="AB20" s="513" t="str">
        <f>+MID('Input data'!$E$3,65,1)</f>
        <v/>
      </c>
      <c r="AC20" s="513" t="str">
        <f>+MID('Input data'!$E$3,66,1)</f>
        <v/>
      </c>
      <c r="AD20" s="513" t="str">
        <f>+MID('Input data'!$E$3,67,1)</f>
        <v/>
      </c>
      <c r="AE20" s="513" t="str">
        <f>+MID('Input data'!$E$3,68,1)</f>
        <v/>
      </c>
      <c r="AF20" s="513" t="str">
        <f>+MID('Input data'!$E$3,69,1)</f>
        <v/>
      </c>
      <c r="AG20" s="513" t="str">
        <f>+MID('Input data'!$E$3,70,1)</f>
        <v/>
      </c>
      <c r="AH20" s="513" t="str">
        <f>+MID('Input data'!$E$3,71,1)</f>
        <v/>
      </c>
      <c r="AI20" s="513" t="str">
        <f>+MID('Input data'!$E$3,72,1)</f>
        <v/>
      </c>
      <c r="AJ20" s="513" t="str">
        <f>+MID('Input data'!$E$3,73,1)</f>
        <v/>
      </c>
      <c r="AK20" s="520" t="str">
        <f>+MID('Input data'!$E$3,74,1)</f>
        <v/>
      </c>
    </row>
    <row r="21" spans="1:39" ht="12.75" customHeight="1" x14ac:dyDescent="0.35">
      <c r="A21" s="533"/>
      <c r="B21" s="532"/>
      <c r="C21" s="532"/>
      <c r="D21" s="532"/>
      <c r="E21" s="532"/>
      <c r="F21" s="532"/>
      <c r="G21" s="532"/>
      <c r="H21" s="532"/>
      <c r="I21" s="532"/>
      <c r="J21" s="532"/>
      <c r="K21" s="532"/>
      <c r="L21" s="532"/>
      <c r="M21" s="532"/>
      <c r="N21" s="532"/>
      <c r="O21" s="532"/>
      <c r="P21" s="532"/>
      <c r="Q21" s="532"/>
      <c r="R21" s="532"/>
      <c r="S21" s="532"/>
      <c r="T21" s="532"/>
      <c r="U21" s="532"/>
      <c r="V21" s="532"/>
      <c r="W21" s="531"/>
      <c r="X21" s="531"/>
      <c r="Y21" s="531"/>
      <c r="Z21" s="531"/>
      <c r="AA21" s="531"/>
      <c r="AB21" s="531"/>
      <c r="AC21" s="531"/>
      <c r="AD21" s="531"/>
      <c r="AE21" s="531"/>
      <c r="AF21" s="531"/>
      <c r="AG21" s="531"/>
      <c r="AH21" s="531"/>
      <c r="AI21" s="531"/>
      <c r="AJ21" s="531"/>
      <c r="AK21" s="530"/>
    </row>
    <row r="22" spans="1:39" s="604" customFormat="1" ht="19.5" hidden="1" customHeight="1" x14ac:dyDescent="0.25">
      <c r="A22" s="529"/>
      <c r="B22" s="528"/>
      <c r="C22" s="528"/>
      <c r="D22" s="528"/>
      <c r="E22" s="528"/>
      <c r="F22" s="528"/>
      <c r="G22" s="528" t="e">
        <f>+MID('Input data'!#REF!,7,1)</f>
        <v>#REF!</v>
      </c>
      <c r="H22" s="528" t="e">
        <f>+MID('Input data'!#REF!,8,1)</f>
        <v>#REF!</v>
      </c>
      <c r="I22" s="528" t="e">
        <f>+MID('Input data'!#REF!,9,1)</f>
        <v>#REF!</v>
      </c>
      <c r="J22" s="528" t="e">
        <f>+MID('Input data'!#REF!,10,1)</f>
        <v>#REF!</v>
      </c>
      <c r="K22" s="528" t="e">
        <f>+MID('Input data'!#REF!,11,1)</f>
        <v>#REF!</v>
      </c>
      <c r="L22" s="528" t="e">
        <f>+MID('Input data'!#REF!,12,1)</f>
        <v>#REF!</v>
      </c>
      <c r="M22" s="528" t="e">
        <f>+MID('Input data'!#REF!,13,1)</f>
        <v>#REF!</v>
      </c>
      <c r="N22" s="528" t="e">
        <f>+MID('Input data'!#REF!,14,1)</f>
        <v>#REF!</v>
      </c>
      <c r="O22" s="528" t="e">
        <f>+MID('Input data'!#REF!,15,1)</f>
        <v>#REF!</v>
      </c>
      <c r="P22" s="528" t="e">
        <f>+MID('Input data'!#REF!,16,1)</f>
        <v>#REF!</v>
      </c>
      <c r="Q22" s="528" t="e">
        <f>+MID('Input data'!#REF!,17,1)</f>
        <v>#REF!</v>
      </c>
      <c r="R22" s="528" t="e">
        <f>+MID('Input data'!#REF!,18,1)</f>
        <v>#REF!</v>
      </c>
      <c r="S22" s="528" t="e">
        <f>+MID('Input data'!#REF!,19,1)</f>
        <v>#REF!</v>
      </c>
      <c r="T22" s="528" t="e">
        <f>+MID('Input data'!#REF!,20,1)</f>
        <v>#REF!</v>
      </c>
      <c r="U22" s="528" t="e">
        <f>+MID('Input data'!#REF!,21,1)</f>
        <v>#REF!</v>
      </c>
      <c r="V22" s="528" t="e">
        <f>+MID('Input data'!#REF!,22,1)</f>
        <v>#REF!</v>
      </c>
      <c r="W22" s="528" t="e">
        <f>+MID('Input data'!#REF!,23,1)</f>
        <v>#REF!</v>
      </c>
      <c r="X22" s="528" t="e">
        <f>+MID('Input data'!#REF!,24,1)</f>
        <v>#REF!</v>
      </c>
      <c r="Y22" s="528" t="e">
        <f>+MID('Input data'!#REF!,25,1)</f>
        <v>#REF!</v>
      </c>
      <c r="Z22" s="528" t="e">
        <f>+MID('Input data'!#REF!,26,1)</f>
        <v>#REF!</v>
      </c>
      <c r="AA22" s="528" t="e">
        <f>+MID('Input data'!#REF!,27,1)</f>
        <v>#REF!</v>
      </c>
      <c r="AB22" s="528" t="e">
        <f>+MID('Input data'!#REF!,28,1)</f>
        <v>#REF!</v>
      </c>
      <c r="AC22" s="528" t="e">
        <f>+MID('Input data'!#REF!,29,1)</f>
        <v>#REF!</v>
      </c>
      <c r="AD22" s="528" t="e">
        <f>+MID('Input data'!#REF!,30,1)</f>
        <v>#REF!</v>
      </c>
      <c r="AE22" s="528" t="e">
        <f>+MID('Input data'!#REF!,31,1)</f>
        <v>#REF!</v>
      </c>
      <c r="AF22" s="528" t="e">
        <f>+MID('Input data'!#REF!,32,1)</f>
        <v>#REF!</v>
      </c>
      <c r="AG22" s="528" t="e">
        <f>+MID('Input data'!#REF!,33,1)</f>
        <v>#REF!</v>
      </c>
      <c r="AH22" s="528" t="e">
        <f>+MID('Input data'!#REF!,34,1)</f>
        <v>#REF!</v>
      </c>
      <c r="AI22" s="528" t="e">
        <f>+MID('Input data'!#REF!,35,1)</f>
        <v>#REF!</v>
      </c>
      <c r="AJ22" s="528" t="e">
        <f>+MID('Input data'!#REF!,36,1)</f>
        <v>#REF!</v>
      </c>
      <c r="AK22" s="527" t="e">
        <f>+MID('Input data'!#REF!,37,1)</f>
        <v>#REF!</v>
      </c>
      <c r="AL22" s="462"/>
      <c r="AM22" s="462"/>
    </row>
    <row r="23" spans="1:39" s="522" customFormat="1" ht="14.25" customHeight="1" x14ac:dyDescent="0.25">
      <c r="A23" s="526" t="s">
        <v>1171</v>
      </c>
      <c r="B23" s="525"/>
      <c r="C23" s="525"/>
      <c r="D23" s="525"/>
      <c r="E23" s="525"/>
      <c r="F23" s="525"/>
      <c r="G23" s="525"/>
      <c r="H23" s="525"/>
      <c r="I23" s="525"/>
      <c r="J23" s="525"/>
      <c r="K23" s="525"/>
      <c r="L23" s="525"/>
      <c r="M23" s="525"/>
      <c r="N23" s="525"/>
      <c r="O23" s="525"/>
      <c r="P23" s="525"/>
      <c r="Q23" s="525"/>
      <c r="R23" s="525"/>
      <c r="S23" s="525"/>
      <c r="T23" s="525"/>
      <c r="U23" s="525"/>
      <c r="V23" s="525"/>
      <c r="W23" s="524"/>
      <c r="X23" s="524"/>
      <c r="Y23" s="524"/>
      <c r="Z23" s="524"/>
      <c r="AA23" s="524"/>
      <c r="AB23" s="524"/>
      <c r="AC23" s="524"/>
      <c r="AD23" s="524"/>
      <c r="AE23" s="524"/>
      <c r="AF23" s="524"/>
      <c r="AG23" s="524"/>
      <c r="AH23" s="524"/>
      <c r="AI23" s="524"/>
      <c r="AJ23" s="524"/>
      <c r="AK23" s="523"/>
    </row>
    <row r="24" spans="1:39" x14ac:dyDescent="0.25">
      <c r="A24" s="518" t="s">
        <v>1172</v>
      </c>
      <c r="B24" s="476"/>
      <c r="C24" s="476"/>
      <c r="D24" s="476"/>
      <c r="E24" s="476"/>
      <c r="F24" s="476"/>
      <c r="G24" s="476"/>
      <c r="H24" s="476"/>
      <c r="I24" s="476"/>
      <c r="J24" s="476"/>
      <c r="K24" s="476"/>
      <c r="L24" s="476"/>
      <c r="M24" s="476"/>
      <c r="N24" s="476"/>
      <c r="O24" s="476"/>
      <c r="P24" s="476"/>
      <c r="Q24" s="476"/>
      <c r="R24" s="476"/>
      <c r="S24" s="476"/>
      <c r="T24" s="476"/>
      <c r="U24" s="476"/>
      <c r="V24" s="476"/>
      <c r="W24" s="471"/>
      <c r="X24" s="471"/>
      <c r="Y24" s="471"/>
      <c r="Z24" s="471"/>
      <c r="AA24" s="471"/>
      <c r="AB24" s="476"/>
      <c r="AC24" s="471"/>
      <c r="AD24" s="474" t="s">
        <v>1173</v>
      </c>
      <c r="AE24" s="471"/>
      <c r="AF24" s="471"/>
      <c r="AG24" s="471"/>
      <c r="AH24" s="471"/>
      <c r="AI24" s="471"/>
      <c r="AJ24" s="471"/>
      <c r="AK24" s="470"/>
    </row>
    <row r="25" spans="1:39" s="603" customFormat="1" ht="19.5" customHeight="1" x14ac:dyDescent="0.25">
      <c r="A25" s="521" t="s">
        <v>1652</v>
      </c>
      <c r="B25" s="513" t="s">
        <v>1653</v>
      </c>
      <c r="C25" s="513" t="s">
        <v>1654</v>
      </c>
      <c r="D25" s="513" t="s">
        <v>1649</v>
      </c>
      <c r="E25" s="513" t="s">
        <v>1649</v>
      </c>
      <c r="F25" s="513" t="s">
        <v>1655</v>
      </c>
      <c r="G25" s="513" t="s">
        <v>1651</v>
      </c>
      <c r="H25" s="513" t="s">
        <v>1505</v>
      </c>
      <c r="I25" s="513" t="s">
        <v>518</v>
      </c>
      <c r="J25" s="513" t="str">
        <f>+MID('Input data'!$C$28,10,1)</f>
        <v/>
      </c>
      <c r="K25" s="513" t="str">
        <f>+MID('Input data'!$C$28,11,1)</f>
        <v/>
      </c>
      <c r="L25" s="513" t="str">
        <f>+MID('Input data'!$C$28,12,1)</f>
        <v/>
      </c>
      <c r="M25" s="513" t="str">
        <f>+MID('Input data'!$C$28,13,1)</f>
        <v/>
      </c>
      <c r="N25" s="513" t="str">
        <f>+MID('Input data'!$C$28,14,1)</f>
        <v/>
      </c>
      <c r="O25" s="513" t="str">
        <f>+MID('Input data'!$C$28,15,1)</f>
        <v/>
      </c>
      <c r="P25" s="513" t="str">
        <f>+MID('Input data'!$C$28,16,1)</f>
        <v/>
      </c>
      <c r="Q25" s="513" t="str">
        <f>+MID('Input data'!$C$28,17,1)</f>
        <v/>
      </c>
      <c r="R25" s="513" t="str">
        <f>+MID('Input data'!$C$28,18,1)</f>
        <v/>
      </c>
      <c r="S25" s="513" t="str">
        <f>+MID('Input data'!$C$28,19,1)</f>
        <v/>
      </c>
      <c r="T25" s="513" t="str">
        <f>+MID('Input data'!$C$28,20,1)</f>
        <v/>
      </c>
      <c r="U25" s="513" t="str">
        <f>+MID('Input data'!$C$28,21,1)</f>
        <v/>
      </c>
      <c r="V25" s="513" t="str">
        <f>+MID('Input data'!$C$28,22,1)</f>
        <v/>
      </c>
      <c r="W25" s="513" t="str">
        <f>+MID('Input data'!$C$28,23,1)</f>
        <v/>
      </c>
      <c r="X25" s="513" t="str">
        <f>+MID('Input data'!$C$28,24,1)</f>
        <v/>
      </c>
      <c r="Y25" s="513" t="str">
        <f>+MID('Input data'!$C$28,25,1)</f>
        <v/>
      </c>
      <c r="Z25" s="513" t="str">
        <f>+MID('Input data'!$C$28,26,1)</f>
        <v/>
      </c>
      <c r="AA25" s="513" t="str">
        <f>+MID('Input data'!$C$28,27,1)</f>
        <v/>
      </c>
      <c r="AB25" s="513" t="str">
        <f>+MID('Input data'!$C$28,28,1)</f>
        <v/>
      </c>
      <c r="AC25" s="515"/>
      <c r="AD25" s="513">
        <v>5</v>
      </c>
      <c r="AE25" s="513" t="str">
        <f>+MID('Input data'!$C$30,2,1)</f>
        <v/>
      </c>
      <c r="AF25" s="513" t="str">
        <f>+MID('Input data'!$C$30,3,1)</f>
        <v/>
      </c>
      <c r="AG25" s="513" t="str">
        <f>+MID('Input data'!$C$30,4,1)</f>
        <v/>
      </c>
      <c r="AH25" s="513" t="str">
        <f>+MID('Input data'!$C$30,5,1)</f>
        <v/>
      </c>
      <c r="AI25" s="513" t="str">
        <f>+MID('Input data'!$C$30,6,1)</f>
        <v/>
      </c>
      <c r="AJ25" s="513" t="str">
        <f>+MID('Input data'!$C$30,7,1)</f>
        <v/>
      </c>
      <c r="AK25" s="520" t="str">
        <f>+MID('Input data'!$C$30,8,1)</f>
        <v/>
      </c>
    </row>
    <row r="26" spans="1:39" x14ac:dyDescent="0.25">
      <c r="A26" s="518" t="s">
        <v>1174</v>
      </c>
      <c r="B26" s="476"/>
      <c r="C26" s="476"/>
      <c r="D26" s="476"/>
      <c r="E26" s="476"/>
      <c r="F26" s="476"/>
      <c r="G26" s="517" t="s">
        <v>1175</v>
      </c>
      <c r="H26" s="517"/>
      <c r="I26" s="517"/>
      <c r="J26" s="517"/>
      <c r="K26" s="517"/>
      <c r="L26" s="517"/>
      <c r="M26" s="517"/>
      <c r="N26" s="517"/>
      <c r="O26" s="517"/>
      <c r="P26" s="517"/>
      <c r="Q26" s="517"/>
      <c r="R26" s="517"/>
      <c r="S26" s="517"/>
      <c r="T26" s="517"/>
      <c r="U26" s="517"/>
      <c r="V26" s="517"/>
      <c r="W26" s="517"/>
      <c r="X26" s="517"/>
      <c r="Y26" s="517"/>
      <c r="Z26" s="517"/>
      <c r="AA26" s="517"/>
      <c r="AB26" s="517"/>
      <c r="AC26" s="517"/>
      <c r="AD26" s="517"/>
      <c r="AE26" s="471"/>
      <c r="AF26" s="471"/>
      <c r="AG26" s="471"/>
      <c r="AH26" s="471"/>
      <c r="AI26" s="471"/>
      <c r="AJ26" s="471"/>
      <c r="AK26" s="470"/>
    </row>
    <row r="27" spans="1:39" s="603" customFormat="1" ht="19.5" customHeight="1" x14ac:dyDescent="0.25">
      <c r="A27" s="521">
        <v>9</v>
      </c>
      <c r="B27" s="513">
        <v>0</v>
      </c>
      <c r="C27" s="513">
        <v>2</v>
      </c>
      <c r="D27" s="513">
        <v>0</v>
      </c>
      <c r="E27" s="513">
        <v>1</v>
      </c>
      <c r="F27" s="513"/>
      <c r="G27" s="513" t="s">
        <v>1656</v>
      </c>
      <c r="H27" s="513" t="s">
        <v>1653</v>
      </c>
      <c r="I27" s="513" t="s">
        <v>1657</v>
      </c>
      <c r="J27" s="513" t="s">
        <v>1654</v>
      </c>
      <c r="K27" s="513" t="s">
        <v>1658</v>
      </c>
      <c r="L27" s="513" t="s">
        <v>1651</v>
      </c>
      <c r="M27" s="513" t="s">
        <v>1148</v>
      </c>
      <c r="N27" s="513" t="str">
        <f>+MID('Input data'!$C$34,8,1)</f>
        <v/>
      </c>
      <c r="O27" s="513" t="str">
        <f>+MID('Input data'!$C$34,9,1)</f>
        <v/>
      </c>
      <c r="P27" s="513" t="str">
        <f>+MID('Input data'!$C$34,10,1)</f>
        <v/>
      </c>
      <c r="Q27" s="513" t="str">
        <f>+MID('Input data'!$C$34,11,1)</f>
        <v/>
      </c>
      <c r="R27" s="513" t="str">
        <f>+MID('Input data'!$C$34,12,1)</f>
        <v/>
      </c>
      <c r="S27" s="513" t="str">
        <f>+MID('Input data'!$C$34,13,1)</f>
        <v/>
      </c>
      <c r="T27" s="513" t="str">
        <f>+MID('Input data'!$C$34,14,1)</f>
        <v/>
      </c>
      <c r="U27" s="513" t="str">
        <f>+MID('Input data'!$C$34,15,1)</f>
        <v/>
      </c>
      <c r="V27" s="513" t="str">
        <f>+MID('Input data'!$C$34,16,1)</f>
        <v/>
      </c>
      <c r="W27" s="513" t="str">
        <f>+MID('Input data'!$C$34,17,1)</f>
        <v/>
      </c>
      <c r="X27" s="513" t="str">
        <f>+MID('Input data'!$C$34,18,1)</f>
        <v/>
      </c>
      <c r="Y27" s="513" t="str">
        <f>+MID('Input data'!$C$34,19,1)</f>
        <v/>
      </c>
      <c r="Z27" s="513" t="str">
        <f>+MID('Input data'!$C$34,20,1)</f>
        <v/>
      </c>
      <c r="AA27" s="513" t="str">
        <f>+MID('Input data'!$C$34,21,1)</f>
        <v/>
      </c>
      <c r="AB27" s="513" t="str">
        <f>+MID('Input data'!$C$34,22,1)</f>
        <v/>
      </c>
      <c r="AC27" s="513" t="str">
        <f>+MID('Input data'!$C$34,23,1)</f>
        <v/>
      </c>
      <c r="AD27" s="513" t="str">
        <f>+MID('Input data'!$C$34,24,1)</f>
        <v/>
      </c>
      <c r="AE27" s="513" t="str">
        <f>+MID('Input data'!$C$34,25,1)</f>
        <v/>
      </c>
      <c r="AF27" s="513" t="str">
        <f>+MID('Input data'!$C$34,26,1)</f>
        <v/>
      </c>
      <c r="AG27" s="513" t="str">
        <f>+MID('Input data'!$C$34,27,1)</f>
        <v/>
      </c>
      <c r="AH27" s="513" t="str">
        <f>+MID('Input data'!$C$34,28,1)</f>
        <v/>
      </c>
      <c r="AI27" s="513" t="str">
        <f>+MID('Input data'!$C$34,29,1)</f>
        <v/>
      </c>
      <c r="AJ27" s="513" t="str">
        <f>+MID('Input data'!$C$34,30,1)</f>
        <v/>
      </c>
      <c r="AK27" s="520" t="str">
        <f>+MID('Input data'!$C$34,31,1)</f>
        <v/>
      </c>
    </row>
    <row r="28" spans="1:39" x14ac:dyDescent="0.25">
      <c r="A28" s="518" t="s">
        <v>1176</v>
      </c>
      <c r="B28" s="476"/>
      <c r="C28" s="476"/>
      <c r="D28" s="476"/>
      <c r="E28" s="476"/>
      <c r="F28" s="476"/>
      <c r="G28" s="517"/>
      <c r="H28" s="517"/>
      <c r="I28" s="517"/>
      <c r="J28" s="517"/>
      <c r="K28" s="517"/>
      <c r="L28" s="517"/>
      <c r="M28" s="517"/>
      <c r="N28" s="476"/>
      <c r="O28" s="517" t="s">
        <v>1177</v>
      </c>
      <c r="P28" s="517"/>
      <c r="Q28" s="517"/>
      <c r="R28" s="517"/>
      <c r="S28" s="517"/>
      <c r="T28" s="517"/>
      <c r="U28" s="517"/>
      <c r="V28" s="517"/>
      <c r="W28" s="517"/>
      <c r="X28" s="517"/>
      <c r="Y28" s="517"/>
      <c r="Z28" s="517"/>
      <c r="AA28" s="517"/>
      <c r="AB28" s="517"/>
      <c r="AC28" s="517"/>
      <c r="AD28" s="517"/>
      <c r="AE28" s="471"/>
      <c r="AF28" s="471"/>
      <c r="AG28" s="471"/>
      <c r="AH28" s="471"/>
      <c r="AI28" s="471"/>
      <c r="AJ28" s="471"/>
      <c r="AK28" s="470"/>
    </row>
    <row r="29" spans="1:39" s="603" customFormat="1" ht="19.5" customHeight="1" x14ac:dyDescent="0.25">
      <c r="A29" s="516">
        <v>0</v>
      </c>
      <c r="B29" s="513">
        <v>3</v>
      </c>
      <c r="C29" s="513">
        <v>3</v>
      </c>
      <c r="D29" s="513" t="str">
        <f>+MID('Input data'!$C$36,3,1)</f>
        <v/>
      </c>
      <c r="E29" s="513" t="s">
        <v>1178</v>
      </c>
      <c r="F29" s="513">
        <v>5</v>
      </c>
      <c r="G29" s="513">
        <v>9</v>
      </c>
      <c r="H29" s="513">
        <v>1</v>
      </c>
      <c r="I29" s="513">
        <v>1</v>
      </c>
      <c r="J29" s="513">
        <v>1</v>
      </c>
      <c r="K29" s="513">
        <v>1</v>
      </c>
      <c r="L29" s="513">
        <v>1</v>
      </c>
      <c r="M29" s="513" t="str">
        <f>+MID('Input data'!$C$38,8,1)</f>
        <v/>
      </c>
      <c r="N29" s="515"/>
      <c r="O29" s="514">
        <v>0</v>
      </c>
      <c r="P29" s="513">
        <v>3</v>
      </c>
      <c r="Q29" s="513">
        <v>3</v>
      </c>
      <c r="R29" s="513" t="str">
        <f>+MID('Input data'!$C$36,3,1)</f>
        <v/>
      </c>
      <c r="S29" s="513" t="s">
        <v>1178</v>
      </c>
      <c r="T29" s="513">
        <v>5</v>
      </c>
      <c r="U29" s="513">
        <v>9</v>
      </c>
      <c r="V29" s="513">
        <v>1</v>
      </c>
      <c r="W29" s="513">
        <v>1</v>
      </c>
      <c r="X29" s="513">
        <v>1</v>
      </c>
      <c r="Y29" s="513">
        <v>4</v>
      </c>
      <c r="Z29" s="513">
        <v>4</v>
      </c>
      <c r="AA29" s="513" t="str">
        <f>+MID('Input data'!$C$40,8,1)</f>
        <v/>
      </c>
      <c r="AB29" s="513"/>
      <c r="AC29" s="513"/>
      <c r="AD29" s="513"/>
      <c r="AE29" s="471"/>
      <c r="AF29" s="471"/>
      <c r="AG29" s="471"/>
      <c r="AH29" s="471"/>
      <c r="AI29" s="471"/>
      <c r="AJ29" s="471"/>
      <c r="AK29" s="470"/>
    </row>
    <row r="30" spans="1:39" s="463" customFormat="1" x14ac:dyDescent="0.25">
      <c r="A30" s="475" t="s">
        <v>1180</v>
      </c>
      <c r="B30" s="474"/>
      <c r="C30" s="474"/>
      <c r="D30" s="474"/>
      <c r="E30" s="474"/>
      <c r="F30" s="474"/>
      <c r="G30" s="474"/>
      <c r="H30" s="474"/>
      <c r="I30" s="474"/>
      <c r="J30" s="474"/>
      <c r="K30" s="474"/>
      <c r="L30" s="474"/>
      <c r="M30" s="474"/>
      <c r="N30" s="474"/>
      <c r="O30" s="474"/>
      <c r="P30" s="474"/>
      <c r="Q30" s="474"/>
      <c r="R30" s="474"/>
      <c r="S30" s="474"/>
      <c r="T30" s="474"/>
      <c r="U30" s="474"/>
      <c r="V30" s="474"/>
      <c r="W30" s="471"/>
      <c r="X30" s="471"/>
      <c r="Y30" s="471"/>
      <c r="Z30" s="471"/>
      <c r="AA30" s="471"/>
      <c r="AB30" s="471"/>
      <c r="AC30" s="471"/>
      <c r="AD30" s="471"/>
      <c r="AE30" s="471"/>
      <c r="AF30" s="471"/>
      <c r="AG30" s="471"/>
      <c r="AH30" s="471"/>
      <c r="AI30" s="471"/>
      <c r="AJ30" s="471"/>
      <c r="AK30" s="470"/>
    </row>
    <row r="31" spans="1:39" s="603" customFormat="1" ht="19.5" customHeight="1" thickBot="1" x14ac:dyDescent="0.3">
      <c r="A31" s="512" t="str">
        <f>+LEFT('Input data'!$B$42,1)</f>
        <v/>
      </c>
      <c r="B31" s="511" t="str">
        <f>+MID('Input data'!$B$42,2,1)</f>
        <v/>
      </c>
      <c r="C31" s="511" t="str">
        <f>+MID('Input data'!$B$42,3,1)</f>
        <v/>
      </c>
      <c r="D31" s="511" t="str">
        <f>+MID('Input data'!$B$42,4,1)</f>
        <v/>
      </c>
      <c r="E31" s="511" t="str">
        <f>+MID('Input data'!$B$42,5,1)</f>
        <v/>
      </c>
      <c r="F31" s="511" t="str">
        <f>+MID('Input data'!$B$42,6,1)</f>
        <v/>
      </c>
      <c r="G31" s="511" t="str">
        <f>+MID('Input data'!$B$42,7,1)</f>
        <v/>
      </c>
      <c r="H31" s="511" t="str">
        <f>+MID('Input data'!$B$42,8,1)</f>
        <v/>
      </c>
      <c r="I31" s="511" t="str">
        <f>+MID('Input data'!$B$42,9,1)</f>
        <v/>
      </c>
      <c r="J31" s="511" t="str">
        <f>+MID('Input data'!$B$42,10,1)</f>
        <v/>
      </c>
      <c r="K31" s="511" t="str">
        <f>+MID('Input data'!$B$42,11,1)</f>
        <v/>
      </c>
      <c r="L31" s="511" t="str">
        <f>+MID('Input data'!$B$42,12,1)</f>
        <v/>
      </c>
      <c r="M31" s="511" t="str">
        <f>+MID('Input data'!$B$42,13,1)</f>
        <v/>
      </c>
      <c r="N31" s="511" t="str">
        <f>+MID('Input data'!$B$42,14,1)</f>
        <v/>
      </c>
      <c r="O31" s="511" t="str">
        <f>+MID('Input data'!$B$42,15,1)</f>
        <v/>
      </c>
      <c r="P31" s="511" t="str">
        <f>+MID('Input data'!$B$42,16,1)</f>
        <v/>
      </c>
      <c r="Q31" s="511" t="str">
        <f>+MID('Input data'!$B$42,17,1)</f>
        <v/>
      </c>
      <c r="R31" s="511" t="str">
        <f>+MID('Input data'!$B$42,18,1)</f>
        <v/>
      </c>
      <c r="S31" s="511" t="str">
        <f>+MID('Input data'!$B$42,19,1)</f>
        <v/>
      </c>
      <c r="T31" s="511" t="str">
        <f>+MID('Input data'!$B$42,20,1)</f>
        <v/>
      </c>
      <c r="U31" s="511" t="str">
        <f>+MID('Input data'!$B$42,21,1)</f>
        <v/>
      </c>
      <c r="V31" s="511" t="str">
        <f>+MID('Input data'!$B$42,22,1)</f>
        <v/>
      </c>
      <c r="W31" s="511" t="str">
        <f>+MID('Input data'!$B$42,23,1)</f>
        <v/>
      </c>
      <c r="X31" s="511" t="str">
        <f>+MID('Input data'!$B$42,24,1)</f>
        <v/>
      </c>
      <c r="Y31" s="511" t="str">
        <f>+MID('Input data'!$B$42,25,1)</f>
        <v/>
      </c>
      <c r="Z31" s="511" t="str">
        <f>+MID('Input data'!$B$42,26,1)</f>
        <v/>
      </c>
      <c r="AA31" s="511" t="str">
        <f>+MID('Input data'!$B$42,27,1)</f>
        <v/>
      </c>
      <c r="AB31" s="511" t="str">
        <f>+MID('Input data'!$B$42,28,1)</f>
        <v/>
      </c>
      <c r="AC31" s="511" t="str">
        <f>+MID('Input data'!$B$42,29,1)</f>
        <v/>
      </c>
      <c r="AD31" s="511" t="str">
        <f>+MID('Input data'!$B$42,30,1)</f>
        <v/>
      </c>
      <c r="AE31" s="511" t="str">
        <f>+MID('Input data'!$B$42,31,1)</f>
        <v/>
      </c>
      <c r="AF31" s="511" t="str">
        <f>+MID('Input data'!$B$42,32,1)</f>
        <v/>
      </c>
      <c r="AG31" s="511" t="str">
        <f>+MID('Input data'!$B$42,33,1)</f>
        <v/>
      </c>
      <c r="AH31" s="511" t="str">
        <f>+MID('Input data'!$B$42,34,1)</f>
        <v/>
      </c>
      <c r="AI31" s="511" t="str">
        <f>+MID('Input data'!$B$42,35,1)</f>
        <v/>
      </c>
      <c r="AJ31" s="511" t="str">
        <f>+MID('Input data'!$B$42,36,1)</f>
        <v/>
      </c>
      <c r="AK31" s="510" t="str">
        <f>+MID('Input data'!$B$42,37,1)</f>
        <v/>
      </c>
    </row>
    <row r="32" spans="1:39" s="463" customFormat="1" ht="4.5" customHeight="1" thickBot="1" x14ac:dyDescent="0.3">
      <c r="W32" s="464"/>
      <c r="X32" s="464"/>
      <c r="Y32" s="464"/>
      <c r="Z32" s="464"/>
      <c r="AA32" s="464"/>
      <c r="AB32" s="464"/>
      <c r="AC32" s="464"/>
      <c r="AD32" s="464"/>
      <c r="AE32" s="464"/>
      <c r="AF32" s="464"/>
      <c r="AG32" s="464"/>
      <c r="AH32" s="464"/>
      <c r="AI32" s="464"/>
      <c r="AJ32" s="464"/>
      <c r="AK32" s="464"/>
    </row>
    <row r="33" spans="1:41" s="506" customFormat="1" ht="12.75" customHeight="1" x14ac:dyDescent="0.25">
      <c r="A33" s="509" t="s">
        <v>1181</v>
      </c>
      <c r="B33" s="508"/>
      <c r="C33" s="508"/>
      <c r="D33" s="508"/>
      <c r="E33" s="508"/>
      <c r="F33" s="508"/>
      <c r="G33" s="508"/>
      <c r="H33" s="508"/>
      <c r="I33" s="508"/>
      <c r="J33" s="508"/>
      <c r="K33" s="507"/>
      <c r="L33" s="1365" t="s">
        <v>1184</v>
      </c>
      <c r="M33" s="1366"/>
      <c r="N33" s="1366"/>
      <c r="O33" s="1366"/>
      <c r="P33" s="1366"/>
      <c r="Q33" s="1366"/>
      <c r="R33" s="1366"/>
      <c r="S33" s="1366"/>
      <c r="T33" s="1371"/>
      <c r="U33" s="1361" t="s">
        <v>1183</v>
      </c>
      <c r="V33" s="1361"/>
      <c r="W33" s="1361"/>
      <c r="X33" s="1361"/>
      <c r="Y33" s="1361"/>
      <c r="Z33" s="1361"/>
      <c r="AA33" s="1361"/>
      <c r="AB33" s="1362"/>
      <c r="AC33" s="1365" t="s">
        <v>1182</v>
      </c>
      <c r="AD33" s="1366"/>
      <c r="AE33" s="1366"/>
      <c r="AF33" s="1366"/>
      <c r="AG33" s="1366"/>
      <c r="AH33" s="1366"/>
      <c r="AI33" s="1366"/>
      <c r="AJ33" s="1366"/>
      <c r="AK33" s="1367"/>
    </row>
    <row r="34" spans="1:41" s="463" customFormat="1" ht="19.5" customHeight="1" x14ac:dyDescent="0.25">
      <c r="A34" s="895">
        <v>2</v>
      </c>
      <c r="B34" s="896">
        <v>4</v>
      </c>
      <c r="C34" s="896" t="s">
        <v>1149</v>
      </c>
      <c r="D34" s="896" t="str">
        <f>MID(TEXT('Input data'!$F$25,"dd.mm.yyyy"),4,1)</f>
        <v>0</v>
      </c>
      <c r="E34" s="896">
        <v>2</v>
      </c>
      <c r="F34" s="896" t="s">
        <v>1149</v>
      </c>
      <c r="G34" s="896">
        <v>2</v>
      </c>
      <c r="H34" s="896">
        <v>0</v>
      </c>
      <c r="I34" s="896">
        <v>1</v>
      </c>
      <c r="J34" s="896">
        <v>4</v>
      </c>
      <c r="K34" s="505"/>
      <c r="L34" s="1368"/>
      <c r="M34" s="1369"/>
      <c r="N34" s="1369"/>
      <c r="O34" s="1369"/>
      <c r="P34" s="1369"/>
      <c r="Q34" s="1369"/>
      <c r="R34" s="1369"/>
      <c r="S34" s="1369"/>
      <c r="T34" s="1372"/>
      <c r="U34" s="1363"/>
      <c r="V34" s="1363"/>
      <c r="W34" s="1363"/>
      <c r="X34" s="1363"/>
      <c r="Y34" s="1363"/>
      <c r="Z34" s="1363"/>
      <c r="AA34" s="1363"/>
      <c r="AB34" s="1364"/>
      <c r="AC34" s="1368"/>
      <c r="AD34" s="1369"/>
      <c r="AE34" s="1369"/>
      <c r="AF34" s="1369"/>
      <c r="AG34" s="1369"/>
      <c r="AH34" s="1369"/>
      <c r="AI34" s="1369"/>
      <c r="AJ34" s="1369"/>
      <c r="AK34" s="1370"/>
      <c r="AO34" s="602"/>
    </row>
    <row r="35" spans="1:41" s="463" customFormat="1" ht="13.5" customHeight="1" x14ac:dyDescent="0.25">
      <c r="A35" s="504"/>
      <c r="B35" s="503"/>
      <c r="C35" s="503"/>
      <c r="D35" s="503"/>
      <c r="E35" s="503"/>
      <c r="F35" s="503"/>
      <c r="G35" s="502"/>
      <c r="H35" s="502"/>
      <c r="I35" s="502"/>
      <c r="J35" s="502"/>
      <c r="K35" s="501"/>
      <c r="L35" s="1368"/>
      <c r="M35" s="1369"/>
      <c r="N35" s="1369"/>
      <c r="O35" s="1369"/>
      <c r="P35" s="1369"/>
      <c r="Q35" s="1369"/>
      <c r="R35" s="1369"/>
      <c r="S35" s="1369"/>
      <c r="T35" s="1372"/>
      <c r="U35" s="1363"/>
      <c r="V35" s="1363"/>
      <c r="W35" s="1363"/>
      <c r="X35" s="1363"/>
      <c r="Y35" s="1363"/>
      <c r="Z35" s="1363"/>
      <c r="AA35" s="1363"/>
      <c r="AB35" s="1364"/>
      <c r="AC35" s="1368"/>
      <c r="AD35" s="1369"/>
      <c r="AE35" s="1369"/>
      <c r="AF35" s="1369"/>
      <c r="AG35" s="1369"/>
      <c r="AH35" s="1369"/>
      <c r="AI35" s="1369"/>
      <c r="AJ35" s="1369"/>
      <c r="AK35" s="1370"/>
    </row>
    <row r="36" spans="1:41" s="463" customFormat="1" x14ac:dyDescent="0.2">
      <c r="A36" s="475" t="s">
        <v>1185</v>
      </c>
      <c r="B36" s="474"/>
      <c r="C36" s="474"/>
      <c r="D36" s="474"/>
      <c r="E36" s="474"/>
      <c r="F36" s="474"/>
      <c r="G36" s="500"/>
      <c r="H36" s="500"/>
      <c r="I36" s="500"/>
      <c r="J36" s="500"/>
      <c r="K36" s="499"/>
      <c r="L36" s="498"/>
      <c r="M36" s="498"/>
      <c r="N36" s="498"/>
      <c r="O36" s="498"/>
      <c r="P36" s="498"/>
      <c r="Q36" s="498"/>
      <c r="R36" s="498"/>
      <c r="S36" s="474"/>
      <c r="T36" s="496"/>
      <c r="U36" s="497"/>
      <c r="V36" s="497"/>
      <c r="W36" s="497"/>
      <c r="X36" s="497"/>
      <c r="Y36" s="497"/>
      <c r="Z36" s="471"/>
      <c r="AA36" s="497"/>
      <c r="AB36" s="496"/>
      <c r="AC36" s="495"/>
      <c r="AD36" s="494"/>
      <c r="AE36" s="494"/>
      <c r="AF36" s="494"/>
      <c r="AG36" s="494"/>
      <c r="AH36" s="494"/>
      <c r="AI36" s="494"/>
      <c r="AJ36" s="494"/>
      <c r="AK36" s="493"/>
    </row>
    <row r="37" spans="1:41" s="463" customFormat="1" ht="19.5" customHeight="1" x14ac:dyDescent="0.25">
      <c r="A37" s="492" t="str">
        <f>IF('Input data'!$F$27="","",LEFT(TEXT('Input data'!$F$27,"dd.mm.yyyy"),1))</f>
        <v/>
      </c>
      <c r="B37" s="491" t="str">
        <f>IF('Input data'!$F$27="","",MID(TEXT('Input data'!$F$27,"dd.mm.yyyy"),2,1))</f>
        <v/>
      </c>
      <c r="C37" s="490" t="s">
        <v>1149</v>
      </c>
      <c r="D37" s="491" t="str">
        <f>IF('Input data'!$F$27="","",MID(TEXT('Input data'!$F$27,"dd.mm.yyyy"),4,1))</f>
        <v/>
      </c>
      <c r="E37" s="491" t="str">
        <f>IF('Input data'!$F$27="","",MID(TEXT('Input data'!$F$27,"dd.mm.yyyy"),5,1))</f>
        <v/>
      </c>
      <c r="F37" s="490" t="s">
        <v>1149</v>
      </c>
      <c r="G37" s="489" t="str">
        <f>IF('Input data'!$F$27="","",MID(TEXT('Input data'!$F$27,"dd.mm.yyyy"),7,1))</f>
        <v/>
      </c>
      <c r="H37" s="489" t="str">
        <f>IF('Input data'!$F$27="","",MID(TEXT('Input data'!$F$27,"dd.mm.yyyy"),8,1))</f>
        <v/>
      </c>
      <c r="I37" s="489" t="str">
        <f>IF('Input data'!$F$27="","",MID(TEXT('Input data'!$F$27,"dd.mm.yyyy"),9,1))</f>
        <v/>
      </c>
      <c r="J37" s="489" t="str">
        <f>IF('Input data'!$F$27="","",MID(TEXT('Input data'!$F$27,"dd.mm.yyyy"),10,1))</f>
        <v/>
      </c>
      <c r="K37" s="488"/>
      <c r="L37" s="474"/>
      <c r="M37" s="474"/>
      <c r="N37" s="474"/>
      <c r="O37" s="474"/>
      <c r="P37" s="474"/>
      <c r="Q37" s="474"/>
      <c r="R37" s="474"/>
      <c r="S37" s="474"/>
      <c r="T37" s="601"/>
      <c r="U37" s="474"/>
      <c r="V37" s="471"/>
      <c r="W37" s="471"/>
      <c r="X37" s="471"/>
      <c r="Y37" s="471"/>
      <c r="Z37" s="471"/>
      <c r="AA37" s="471"/>
      <c r="AB37" s="600"/>
      <c r="AC37" s="471"/>
      <c r="AD37" s="471"/>
      <c r="AE37" s="471"/>
      <c r="AF37" s="471"/>
      <c r="AG37" s="471"/>
      <c r="AH37" s="471"/>
      <c r="AI37" s="471"/>
      <c r="AJ37" s="471"/>
      <c r="AK37" s="470"/>
    </row>
    <row r="38" spans="1:41" s="469" customFormat="1" thickBot="1" x14ac:dyDescent="0.3">
      <c r="A38" s="484"/>
      <c r="B38" s="483"/>
      <c r="C38" s="483"/>
      <c r="D38" s="483"/>
      <c r="E38" s="483"/>
      <c r="F38" s="483"/>
      <c r="G38" s="483"/>
      <c r="H38" s="483"/>
      <c r="I38" s="483"/>
      <c r="J38" s="483"/>
      <c r="K38" s="482"/>
      <c r="L38" s="1358"/>
      <c r="M38" s="1359"/>
      <c r="N38" s="1359"/>
      <c r="O38" s="1359"/>
      <c r="P38" s="1359"/>
      <c r="Q38" s="1359"/>
      <c r="R38" s="1359"/>
      <c r="S38" s="1359"/>
      <c r="T38" s="1360"/>
      <c r="U38" s="1358"/>
      <c r="V38" s="1359"/>
      <c r="W38" s="1359"/>
      <c r="X38" s="1359"/>
      <c r="Y38" s="1359"/>
      <c r="Z38" s="1359"/>
      <c r="AA38" s="1359"/>
      <c r="AB38" s="1360"/>
      <c r="AC38" s="1373"/>
      <c r="AD38" s="1359"/>
      <c r="AE38" s="1359"/>
      <c r="AF38" s="1359"/>
      <c r="AG38" s="1359"/>
      <c r="AH38" s="1359"/>
      <c r="AI38" s="1359"/>
      <c r="AJ38" s="1359"/>
      <c r="AK38" s="1374"/>
    </row>
    <row r="39" spans="1:41" s="469" customFormat="1" x14ac:dyDescent="0.25">
      <c r="W39" s="464"/>
      <c r="X39" s="464"/>
      <c r="Y39" s="464"/>
      <c r="Z39" s="464"/>
      <c r="AA39" s="464"/>
      <c r="AB39" s="464"/>
      <c r="AC39" s="464"/>
      <c r="AD39" s="464"/>
      <c r="AE39" s="464"/>
      <c r="AF39" s="464"/>
      <c r="AG39" s="464"/>
      <c r="AH39" s="464"/>
      <c r="AI39" s="464"/>
      <c r="AJ39" s="464"/>
      <c r="AK39" s="464"/>
    </row>
    <row r="40" spans="1:41" s="469" customFormat="1" x14ac:dyDescent="0.25">
      <c r="W40" s="464"/>
      <c r="X40" s="464"/>
      <c r="Y40" s="464"/>
      <c r="Z40" s="464"/>
      <c r="AA40" s="464"/>
      <c r="AB40" s="464"/>
      <c r="AC40" s="464"/>
      <c r="AD40" s="464"/>
      <c r="AE40" s="464"/>
      <c r="AF40" s="464"/>
      <c r="AG40" s="464"/>
      <c r="AH40" s="464"/>
      <c r="AI40" s="464"/>
      <c r="AJ40" s="464"/>
      <c r="AK40" s="464"/>
    </row>
    <row r="41" spans="1:41" s="469" customFormat="1" x14ac:dyDescent="0.25">
      <c r="W41" s="464"/>
      <c r="X41" s="464"/>
      <c r="Y41" s="464"/>
      <c r="Z41" s="464"/>
      <c r="AA41" s="464"/>
      <c r="AB41" s="464"/>
      <c r="AC41" s="464"/>
      <c r="AD41" s="464"/>
      <c r="AE41" s="464"/>
      <c r="AF41" s="464"/>
      <c r="AG41" s="464"/>
      <c r="AH41" s="464"/>
      <c r="AI41" s="464"/>
      <c r="AJ41" s="464"/>
      <c r="AK41" s="464"/>
    </row>
    <row r="42" spans="1:41" ht="13.5" thickBot="1" x14ac:dyDescent="0.3">
      <c r="W42" s="464"/>
      <c r="X42" s="464"/>
      <c r="Y42" s="464"/>
      <c r="Z42" s="464"/>
      <c r="AA42" s="464"/>
      <c r="AB42" s="464"/>
      <c r="AC42" s="464"/>
      <c r="AD42" s="464"/>
      <c r="AE42" s="464"/>
      <c r="AF42" s="464"/>
      <c r="AG42" s="464"/>
      <c r="AH42" s="464"/>
      <c r="AI42" s="464"/>
      <c r="AJ42" s="464"/>
      <c r="AK42" s="464"/>
    </row>
    <row r="43" spans="1:41" s="469" customFormat="1" x14ac:dyDescent="0.25">
      <c r="B43" s="481" t="s">
        <v>1186</v>
      </c>
      <c r="C43" s="480"/>
      <c r="D43" s="480"/>
      <c r="E43" s="480"/>
      <c r="F43" s="480"/>
      <c r="G43" s="480"/>
      <c r="H43" s="480"/>
      <c r="I43" s="480"/>
      <c r="J43" s="480"/>
      <c r="K43" s="480"/>
      <c r="L43" s="480"/>
      <c r="M43" s="480"/>
      <c r="N43" s="480"/>
      <c r="O43" s="480"/>
      <c r="P43" s="480"/>
      <c r="Q43" s="480"/>
      <c r="R43" s="480"/>
      <c r="S43" s="480"/>
      <c r="T43" s="480"/>
      <c r="U43" s="480"/>
      <c r="V43" s="480"/>
      <c r="W43" s="479"/>
      <c r="X43" s="479"/>
      <c r="Y43" s="479"/>
      <c r="Z43" s="479"/>
      <c r="AA43" s="479"/>
      <c r="AB43" s="479"/>
      <c r="AC43" s="479"/>
      <c r="AD43" s="479"/>
      <c r="AE43" s="479"/>
      <c r="AF43" s="479"/>
      <c r="AG43" s="479"/>
      <c r="AH43" s="479"/>
      <c r="AI43" s="479"/>
      <c r="AJ43" s="478"/>
      <c r="AK43" s="464"/>
    </row>
    <row r="44" spans="1:41" s="469" customFormat="1" x14ac:dyDescent="0.25">
      <c r="B44" s="473"/>
      <c r="C44" s="472"/>
      <c r="D44" s="472"/>
      <c r="E44" s="472"/>
      <c r="F44" s="472"/>
      <c r="G44" s="472"/>
      <c r="H44" s="472"/>
      <c r="I44" s="472"/>
      <c r="J44" s="472"/>
      <c r="K44" s="472"/>
      <c r="L44" s="472"/>
      <c r="M44" s="472"/>
      <c r="N44" s="472"/>
      <c r="O44" s="472"/>
      <c r="P44" s="472"/>
      <c r="Q44" s="472"/>
      <c r="R44" s="472"/>
      <c r="S44" s="472"/>
      <c r="T44" s="472"/>
      <c r="U44" s="472"/>
      <c r="V44" s="472"/>
      <c r="W44" s="471"/>
      <c r="X44" s="471"/>
      <c r="Y44" s="471"/>
      <c r="Z44" s="471"/>
      <c r="AA44" s="471"/>
      <c r="AB44" s="471"/>
      <c r="AC44" s="471"/>
      <c r="AD44" s="471"/>
      <c r="AE44" s="471"/>
      <c r="AF44" s="471"/>
      <c r="AG44" s="471"/>
      <c r="AH44" s="471"/>
      <c r="AI44" s="471"/>
      <c r="AJ44" s="470"/>
      <c r="AK44" s="464"/>
    </row>
    <row r="45" spans="1:41" x14ac:dyDescent="0.25">
      <c r="B45" s="477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1"/>
      <c r="X45" s="471"/>
      <c r="Y45" s="471"/>
      <c r="Z45" s="471"/>
      <c r="AA45" s="471"/>
      <c r="AB45" s="471"/>
      <c r="AC45" s="471"/>
      <c r="AD45" s="471"/>
      <c r="AE45" s="471"/>
      <c r="AF45" s="471"/>
      <c r="AG45" s="471"/>
      <c r="AH45" s="471"/>
      <c r="AI45" s="471"/>
      <c r="AJ45" s="470"/>
      <c r="AK45" s="464"/>
    </row>
    <row r="46" spans="1:41" s="469" customFormat="1" x14ac:dyDescent="0.25">
      <c r="B46" s="473"/>
      <c r="C46" s="472"/>
      <c r="D46" s="472"/>
      <c r="E46" s="472"/>
      <c r="F46" s="472"/>
      <c r="G46" s="472"/>
      <c r="H46" s="472"/>
      <c r="I46" s="472"/>
      <c r="J46" s="472"/>
      <c r="K46" s="472"/>
      <c r="L46" s="472"/>
      <c r="M46" s="472"/>
      <c r="N46" s="472"/>
      <c r="O46" s="472"/>
      <c r="P46" s="472"/>
      <c r="Q46" s="472"/>
      <c r="R46" s="472"/>
      <c r="S46" s="472"/>
      <c r="T46" s="472"/>
      <c r="U46" s="472"/>
      <c r="V46" s="472"/>
      <c r="W46" s="471"/>
      <c r="X46" s="471"/>
      <c r="Y46" s="471"/>
      <c r="Z46" s="471"/>
      <c r="AA46" s="471"/>
      <c r="AB46" s="471"/>
      <c r="AC46" s="471"/>
      <c r="AD46" s="471"/>
      <c r="AE46" s="471"/>
      <c r="AF46" s="471"/>
      <c r="AG46" s="471"/>
      <c r="AH46" s="471"/>
      <c r="AI46" s="471"/>
      <c r="AJ46" s="470"/>
      <c r="AK46" s="464"/>
    </row>
    <row r="47" spans="1:41" s="463" customFormat="1" x14ac:dyDescent="0.25">
      <c r="B47" s="475"/>
      <c r="C47" s="474"/>
      <c r="D47" s="474"/>
      <c r="E47" s="474"/>
      <c r="F47" s="474"/>
      <c r="G47" s="474"/>
      <c r="H47" s="474"/>
      <c r="I47" s="474"/>
      <c r="J47" s="474"/>
      <c r="K47" s="474"/>
      <c r="L47" s="474"/>
      <c r="M47" s="474"/>
      <c r="N47" s="474"/>
      <c r="O47" s="474"/>
      <c r="P47" s="474"/>
      <c r="Q47" s="474"/>
      <c r="R47" s="474"/>
      <c r="S47" s="474"/>
      <c r="T47" s="474"/>
      <c r="U47" s="474"/>
      <c r="V47" s="474"/>
      <c r="W47" s="471"/>
      <c r="X47" s="471"/>
      <c r="Y47" s="471"/>
      <c r="Z47" s="471"/>
      <c r="AA47" s="471"/>
      <c r="AB47" s="471"/>
      <c r="AC47" s="471"/>
      <c r="AD47" s="471"/>
      <c r="AE47" s="471"/>
      <c r="AF47" s="471"/>
      <c r="AG47" s="471"/>
      <c r="AH47" s="471"/>
      <c r="AI47" s="471"/>
      <c r="AJ47" s="470"/>
      <c r="AK47" s="464"/>
    </row>
    <row r="48" spans="1:41" s="463" customFormat="1" x14ac:dyDescent="0.25">
      <c r="B48" s="475"/>
      <c r="C48" s="474"/>
      <c r="D48" s="474"/>
      <c r="E48" s="474"/>
      <c r="F48" s="474"/>
      <c r="G48" s="474"/>
      <c r="H48" s="474"/>
      <c r="I48" s="474"/>
      <c r="J48" s="474"/>
      <c r="K48" s="474"/>
      <c r="L48" s="474"/>
      <c r="M48" s="474"/>
      <c r="N48" s="474"/>
      <c r="O48" s="474"/>
      <c r="P48" s="474"/>
      <c r="Q48" s="474"/>
      <c r="R48" s="474"/>
      <c r="S48" s="474"/>
      <c r="T48" s="474"/>
      <c r="U48" s="474"/>
      <c r="V48" s="474"/>
      <c r="W48" s="471"/>
      <c r="X48" s="471"/>
      <c r="Y48" s="471"/>
      <c r="Z48" s="471"/>
      <c r="AA48" s="471"/>
      <c r="AB48" s="471"/>
      <c r="AC48" s="471"/>
      <c r="AD48" s="471"/>
      <c r="AE48" s="471"/>
      <c r="AF48" s="471"/>
      <c r="AG48" s="471"/>
      <c r="AH48" s="471"/>
      <c r="AI48" s="471"/>
      <c r="AJ48" s="470"/>
      <c r="AK48" s="464"/>
    </row>
    <row r="49" spans="1:39" s="469" customFormat="1" x14ac:dyDescent="0.25">
      <c r="B49" s="473"/>
      <c r="C49" s="472"/>
      <c r="D49" s="472"/>
      <c r="E49" s="472"/>
      <c r="F49" s="472"/>
      <c r="G49" s="472"/>
      <c r="H49" s="472"/>
      <c r="I49" s="472"/>
      <c r="J49" s="472"/>
      <c r="K49" s="472"/>
      <c r="L49" s="472"/>
      <c r="M49" s="472"/>
      <c r="N49" s="472"/>
      <c r="O49" s="472"/>
      <c r="P49" s="472"/>
      <c r="Q49" s="472"/>
      <c r="R49" s="472"/>
      <c r="S49" s="472"/>
      <c r="T49" s="472"/>
      <c r="U49" s="472"/>
      <c r="V49" s="472"/>
      <c r="W49" s="471"/>
      <c r="X49" s="471"/>
      <c r="Y49" s="471"/>
      <c r="Z49" s="471"/>
      <c r="AA49" s="471"/>
      <c r="AB49" s="471"/>
      <c r="AC49" s="471"/>
      <c r="AD49" s="471"/>
      <c r="AE49" s="471"/>
      <c r="AF49" s="471"/>
      <c r="AG49" s="471"/>
      <c r="AH49" s="471"/>
      <c r="AI49" s="471"/>
      <c r="AJ49" s="470"/>
      <c r="AK49" s="464"/>
    </row>
    <row r="50" spans="1:39" s="469" customFormat="1" x14ac:dyDescent="0.25">
      <c r="B50" s="473"/>
      <c r="C50" s="472"/>
      <c r="D50" s="472"/>
      <c r="E50" s="472"/>
      <c r="F50" s="472"/>
      <c r="G50" s="472"/>
      <c r="H50" s="472"/>
      <c r="I50" s="472"/>
      <c r="J50" s="472"/>
      <c r="K50" s="472"/>
      <c r="L50" s="472"/>
      <c r="M50" s="472"/>
      <c r="N50" s="472"/>
      <c r="O50" s="472"/>
      <c r="P50" s="472"/>
      <c r="Q50" s="472"/>
      <c r="R50" s="472"/>
      <c r="S50" s="472"/>
      <c r="T50" s="472"/>
      <c r="U50" s="472"/>
      <c r="V50" s="472"/>
      <c r="W50" s="471"/>
      <c r="X50" s="471"/>
      <c r="Y50" s="471"/>
      <c r="Z50" s="471"/>
      <c r="AA50" s="471"/>
      <c r="AB50" s="471"/>
      <c r="AC50" s="471"/>
      <c r="AD50" s="471"/>
      <c r="AE50" s="471"/>
      <c r="AF50" s="471"/>
      <c r="AG50" s="471"/>
      <c r="AH50" s="471"/>
      <c r="AI50" s="471"/>
      <c r="AJ50" s="470"/>
      <c r="AK50" s="464"/>
    </row>
    <row r="51" spans="1:39" s="469" customFormat="1" x14ac:dyDescent="0.25">
      <c r="B51" s="473"/>
      <c r="C51" s="472"/>
      <c r="D51" s="472"/>
      <c r="E51" s="472"/>
      <c r="F51" s="472"/>
      <c r="G51" s="472"/>
      <c r="H51" s="472"/>
      <c r="I51" s="472"/>
      <c r="J51" s="472"/>
      <c r="K51" s="472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1"/>
      <c r="X51" s="471"/>
      <c r="Y51" s="471"/>
      <c r="Z51" s="471"/>
      <c r="AA51" s="471"/>
      <c r="AB51" s="471"/>
      <c r="AC51" s="471"/>
      <c r="AD51" s="471"/>
      <c r="AE51" s="471"/>
      <c r="AF51" s="471"/>
      <c r="AG51" s="471"/>
      <c r="AH51" s="471"/>
      <c r="AI51" s="471"/>
      <c r="AJ51" s="470"/>
      <c r="AK51" s="464"/>
    </row>
    <row r="52" spans="1:39" s="469" customFormat="1" x14ac:dyDescent="0.25">
      <c r="B52" s="473"/>
      <c r="C52" s="472"/>
      <c r="D52" s="472"/>
      <c r="E52" s="472"/>
      <c r="F52" s="472"/>
      <c r="G52" s="472"/>
      <c r="H52" s="472"/>
      <c r="I52" s="472"/>
      <c r="J52" s="472"/>
      <c r="K52" s="472"/>
      <c r="L52" s="472"/>
      <c r="M52" s="472"/>
      <c r="N52" s="472"/>
      <c r="O52" s="472"/>
      <c r="P52" s="472"/>
      <c r="Q52" s="472"/>
      <c r="R52" s="472"/>
      <c r="S52" s="472"/>
      <c r="T52" s="472"/>
      <c r="U52" s="472"/>
      <c r="V52" s="472"/>
      <c r="W52" s="471"/>
      <c r="X52" s="471"/>
      <c r="Y52" s="471"/>
      <c r="Z52" s="471"/>
      <c r="AA52" s="471"/>
      <c r="AB52" s="471"/>
      <c r="AC52" s="471"/>
      <c r="AD52" s="471"/>
      <c r="AE52" s="471"/>
      <c r="AF52" s="471"/>
      <c r="AG52" s="471"/>
      <c r="AH52" s="471"/>
      <c r="AI52" s="471"/>
      <c r="AJ52" s="470"/>
      <c r="AK52" s="464"/>
    </row>
    <row r="53" spans="1:39" s="463" customFormat="1" ht="13.5" thickBot="1" x14ac:dyDescent="0.3">
      <c r="B53" s="468"/>
      <c r="C53" s="467"/>
      <c r="D53" s="467"/>
      <c r="E53" s="467"/>
      <c r="F53" s="467"/>
      <c r="G53" s="467" t="s">
        <v>1187</v>
      </c>
      <c r="H53" s="467"/>
      <c r="I53" s="467"/>
      <c r="J53" s="467"/>
      <c r="K53" s="467"/>
      <c r="L53" s="467"/>
      <c r="M53" s="467"/>
      <c r="N53" s="467"/>
      <c r="O53" s="467"/>
      <c r="P53" s="467"/>
      <c r="Q53" s="467"/>
      <c r="R53" s="467"/>
      <c r="S53" s="467"/>
      <c r="T53" s="467"/>
      <c r="U53" s="467" t="s">
        <v>1188</v>
      </c>
      <c r="V53" s="467"/>
      <c r="W53" s="466"/>
      <c r="X53" s="466"/>
      <c r="Y53" s="466"/>
      <c r="Z53" s="466"/>
      <c r="AA53" s="466"/>
      <c r="AB53" s="466"/>
      <c r="AC53" s="466"/>
      <c r="AD53" s="466"/>
      <c r="AE53" s="466"/>
      <c r="AF53" s="466"/>
      <c r="AG53" s="466"/>
      <c r="AH53" s="466"/>
      <c r="AI53" s="466"/>
      <c r="AJ53" s="465"/>
      <c r="AK53" s="464"/>
    </row>
    <row r="55" spans="1:39" x14ac:dyDescent="0.25">
      <c r="A55" s="572"/>
      <c r="B55" s="572"/>
      <c r="C55" s="573"/>
      <c r="D55" s="572"/>
      <c r="E55" s="572"/>
      <c r="F55" s="572"/>
      <c r="G55" s="572"/>
      <c r="H55" s="572"/>
      <c r="I55" s="572"/>
      <c r="J55" s="572"/>
      <c r="K55" s="572"/>
      <c r="L55" s="572"/>
      <c r="M55" s="572"/>
      <c r="N55" s="572"/>
      <c r="O55" s="572"/>
      <c r="P55" s="572"/>
      <c r="Q55" s="572"/>
      <c r="R55" s="572"/>
      <c r="S55" s="572"/>
      <c r="T55" s="572"/>
      <c r="U55" s="572"/>
      <c r="V55" s="572"/>
      <c r="W55" s="572"/>
      <c r="X55" s="572"/>
      <c r="Y55" s="572"/>
      <c r="Z55" s="572"/>
      <c r="AA55" s="572"/>
      <c r="AB55" s="572"/>
      <c r="AC55" s="572"/>
      <c r="AD55" s="572"/>
      <c r="AE55" s="572"/>
      <c r="AF55" s="572"/>
      <c r="AG55" s="572"/>
      <c r="AH55" s="572"/>
      <c r="AI55" s="572"/>
      <c r="AJ55" s="572"/>
      <c r="AK55" s="572"/>
      <c r="AL55" s="572"/>
      <c r="AM55" s="572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zoomScaleNormal="100" zoomScaleSheetLayoutView="100" workbookViewId="0">
      <selection activeCell="A2" sqref="A2"/>
    </sheetView>
  </sheetViews>
  <sheetFormatPr defaultColWidth="9.140625" defaultRowHeight="10.5" x14ac:dyDescent="0.25"/>
  <cols>
    <col min="1" max="1" width="4.42578125" style="608" customWidth="1"/>
    <col min="2" max="2" width="37.5703125" style="608" customWidth="1"/>
    <col min="3" max="3" width="1.42578125" style="608" customWidth="1"/>
    <col min="4" max="4" width="6.42578125" style="608" customWidth="1"/>
    <col min="5" max="6" width="29.5703125" style="608" customWidth="1"/>
    <col min="7" max="16384" width="9.140625" style="608"/>
  </cols>
  <sheetData>
    <row r="1" spans="1:10" s="574" customFormat="1" ht="7.5" customHeight="1" x14ac:dyDescent="0.25">
      <c r="A1" s="573"/>
      <c r="G1" s="517"/>
      <c r="H1" s="517"/>
    </row>
    <row r="2" spans="1:10" s="574" customFormat="1" ht="17.25" customHeight="1" x14ac:dyDescent="0.25">
      <c r="A2" s="573"/>
      <c r="B2" s="599" t="s">
        <v>1321</v>
      </c>
      <c r="C2" s="517"/>
      <c r="D2" s="598" t="s">
        <v>1320</v>
      </c>
      <c r="E2" s="654" t="str">
        <f>" "&amp;'BS-SK Cover sheet'!A11&amp;"  "&amp;'BS-SK Cover sheet'!B11&amp;"  "&amp;'BS-SK Cover sheet'!C11&amp;"  "&amp;'BS-SK Cover sheet'!D11&amp;"  "&amp;'BS-SK Cover sheet'!E11&amp;"  "&amp;'BS-SK Cover sheet'!F11&amp;"  "&amp;'BS-SK Cover sheet'!G11&amp;"  "&amp;'BS-SK Cover sheet'!H11&amp;"  "&amp;'BS-SK Cover sheet'!I11&amp;"  "&amp;'BS-SK Cover sheet'!J11</f>
        <v xml:space="preserve"> 2  0  2  0  3  1  3  9  4  4</v>
      </c>
    </row>
    <row r="3" spans="1:10" s="574" customFormat="1" ht="7.5" customHeight="1" thickBot="1" x14ac:dyDescent="0.3">
      <c r="A3" s="573"/>
      <c r="B3" s="653"/>
      <c r="C3" s="517"/>
    </row>
    <row r="4" spans="1:10" s="633" customFormat="1" ht="11.25" customHeight="1" x14ac:dyDescent="0.25">
      <c r="A4" s="652"/>
      <c r="B4" s="651"/>
      <c r="C4" s="650"/>
      <c r="D4" s="649"/>
      <c r="E4" s="1424" t="s">
        <v>1388</v>
      </c>
      <c r="F4" s="1448"/>
    </row>
    <row r="5" spans="1:10" s="633" customFormat="1" ht="33.75" customHeight="1" x14ac:dyDescent="0.15">
      <c r="A5" s="648" t="s">
        <v>1223</v>
      </c>
      <c r="B5" s="647" t="s">
        <v>1387</v>
      </c>
      <c r="C5" s="646"/>
      <c r="D5" s="645" t="s">
        <v>1221</v>
      </c>
      <c r="E5" s="644" t="s">
        <v>1386</v>
      </c>
      <c r="F5" s="643" t="s">
        <v>1385</v>
      </c>
    </row>
    <row r="6" spans="1:10" s="633" customFormat="1" ht="29.65" customHeight="1" x14ac:dyDescent="0.25">
      <c r="A6" s="578" t="s">
        <v>813</v>
      </c>
      <c r="B6" s="614" t="s">
        <v>1384</v>
      </c>
      <c r="C6" s="613"/>
      <c r="D6" s="575" t="s">
        <v>814</v>
      </c>
      <c r="E6" s="591">
        <f>'P&amp;L'!D9</f>
        <v>0</v>
      </c>
      <c r="F6" s="612">
        <f>'P&amp;L'!E9</f>
        <v>0</v>
      </c>
    </row>
    <row r="7" spans="1:10" s="633" customFormat="1" ht="29.65" customHeight="1" x14ac:dyDescent="0.25">
      <c r="A7" s="578" t="s">
        <v>815</v>
      </c>
      <c r="B7" s="614" t="s">
        <v>1383</v>
      </c>
      <c r="C7" s="613"/>
      <c r="D7" s="575" t="s">
        <v>817</v>
      </c>
      <c r="E7" s="673">
        <f>'P&amp;L'!D10</f>
        <v>0</v>
      </c>
      <c r="F7" s="612">
        <f>'P&amp;L'!E10</f>
        <v>0</v>
      </c>
    </row>
    <row r="8" spans="1:10" s="638" customFormat="1" ht="29.65" customHeight="1" x14ac:dyDescent="0.25">
      <c r="A8" s="579" t="s">
        <v>818</v>
      </c>
      <c r="B8" s="616" t="s">
        <v>1382</v>
      </c>
      <c r="C8" s="615"/>
      <c r="D8" s="585" t="s">
        <v>820</v>
      </c>
      <c r="E8" s="673">
        <f>'P&amp;L'!D11</f>
        <v>0</v>
      </c>
      <c r="F8" s="612">
        <f>'P&amp;L'!E11</f>
        <v>0</v>
      </c>
    </row>
    <row r="9" spans="1:10" s="638" customFormat="1" ht="29.65" customHeight="1" x14ac:dyDescent="0.25">
      <c r="A9" s="579" t="s">
        <v>821</v>
      </c>
      <c r="B9" s="616" t="s">
        <v>1381</v>
      </c>
      <c r="C9" s="615"/>
      <c r="D9" s="585" t="s">
        <v>823</v>
      </c>
      <c r="E9" s="673">
        <f>'P&amp;L'!D12</f>
        <v>0</v>
      </c>
      <c r="F9" s="612">
        <f>'P&amp;L'!E12</f>
        <v>0</v>
      </c>
    </row>
    <row r="10" spans="1:10" s="633" customFormat="1" ht="29.65" customHeight="1" x14ac:dyDescent="0.25">
      <c r="A10" s="577" t="s">
        <v>824</v>
      </c>
      <c r="B10" s="614" t="s">
        <v>1380</v>
      </c>
      <c r="C10" s="613"/>
      <c r="D10" s="575" t="s">
        <v>826</v>
      </c>
      <c r="E10" s="673">
        <f>'P&amp;L'!D13</f>
        <v>0</v>
      </c>
      <c r="F10" s="612">
        <f>'P&amp;L'!E13</f>
        <v>0</v>
      </c>
    </row>
    <row r="11" spans="1:10" s="633" customFormat="1" ht="29.65" customHeight="1" x14ac:dyDescent="0.25">
      <c r="A11" s="577" t="s">
        <v>532</v>
      </c>
      <c r="B11" s="614" t="s">
        <v>1379</v>
      </c>
      <c r="C11" s="613"/>
      <c r="D11" s="575" t="s">
        <v>828</v>
      </c>
      <c r="E11" s="673">
        <f>'P&amp;L'!D14</f>
        <v>0</v>
      </c>
      <c r="F11" s="612">
        <f>'P&amp;L'!E14</f>
        <v>0</v>
      </c>
    </row>
    <row r="12" spans="1:10" s="633" customFormat="1" ht="29.65" customHeight="1" x14ac:dyDescent="0.25">
      <c r="A12" s="577" t="s">
        <v>535</v>
      </c>
      <c r="B12" s="614" t="s">
        <v>1378</v>
      </c>
      <c r="C12" s="613"/>
      <c r="D12" s="575" t="s">
        <v>830</v>
      </c>
      <c r="E12" s="673">
        <f>'P&amp;L'!D15</f>
        <v>0</v>
      </c>
      <c r="F12" s="612">
        <f>'P&amp;L'!E15</f>
        <v>0</v>
      </c>
    </row>
    <row r="13" spans="1:10" s="638" customFormat="1" ht="29.65" customHeight="1" x14ac:dyDescent="0.25">
      <c r="A13" s="579" t="s">
        <v>594</v>
      </c>
      <c r="B13" s="616" t="s">
        <v>1377</v>
      </c>
      <c r="C13" s="615"/>
      <c r="D13" s="585" t="s">
        <v>832</v>
      </c>
      <c r="E13" s="673">
        <f>'P&amp;L'!D16</f>
        <v>0</v>
      </c>
      <c r="F13" s="612">
        <f>'P&amp;L'!E16</f>
        <v>0</v>
      </c>
      <c r="J13" s="633"/>
    </row>
    <row r="14" spans="1:10" s="633" customFormat="1" ht="29.65" customHeight="1" x14ac:dyDescent="0.25">
      <c r="A14" s="578" t="s">
        <v>833</v>
      </c>
      <c r="B14" s="614" t="s">
        <v>1376</v>
      </c>
      <c r="C14" s="613"/>
      <c r="D14" s="575" t="s">
        <v>835</v>
      </c>
      <c r="E14" s="673">
        <f>'P&amp;L'!D17</f>
        <v>0</v>
      </c>
      <c r="F14" s="612">
        <f>'P&amp;L'!E17</f>
        <v>0</v>
      </c>
    </row>
    <row r="15" spans="1:10" s="633" customFormat="1" ht="29.65" customHeight="1" x14ac:dyDescent="0.25">
      <c r="A15" s="578" t="s">
        <v>836</v>
      </c>
      <c r="B15" s="614" t="s">
        <v>1375</v>
      </c>
      <c r="C15" s="613"/>
      <c r="D15" s="575" t="s">
        <v>838</v>
      </c>
      <c r="E15" s="673">
        <f>'P&amp;L'!D18</f>
        <v>0</v>
      </c>
      <c r="F15" s="612">
        <f>'P&amp;L'!E18</f>
        <v>0</v>
      </c>
    </row>
    <row r="16" spans="1:10" s="638" customFormat="1" ht="29.65" customHeight="1" x14ac:dyDescent="0.25">
      <c r="A16" s="579" t="s">
        <v>818</v>
      </c>
      <c r="B16" s="616" t="s">
        <v>1374</v>
      </c>
      <c r="C16" s="615"/>
      <c r="D16" s="585" t="s">
        <v>840</v>
      </c>
      <c r="E16" s="673">
        <f>'P&amp;L'!D19</f>
        <v>0</v>
      </c>
      <c r="F16" s="612">
        <f>'P&amp;L'!E19</f>
        <v>0</v>
      </c>
    </row>
    <row r="17" spans="1:6" s="633" customFormat="1" ht="29.65" customHeight="1" x14ac:dyDescent="0.25">
      <c r="A17" s="578" t="s">
        <v>663</v>
      </c>
      <c r="B17" s="614" t="s">
        <v>1373</v>
      </c>
      <c r="C17" s="613"/>
      <c r="D17" s="575" t="s">
        <v>842</v>
      </c>
      <c r="E17" s="673">
        <f>'P&amp;L'!D20</f>
        <v>0</v>
      </c>
      <c r="F17" s="612">
        <f>'P&amp;L'!E20</f>
        <v>0</v>
      </c>
    </row>
    <row r="18" spans="1:6" s="633" customFormat="1" ht="29.65" customHeight="1" x14ac:dyDescent="0.25">
      <c r="A18" s="578" t="s">
        <v>666</v>
      </c>
      <c r="B18" s="614" t="s">
        <v>1372</v>
      </c>
      <c r="C18" s="613"/>
      <c r="D18" s="575" t="s">
        <v>844</v>
      </c>
      <c r="E18" s="673">
        <f>'P&amp;L'!D21</f>
        <v>0</v>
      </c>
      <c r="F18" s="612">
        <f>'P&amp;L'!E21</f>
        <v>0</v>
      </c>
    </row>
    <row r="19" spans="1:6" s="633" customFormat="1" ht="29.65" customHeight="1" x14ac:dyDescent="0.25">
      <c r="A19" s="578" t="s">
        <v>836</v>
      </c>
      <c r="B19" s="614" t="s">
        <v>1371</v>
      </c>
      <c r="C19" s="613"/>
      <c r="D19" s="575" t="s">
        <v>846</v>
      </c>
      <c r="E19" s="673">
        <f>'P&amp;L'!D22</f>
        <v>0</v>
      </c>
      <c r="F19" s="612">
        <f>'P&amp;L'!E22</f>
        <v>0</v>
      </c>
    </row>
    <row r="20" spans="1:6" s="633" customFormat="1" ht="29.65" customHeight="1" x14ac:dyDescent="0.25">
      <c r="A20" s="578" t="s">
        <v>847</v>
      </c>
      <c r="B20" s="614" t="s">
        <v>1370</v>
      </c>
      <c r="C20" s="613"/>
      <c r="D20" s="575" t="s">
        <v>849</v>
      </c>
      <c r="E20" s="673">
        <f>'P&amp;L'!D23</f>
        <v>0</v>
      </c>
      <c r="F20" s="612">
        <f>'P&amp;L'!E23</f>
        <v>0</v>
      </c>
    </row>
    <row r="21" spans="1:6" s="633" customFormat="1" ht="29.65" customHeight="1" x14ac:dyDescent="0.25">
      <c r="A21" s="578" t="s">
        <v>850</v>
      </c>
      <c r="B21" s="614" t="s">
        <v>1369</v>
      </c>
      <c r="C21" s="613"/>
      <c r="D21" s="575" t="s">
        <v>852</v>
      </c>
      <c r="E21" s="673">
        <f>'P&amp;L'!D24</f>
        <v>0</v>
      </c>
      <c r="F21" s="612">
        <f>'P&amp;L'!E24</f>
        <v>0</v>
      </c>
    </row>
    <row r="22" spans="1:6" s="633" customFormat="1" ht="29.65" customHeight="1" x14ac:dyDescent="0.25">
      <c r="A22" s="578" t="s">
        <v>853</v>
      </c>
      <c r="B22" s="614" t="s">
        <v>1368</v>
      </c>
      <c r="C22" s="613"/>
      <c r="D22" s="575" t="s">
        <v>855</v>
      </c>
      <c r="E22" s="673">
        <f>'P&amp;L'!D25</f>
        <v>0</v>
      </c>
      <c r="F22" s="612">
        <f>'P&amp;L'!E25</f>
        <v>0</v>
      </c>
    </row>
    <row r="23" spans="1:6" s="633" customFormat="1" ht="29.65" customHeight="1" x14ac:dyDescent="0.25">
      <c r="A23" s="578" t="s">
        <v>856</v>
      </c>
      <c r="B23" s="614" t="s">
        <v>1367</v>
      </c>
      <c r="C23" s="613"/>
      <c r="D23" s="575" t="s">
        <v>858</v>
      </c>
      <c r="E23" s="673">
        <f>'P&amp;L'!D26</f>
        <v>0</v>
      </c>
      <c r="F23" s="612">
        <f>'P&amp;L'!E26</f>
        <v>0</v>
      </c>
    </row>
    <row r="24" spans="1:6" s="633" customFormat="1" ht="29.65" customHeight="1" x14ac:dyDescent="0.25">
      <c r="A24" s="578" t="s">
        <v>859</v>
      </c>
      <c r="B24" s="614" t="s">
        <v>1366</v>
      </c>
      <c r="C24" s="613"/>
      <c r="D24" s="575" t="s">
        <v>861</v>
      </c>
      <c r="E24" s="673">
        <f>'P&amp;L'!D27</f>
        <v>0</v>
      </c>
      <c r="F24" s="612">
        <f>'P&amp;L'!E27</f>
        <v>0</v>
      </c>
    </row>
    <row r="25" spans="1:6" s="633" customFormat="1" ht="29.65" customHeight="1" x14ac:dyDescent="0.25">
      <c r="A25" s="578" t="s">
        <v>862</v>
      </c>
      <c r="B25" s="614" t="s">
        <v>1365</v>
      </c>
      <c r="C25" s="613"/>
      <c r="D25" s="575" t="s">
        <v>864</v>
      </c>
      <c r="E25" s="673">
        <f>'P&amp;L'!D28</f>
        <v>0</v>
      </c>
      <c r="F25" s="612">
        <f>'P&amp;L'!E28</f>
        <v>0</v>
      </c>
    </row>
    <row r="26" spans="1:6" s="633" customFormat="1" ht="29.65" customHeight="1" x14ac:dyDescent="0.25">
      <c r="A26" s="578" t="s">
        <v>865</v>
      </c>
      <c r="B26" s="642" t="s">
        <v>1364</v>
      </c>
      <c r="C26" s="641"/>
      <c r="D26" s="575" t="s">
        <v>867</v>
      </c>
      <c r="E26" s="673">
        <f>'P&amp;L'!D29</f>
        <v>0</v>
      </c>
      <c r="F26" s="612">
        <f>'P&amp;L'!E29</f>
        <v>0</v>
      </c>
    </row>
    <row r="27" spans="1:6" s="633" customFormat="1" ht="29.65" customHeight="1" x14ac:dyDescent="0.25">
      <c r="A27" s="578" t="s">
        <v>868</v>
      </c>
      <c r="B27" s="614" t="s">
        <v>1363</v>
      </c>
      <c r="C27" s="613"/>
      <c r="D27" s="575" t="s">
        <v>870</v>
      </c>
      <c r="E27" s="673">
        <f>'P&amp;L'!D30</f>
        <v>0</v>
      </c>
      <c r="F27" s="612">
        <f>'P&amp;L'!E30</f>
        <v>0</v>
      </c>
    </row>
    <row r="28" spans="1:6" s="633" customFormat="1" ht="29.65" customHeight="1" x14ac:dyDescent="0.25">
      <c r="A28" s="578" t="s">
        <v>871</v>
      </c>
      <c r="B28" s="642" t="s">
        <v>1362</v>
      </c>
      <c r="C28" s="641"/>
      <c r="D28" s="575" t="s">
        <v>873</v>
      </c>
      <c r="E28" s="673">
        <f>'P&amp;L'!D31</f>
        <v>0</v>
      </c>
      <c r="F28" s="612">
        <f>'P&amp;L'!E31</f>
        <v>0</v>
      </c>
    </row>
    <row r="29" spans="1:6" s="633" customFormat="1" ht="29.65" customHeight="1" x14ac:dyDescent="0.25">
      <c r="A29" s="578" t="s">
        <v>874</v>
      </c>
      <c r="B29" s="614" t="s">
        <v>1361</v>
      </c>
      <c r="C29" s="613"/>
      <c r="D29" s="575" t="s">
        <v>876</v>
      </c>
      <c r="E29" s="673">
        <f>'P&amp;L'!D32</f>
        <v>0</v>
      </c>
      <c r="F29" s="612">
        <f>'P&amp;L'!E32</f>
        <v>0</v>
      </c>
    </row>
    <row r="30" spans="1:6" s="633" customFormat="1" ht="29.65" customHeight="1" x14ac:dyDescent="0.25">
      <c r="A30" s="578" t="s">
        <v>877</v>
      </c>
      <c r="B30" s="614" t="s">
        <v>1360</v>
      </c>
      <c r="C30" s="613"/>
      <c r="D30" s="575" t="s">
        <v>879</v>
      </c>
      <c r="E30" s="673">
        <f>'P&amp;L'!D33</f>
        <v>0</v>
      </c>
      <c r="F30" s="612">
        <f>'P&amp;L'!E33</f>
        <v>0</v>
      </c>
    </row>
    <row r="31" spans="1:6" s="638" customFormat="1" ht="33.75" customHeight="1" x14ac:dyDescent="0.25">
      <c r="A31" s="579" t="s">
        <v>880</v>
      </c>
      <c r="B31" s="640" t="s">
        <v>1359</v>
      </c>
      <c r="C31" s="639"/>
      <c r="D31" s="585" t="s">
        <v>882</v>
      </c>
      <c r="E31" s="673">
        <f>'P&amp;L'!D34</f>
        <v>0</v>
      </c>
      <c r="F31" s="612">
        <f>'P&amp;L'!E34</f>
        <v>0</v>
      </c>
    </row>
    <row r="32" spans="1:6" s="633" customFormat="1" ht="29.65" customHeight="1" thickBot="1" x14ac:dyDescent="0.3">
      <c r="A32" s="637" t="s">
        <v>883</v>
      </c>
      <c r="B32" s="636" t="s">
        <v>1358</v>
      </c>
      <c r="C32" s="635"/>
      <c r="D32" s="634" t="s">
        <v>885</v>
      </c>
      <c r="E32" s="673">
        <f>'P&amp;L'!D35</f>
        <v>0</v>
      </c>
      <c r="F32" s="612">
        <f>'P&amp;L'!E35</f>
        <v>0</v>
      </c>
    </row>
    <row r="33" spans="1:6" ht="24.75" customHeight="1" x14ac:dyDescent="0.25">
      <c r="A33" s="625" t="s">
        <v>886</v>
      </c>
      <c r="B33" s="624" t="s">
        <v>1357</v>
      </c>
      <c r="C33" s="623"/>
      <c r="D33" s="622" t="s">
        <v>888</v>
      </c>
      <c r="E33" s="673">
        <f>'P&amp;L'!D36</f>
        <v>0</v>
      </c>
      <c r="F33" s="612">
        <f>'P&amp;L'!E36</f>
        <v>0</v>
      </c>
    </row>
    <row r="34" spans="1:6" ht="30.75" customHeight="1" x14ac:dyDescent="0.25">
      <c r="A34" s="625" t="s">
        <v>889</v>
      </c>
      <c r="B34" s="632" t="s">
        <v>1356</v>
      </c>
      <c r="C34" s="631"/>
      <c r="D34" s="622" t="s">
        <v>891</v>
      </c>
      <c r="E34" s="673">
        <f>'P&amp;L'!D37</f>
        <v>0</v>
      </c>
      <c r="F34" s="612">
        <f>'P&amp;L'!E37</f>
        <v>0</v>
      </c>
    </row>
    <row r="35" spans="1:6" ht="36.75" customHeight="1" x14ac:dyDescent="0.25">
      <c r="A35" s="578" t="s">
        <v>892</v>
      </c>
      <c r="B35" s="614" t="s">
        <v>1355</v>
      </c>
      <c r="C35" s="613"/>
      <c r="D35" s="575" t="s">
        <v>894</v>
      </c>
      <c r="E35" s="673">
        <f>'P&amp;L'!D38</f>
        <v>0</v>
      </c>
      <c r="F35" s="612">
        <f>'P&amp;L'!E38</f>
        <v>0</v>
      </c>
    </row>
    <row r="36" spans="1:6" ht="30.75" customHeight="1" x14ac:dyDescent="0.25">
      <c r="A36" s="578" t="s">
        <v>895</v>
      </c>
      <c r="B36" s="614" t="s">
        <v>1354</v>
      </c>
      <c r="C36" s="613"/>
      <c r="D36" s="575" t="s">
        <v>897</v>
      </c>
      <c r="E36" s="673">
        <f>'P&amp;L'!D39</f>
        <v>0</v>
      </c>
      <c r="F36" s="612">
        <f>'P&amp;L'!E39</f>
        <v>0</v>
      </c>
    </row>
    <row r="37" spans="1:6" ht="30" customHeight="1" x14ac:dyDescent="0.25">
      <c r="A37" s="578" t="s">
        <v>898</v>
      </c>
      <c r="B37" s="614" t="s">
        <v>1353</v>
      </c>
      <c r="C37" s="613"/>
      <c r="D37" s="575" t="s">
        <v>900</v>
      </c>
      <c r="E37" s="673">
        <f>'P&amp;L'!D40</f>
        <v>0</v>
      </c>
      <c r="F37" s="612">
        <f>'P&amp;L'!E40</f>
        <v>0</v>
      </c>
    </row>
    <row r="38" spans="1:6" ht="26.25" customHeight="1" x14ac:dyDescent="0.25">
      <c r="A38" s="578" t="s">
        <v>901</v>
      </c>
      <c r="B38" s="614" t="s">
        <v>1352</v>
      </c>
      <c r="C38" s="613"/>
      <c r="D38" s="575" t="s">
        <v>903</v>
      </c>
      <c r="E38" s="673">
        <f>'P&amp;L'!D41</f>
        <v>0</v>
      </c>
      <c r="F38" s="612">
        <f>'P&amp;L'!E41</f>
        <v>0</v>
      </c>
    </row>
    <row r="39" spans="1:6" ht="22.5" customHeight="1" x14ac:dyDescent="0.25">
      <c r="A39" s="578" t="s">
        <v>904</v>
      </c>
      <c r="B39" s="614" t="s">
        <v>1351</v>
      </c>
      <c r="C39" s="613"/>
      <c r="D39" s="575" t="s">
        <v>906</v>
      </c>
      <c r="E39" s="673">
        <f>'P&amp;L'!D42</f>
        <v>0</v>
      </c>
      <c r="F39" s="612">
        <f>'P&amp;L'!E42</f>
        <v>0</v>
      </c>
    </row>
    <row r="40" spans="1:6" ht="30.75" customHeight="1" x14ac:dyDescent="0.25">
      <c r="A40" s="578" t="s">
        <v>907</v>
      </c>
      <c r="B40" s="614" t="s">
        <v>1350</v>
      </c>
      <c r="C40" s="613"/>
      <c r="D40" s="575" t="s">
        <v>909</v>
      </c>
      <c r="E40" s="673">
        <f>'P&amp;L'!D43</f>
        <v>0</v>
      </c>
      <c r="F40" s="612">
        <f>'P&amp;L'!E43</f>
        <v>0</v>
      </c>
    </row>
    <row r="41" spans="1:6" ht="30" customHeight="1" x14ac:dyDescent="0.25">
      <c r="A41" s="578" t="s">
        <v>910</v>
      </c>
      <c r="B41" s="614" t="s">
        <v>1349</v>
      </c>
      <c r="C41" s="613"/>
      <c r="D41" s="575" t="s">
        <v>912</v>
      </c>
      <c r="E41" s="673">
        <f>'P&amp;L'!D44</f>
        <v>0</v>
      </c>
      <c r="F41" s="612">
        <f>'P&amp;L'!E44</f>
        <v>0</v>
      </c>
    </row>
    <row r="42" spans="1:6" ht="32.25" customHeight="1" x14ac:dyDescent="0.25">
      <c r="A42" s="578" t="s">
        <v>913</v>
      </c>
      <c r="B42" s="614" t="s">
        <v>1348</v>
      </c>
      <c r="C42" s="613"/>
      <c r="D42" s="575" t="s">
        <v>915</v>
      </c>
      <c r="E42" s="673">
        <f>'P&amp;L'!D45</f>
        <v>0</v>
      </c>
      <c r="F42" s="612">
        <f>'P&amp;L'!E45</f>
        <v>0</v>
      </c>
    </row>
    <row r="43" spans="1:6" ht="24" customHeight="1" x14ac:dyDescent="0.25">
      <c r="A43" s="578" t="s">
        <v>916</v>
      </c>
      <c r="B43" s="614" t="s">
        <v>1347</v>
      </c>
      <c r="C43" s="613"/>
      <c r="D43" s="575" t="s">
        <v>918</v>
      </c>
      <c r="E43" s="673">
        <f>'P&amp;L'!D46</f>
        <v>0</v>
      </c>
      <c r="F43" s="612">
        <f>'P&amp;L'!E46</f>
        <v>0</v>
      </c>
    </row>
    <row r="44" spans="1:6" ht="26.25" customHeight="1" x14ac:dyDescent="0.25">
      <c r="A44" s="578" t="s">
        <v>919</v>
      </c>
      <c r="B44" s="614" t="s">
        <v>1346</v>
      </c>
      <c r="C44" s="613"/>
      <c r="D44" s="575" t="s">
        <v>921</v>
      </c>
      <c r="E44" s="673">
        <f>'P&amp;L'!D47</f>
        <v>0</v>
      </c>
      <c r="F44" s="612">
        <f>'P&amp;L'!E47</f>
        <v>0</v>
      </c>
    </row>
    <row r="45" spans="1:6" ht="24.75" customHeight="1" x14ac:dyDescent="0.25">
      <c r="A45" s="578" t="s">
        <v>922</v>
      </c>
      <c r="B45" s="614" t="s">
        <v>1345</v>
      </c>
      <c r="C45" s="613"/>
      <c r="D45" s="575" t="s">
        <v>924</v>
      </c>
      <c r="E45" s="673">
        <f>'P&amp;L'!D48</f>
        <v>0</v>
      </c>
      <c r="F45" s="612">
        <f>'P&amp;L'!E48</f>
        <v>0</v>
      </c>
    </row>
    <row r="46" spans="1:6" ht="27" customHeight="1" x14ac:dyDescent="0.25">
      <c r="A46" s="578" t="s">
        <v>925</v>
      </c>
      <c r="B46" s="614" t="s">
        <v>1344</v>
      </c>
      <c r="C46" s="613"/>
      <c r="D46" s="575" t="s">
        <v>927</v>
      </c>
      <c r="E46" s="673">
        <f>'P&amp;L'!D49</f>
        <v>0</v>
      </c>
      <c r="F46" s="612">
        <f>'P&amp;L'!E49</f>
        <v>0</v>
      </c>
    </row>
    <row r="47" spans="1:6" ht="29.25" customHeight="1" x14ac:dyDescent="0.25">
      <c r="A47" s="578" t="s">
        <v>928</v>
      </c>
      <c r="B47" s="614" t="s">
        <v>1343</v>
      </c>
      <c r="C47" s="613"/>
      <c r="D47" s="575" t="s">
        <v>930</v>
      </c>
      <c r="E47" s="673">
        <f>'P&amp;L'!D50</f>
        <v>0</v>
      </c>
      <c r="F47" s="612">
        <f>'P&amp;L'!E50</f>
        <v>0</v>
      </c>
    </row>
    <row r="48" spans="1:6" ht="27.75" customHeight="1" x14ac:dyDescent="0.25">
      <c r="A48" s="578" t="s">
        <v>931</v>
      </c>
      <c r="B48" s="614" t="s">
        <v>1342</v>
      </c>
      <c r="C48" s="613"/>
      <c r="D48" s="575" t="s">
        <v>933</v>
      </c>
      <c r="E48" s="673">
        <f>'P&amp;L'!D51</f>
        <v>0</v>
      </c>
      <c r="F48" s="612">
        <f>'P&amp;L'!E51</f>
        <v>0</v>
      </c>
    </row>
    <row r="49" spans="1:6" ht="27.75" customHeight="1" x14ac:dyDescent="0.25">
      <c r="A49" s="578" t="s">
        <v>934</v>
      </c>
      <c r="B49" s="614" t="s">
        <v>1341</v>
      </c>
      <c r="C49" s="613"/>
      <c r="D49" s="575" t="s">
        <v>936</v>
      </c>
      <c r="E49" s="673">
        <f>'P&amp;L'!D52</f>
        <v>0</v>
      </c>
      <c r="F49" s="612">
        <f>'P&amp;L'!E52</f>
        <v>0</v>
      </c>
    </row>
    <row r="50" spans="1:6" ht="27.75" customHeight="1" x14ac:dyDescent="0.25">
      <c r="A50" s="578" t="s">
        <v>937</v>
      </c>
      <c r="B50" s="614" t="s">
        <v>1340</v>
      </c>
      <c r="C50" s="613"/>
      <c r="D50" s="575" t="s">
        <v>939</v>
      </c>
      <c r="E50" s="673">
        <f>'P&amp;L'!D53</f>
        <v>0</v>
      </c>
      <c r="F50" s="612">
        <f>'P&amp;L'!E53</f>
        <v>0</v>
      </c>
    </row>
    <row r="51" spans="1:6" s="609" customFormat="1" ht="44.25" customHeight="1" x14ac:dyDescent="0.25">
      <c r="A51" s="628" t="s">
        <v>880</v>
      </c>
      <c r="B51" s="630" t="s">
        <v>1339</v>
      </c>
      <c r="C51" s="629"/>
      <c r="D51" s="585" t="s">
        <v>941</v>
      </c>
      <c r="E51" s="673">
        <f>'P&amp;L'!D54</f>
        <v>0</v>
      </c>
      <c r="F51" s="612">
        <f>'P&amp;L'!E54</f>
        <v>0</v>
      </c>
    </row>
    <row r="52" spans="1:6" s="609" customFormat="1" ht="29.25" customHeight="1" x14ac:dyDescent="0.25">
      <c r="A52" s="628" t="s">
        <v>942</v>
      </c>
      <c r="B52" s="627" t="s">
        <v>1338</v>
      </c>
      <c r="C52" s="626"/>
      <c r="D52" s="585" t="s">
        <v>944</v>
      </c>
      <c r="E52" s="673">
        <f>'P&amp;L'!D55</f>
        <v>0</v>
      </c>
      <c r="F52" s="612">
        <f>'P&amp;L'!E55</f>
        <v>0</v>
      </c>
    </row>
    <row r="53" spans="1:6" ht="30.75" customHeight="1" x14ac:dyDescent="0.25">
      <c r="A53" s="578" t="s">
        <v>945</v>
      </c>
      <c r="B53" s="614" t="s">
        <v>1337</v>
      </c>
      <c r="C53" s="613"/>
      <c r="D53" s="575" t="s">
        <v>947</v>
      </c>
      <c r="E53" s="673">
        <f>'P&amp;L'!D56</f>
        <v>0</v>
      </c>
      <c r="F53" s="612">
        <f>'P&amp;L'!E56</f>
        <v>0</v>
      </c>
    </row>
    <row r="54" spans="1:6" ht="28.5" customHeight="1" x14ac:dyDescent="0.25">
      <c r="A54" s="621" t="s">
        <v>948</v>
      </c>
      <c r="B54" s="614" t="s">
        <v>1336</v>
      </c>
      <c r="C54" s="613"/>
      <c r="D54" s="575" t="s">
        <v>950</v>
      </c>
      <c r="E54" s="673">
        <f>'P&amp;L'!D57</f>
        <v>0</v>
      </c>
      <c r="F54" s="612">
        <f>'P&amp;L'!E57</f>
        <v>0</v>
      </c>
    </row>
    <row r="55" spans="1:6" ht="28.5" customHeight="1" x14ac:dyDescent="0.25">
      <c r="A55" s="578" t="s">
        <v>836</v>
      </c>
      <c r="B55" s="614" t="s">
        <v>1335</v>
      </c>
      <c r="C55" s="613"/>
      <c r="D55" s="575" t="s">
        <v>952</v>
      </c>
      <c r="E55" s="673">
        <f>'P&amp;L'!D58</f>
        <v>0</v>
      </c>
      <c r="F55" s="612">
        <f>'P&amp;L'!E58</f>
        <v>0</v>
      </c>
    </row>
    <row r="56" spans="1:6" s="609" customFormat="1" ht="31.5" customHeight="1" x14ac:dyDescent="0.25">
      <c r="A56" s="628" t="s">
        <v>942</v>
      </c>
      <c r="B56" s="627" t="s">
        <v>1334</v>
      </c>
      <c r="C56" s="626"/>
      <c r="D56" s="585" t="s">
        <v>954</v>
      </c>
      <c r="E56" s="673">
        <f>'P&amp;L'!D59</f>
        <v>0</v>
      </c>
      <c r="F56" s="612">
        <f>'P&amp;L'!E59</f>
        <v>0</v>
      </c>
    </row>
    <row r="57" spans="1:6" ht="29.25" customHeight="1" x14ac:dyDescent="0.25">
      <c r="A57" s="578" t="s">
        <v>955</v>
      </c>
      <c r="B57" s="614" t="s">
        <v>1333</v>
      </c>
      <c r="C57" s="613"/>
      <c r="D57" s="575" t="s">
        <v>957</v>
      </c>
      <c r="E57" s="673">
        <f>'P&amp;L'!D60</f>
        <v>0</v>
      </c>
      <c r="F57" s="612">
        <f>'P&amp;L'!E60</f>
        <v>0</v>
      </c>
    </row>
    <row r="58" spans="1:6" ht="28.5" customHeight="1" x14ac:dyDescent="0.25">
      <c r="A58" s="578" t="s">
        <v>958</v>
      </c>
      <c r="B58" s="614" t="s">
        <v>1332</v>
      </c>
      <c r="C58" s="613"/>
      <c r="D58" s="575" t="s">
        <v>960</v>
      </c>
      <c r="E58" s="673">
        <f>'P&amp;L'!D61</f>
        <v>0</v>
      </c>
      <c r="F58" s="612">
        <f>'P&amp;L'!E61</f>
        <v>0</v>
      </c>
    </row>
    <row r="59" spans="1:6" ht="30.75" customHeight="1" thickBot="1" x14ac:dyDescent="0.3">
      <c r="A59" s="584" t="s">
        <v>880</v>
      </c>
      <c r="B59" s="611" t="s">
        <v>1331</v>
      </c>
      <c r="C59" s="610"/>
      <c r="D59" s="583" t="s">
        <v>962</v>
      </c>
      <c r="E59" s="673">
        <f>'P&amp;L'!D62</f>
        <v>0</v>
      </c>
      <c r="F59" s="612">
        <f>'P&amp;L'!E62</f>
        <v>0</v>
      </c>
    </row>
    <row r="60" spans="1:6" ht="27.75" customHeight="1" x14ac:dyDescent="0.25">
      <c r="A60" s="625" t="s">
        <v>963</v>
      </c>
      <c r="B60" s="624" t="s">
        <v>1330</v>
      </c>
      <c r="C60" s="623"/>
      <c r="D60" s="622" t="s">
        <v>965</v>
      </c>
      <c r="E60" s="673">
        <f>'P&amp;L'!D63</f>
        <v>0</v>
      </c>
      <c r="F60" s="612">
        <f>'P&amp;L'!E63</f>
        <v>0</v>
      </c>
    </row>
    <row r="61" spans="1:6" ht="27.75" customHeight="1" x14ac:dyDescent="0.25">
      <c r="A61" s="621" t="s">
        <v>966</v>
      </c>
      <c r="B61" s="614" t="s">
        <v>1329</v>
      </c>
      <c r="C61" s="613"/>
      <c r="D61" s="575" t="s">
        <v>968</v>
      </c>
      <c r="E61" s="673">
        <f>'P&amp;L'!D64</f>
        <v>0</v>
      </c>
      <c r="F61" s="612">
        <f>'P&amp;L'!E64</f>
        <v>0</v>
      </c>
    </row>
    <row r="62" spans="1:6" ht="27.75" customHeight="1" x14ac:dyDescent="0.25">
      <c r="A62" s="578" t="s">
        <v>836</v>
      </c>
      <c r="B62" s="614" t="s">
        <v>1328</v>
      </c>
      <c r="C62" s="613"/>
      <c r="D62" s="575" t="s">
        <v>970</v>
      </c>
      <c r="E62" s="673">
        <f>'P&amp;L'!D65</f>
        <v>0</v>
      </c>
      <c r="F62" s="612">
        <f>'P&amp;L'!E65</f>
        <v>0</v>
      </c>
    </row>
    <row r="63" spans="1:6" s="609" customFormat="1" ht="27.75" customHeight="1" x14ac:dyDescent="0.25">
      <c r="A63" s="620" t="s">
        <v>880</v>
      </c>
      <c r="B63" s="619" t="s">
        <v>1327</v>
      </c>
      <c r="C63" s="618"/>
      <c r="D63" s="617" t="s">
        <v>972</v>
      </c>
      <c r="E63" s="673">
        <f>'P&amp;L'!D66</f>
        <v>0</v>
      </c>
      <c r="F63" s="612">
        <f>'P&amp;L'!E66</f>
        <v>0</v>
      </c>
    </row>
    <row r="64" spans="1:6" s="609" customFormat="1" ht="27.75" customHeight="1" x14ac:dyDescent="0.25">
      <c r="A64" s="579" t="s">
        <v>973</v>
      </c>
      <c r="B64" s="616" t="s">
        <v>1326</v>
      </c>
      <c r="C64" s="615"/>
      <c r="D64" s="585" t="s">
        <v>975</v>
      </c>
      <c r="E64" s="673">
        <f>'P&amp;L'!D67</f>
        <v>0</v>
      </c>
      <c r="F64" s="612">
        <f>'P&amp;L'!E67</f>
        <v>0</v>
      </c>
    </row>
    <row r="65" spans="1:6" ht="27.75" customHeight="1" x14ac:dyDescent="0.25">
      <c r="A65" s="578" t="s">
        <v>976</v>
      </c>
      <c r="B65" s="614" t="s">
        <v>1325</v>
      </c>
      <c r="C65" s="613"/>
      <c r="D65" s="575" t="s">
        <v>978</v>
      </c>
      <c r="E65" s="673">
        <f>'P&amp;L'!D68</f>
        <v>0</v>
      </c>
      <c r="F65" s="612">
        <f>'P&amp;L'!E68</f>
        <v>0</v>
      </c>
    </row>
    <row r="66" spans="1:6" s="609" customFormat="1" ht="27.75" customHeight="1" thickBot="1" x14ac:dyDescent="0.3">
      <c r="A66" s="584" t="s">
        <v>973</v>
      </c>
      <c r="B66" s="611" t="s">
        <v>1324</v>
      </c>
      <c r="C66" s="610"/>
      <c r="D66" s="583" t="s">
        <v>980</v>
      </c>
      <c r="E66" s="673">
        <f>'P&amp;L'!D69</f>
        <v>0</v>
      </c>
      <c r="F66" s="612">
        <f>'P&amp;L'!E69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3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37"/>
  <sheetViews>
    <sheetView showGridLines="0" workbookViewId="0"/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405</v>
      </c>
    </row>
    <row r="2" spans="1:2" x14ac:dyDescent="0.25">
      <c r="A2" t="s">
        <v>406</v>
      </c>
    </row>
    <row r="3" spans="1:2" x14ac:dyDescent="0.25">
      <c r="A3" t="s">
        <v>407</v>
      </c>
    </row>
    <row r="4" spans="1:2" x14ac:dyDescent="0.25">
      <c r="A4" t="s">
        <v>408</v>
      </c>
    </row>
    <row r="5" spans="1:2" x14ac:dyDescent="0.25">
      <c r="A5" t="s">
        <v>409</v>
      </c>
    </row>
    <row r="6" spans="1:2" x14ac:dyDescent="0.25">
      <c r="A6" t="s">
        <v>410</v>
      </c>
    </row>
    <row r="7" spans="1:2" x14ac:dyDescent="0.25">
      <c r="A7" t="s">
        <v>411</v>
      </c>
    </row>
    <row r="8" spans="1:2" x14ac:dyDescent="0.25">
      <c r="A8" t="s">
        <v>412</v>
      </c>
    </row>
    <row r="9" spans="1:2" x14ac:dyDescent="0.25">
      <c r="A9" t="s">
        <v>413</v>
      </c>
    </row>
    <row r="10" spans="1:2" x14ac:dyDescent="0.25">
      <c r="A10" t="s">
        <v>414</v>
      </c>
    </row>
    <row r="11" spans="1:2" x14ac:dyDescent="0.25">
      <c r="A11" s="9" t="s">
        <v>388</v>
      </c>
      <c r="B11" s="9" t="s">
        <v>415</v>
      </c>
    </row>
    <row r="12" spans="1:2" x14ac:dyDescent="0.25">
      <c r="A12" s="7">
        <v>1</v>
      </c>
      <c r="B12" s="8" t="s">
        <v>416</v>
      </c>
    </row>
    <row r="13" spans="1:2" x14ac:dyDescent="0.25">
      <c r="A13" s="7">
        <v>2</v>
      </c>
      <c r="B13" s="8" t="s">
        <v>417</v>
      </c>
    </row>
    <row r="14" spans="1:2" x14ac:dyDescent="0.25">
      <c r="A14" s="7">
        <v>3</v>
      </c>
      <c r="B14" s="8" t="s">
        <v>418</v>
      </c>
    </row>
    <row r="15" spans="1:2" x14ac:dyDescent="0.25">
      <c r="A15" s="7">
        <v>4</v>
      </c>
      <c r="B15" s="8" t="s">
        <v>419</v>
      </c>
    </row>
    <row r="16" spans="1:2" x14ac:dyDescent="0.25">
      <c r="A16" s="7">
        <v>5</v>
      </c>
      <c r="B16" s="8" t="s">
        <v>420</v>
      </c>
    </row>
    <row r="17" spans="1:2" x14ac:dyDescent="0.25">
      <c r="A17" s="7">
        <v>6</v>
      </c>
      <c r="B17" s="8" t="s">
        <v>421</v>
      </c>
    </row>
    <row r="18" spans="1:2" x14ac:dyDescent="0.25">
      <c r="A18" s="7">
        <v>7</v>
      </c>
      <c r="B18" s="8" t="s">
        <v>422</v>
      </c>
    </row>
    <row r="19" spans="1:2" x14ac:dyDescent="0.25">
      <c r="A19" s="7">
        <v>8</v>
      </c>
      <c r="B19" s="8" t="s">
        <v>423</v>
      </c>
    </row>
    <row r="20" spans="1:2" x14ac:dyDescent="0.25">
      <c r="A20" s="7">
        <v>9</v>
      </c>
      <c r="B20" s="8" t="s">
        <v>424</v>
      </c>
    </row>
    <row r="21" spans="1:2" x14ac:dyDescent="0.25">
      <c r="A21" s="7">
        <v>10</v>
      </c>
      <c r="B21" s="8" t="s">
        <v>425</v>
      </c>
    </row>
    <row r="22" spans="1:2" x14ac:dyDescent="0.25">
      <c r="A22" s="7">
        <v>11</v>
      </c>
      <c r="B22" s="8" t="s">
        <v>426</v>
      </c>
    </row>
    <row r="24" spans="1:2" x14ac:dyDescent="0.25">
      <c r="A24" t="s">
        <v>427</v>
      </c>
    </row>
    <row r="25" spans="1:2" x14ac:dyDescent="0.25">
      <c r="A25" t="s">
        <v>428</v>
      </c>
    </row>
    <row r="26" spans="1:2" x14ac:dyDescent="0.25">
      <c r="A26" t="s">
        <v>429</v>
      </c>
    </row>
    <row r="27" spans="1:2" x14ac:dyDescent="0.25">
      <c r="A27" t="s">
        <v>430</v>
      </c>
    </row>
    <row r="28" spans="1:2" x14ac:dyDescent="0.25">
      <c r="A28" t="s">
        <v>431</v>
      </c>
    </row>
    <row r="29" spans="1:2" x14ac:dyDescent="0.25">
      <c r="A29" t="s">
        <v>432</v>
      </c>
    </row>
    <row r="30" spans="1:2" x14ac:dyDescent="0.25">
      <c r="A30" t="s">
        <v>433</v>
      </c>
    </row>
    <row r="31" spans="1:2" x14ac:dyDescent="0.25">
      <c r="A31" t="s">
        <v>434</v>
      </c>
    </row>
    <row r="32" spans="1:2" x14ac:dyDescent="0.25">
      <c r="A32" t="s">
        <v>435</v>
      </c>
    </row>
    <row r="33" spans="1:1" x14ac:dyDescent="0.25">
      <c r="A33" t="s">
        <v>436</v>
      </c>
    </row>
    <row r="34" spans="1:1" x14ac:dyDescent="0.25">
      <c r="A34" t="s">
        <v>437</v>
      </c>
    </row>
    <row r="35" spans="1:1" x14ac:dyDescent="0.25">
      <c r="A35" t="s">
        <v>438</v>
      </c>
    </row>
    <row r="36" spans="1:1" x14ac:dyDescent="0.25">
      <c r="A36" t="s">
        <v>439</v>
      </c>
    </row>
    <row r="37" spans="1:1" x14ac:dyDescent="0.25">
      <c r="A37" t="s">
        <v>440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9" customFormat="1" ht="16.5" x14ac:dyDescent="0.3">
      <c r="A1" s="1" t="s">
        <v>7</v>
      </c>
    </row>
    <row r="2" spans="1:7" x14ac:dyDescent="0.25">
      <c r="A2" s="20"/>
      <c r="B2" s="20"/>
      <c r="C2" s="20"/>
      <c r="D2" s="20"/>
      <c r="E2" s="20"/>
      <c r="F2" s="20"/>
      <c r="G2" s="20"/>
    </row>
    <row r="3" spans="1:7" ht="15.75" thickBot="1" x14ac:dyDescent="0.3">
      <c r="A3" s="20" t="s">
        <v>15</v>
      </c>
      <c r="B3" s="20"/>
      <c r="C3" s="20"/>
      <c r="D3" s="20"/>
      <c r="E3" s="20"/>
      <c r="F3" s="20"/>
      <c r="G3" s="20"/>
    </row>
    <row r="4" spans="1:7" ht="44.25" customHeight="1" thickTop="1" thickBot="1" x14ac:dyDescent="0.3">
      <c r="A4" s="1310" t="s">
        <v>16</v>
      </c>
      <c r="B4" s="1311"/>
      <c r="C4" s="1310" t="s">
        <v>10</v>
      </c>
      <c r="D4" s="1311"/>
      <c r="E4" s="1308" t="s">
        <v>11</v>
      </c>
      <c r="F4" s="1308" t="s">
        <v>454</v>
      </c>
      <c r="G4" s="20"/>
    </row>
    <row r="5" spans="1:7" ht="27" customHeight="1" thickTop="1" thickBot="1" x14ac:dyDescent="0.3">
      <c r="A5" s="461" t="s">
        <v>9</v>
      </c>
      <c r="B5" s="21" t="s">
        <v>17</v>
      </c>
      <c r="C5" s="21" t="s">
        <v>13</v>
      </c>
      <c r="D5" s="21" t="s">
        <v>12</v>
      </c>
      <c r="E5" s="1309"/>
      <c r="F5" s="1309"/>
      <c r="G5" s="20"/>
    </row>
    <row r="6" spans="1:7" ht="16.5" thickTop="1" thickBot="1" x14ac:dyDescent="0.3">
      <c r="A6" s="14"/>
      <c r="B6" s="31"/>
      <c r="C6" s="22"/>
      <c r="D6" s="32"/>
      <c r="E6" s="32"/>
      <c r="F6" s="33"/>
      <c r="G6" s="20"/>
    </row>
    <row r="7" spans="1:7" ht="15.75" thickBot="1" x14ac:dyDescent="0.3">
      <c r="A7" s="14"/>
      <c r="B7" s="31"/>
      <c r="C7" s="22"/>
      <c r="D7" s="32"/>
      <c r="E7" s="32"/>
      <c r="F7" s="33"/>
      <c r="G7" s="20"/>
    </row>
    <row r="8" spans="1:7" ht="15.75" thickBot="1" x14ac:dyDescent="0.3">
      <c r="A8" s="14"/>
      <c r="B8" s="31"/>
      <c r="C8" s="22"/>
      <c r="D8" s="32"/>
      <c r="E8" s="32"/>
      <c r="F8" s="33"/>
      <c r="G8" s="20"/>
    </row>
    <row r="9" spans="1:7" ht="15.75" thickBot="1" x14ac:dyDescent="0.3">
      <c r="A9" s="25" t="s">
        <v>14</v>
      </c>
      <c r="B9" s="34" t="s">
        <v>18</v>
      </c>
      <c r="C9" s="26">
        <f>SUM(C6:C8)</f>
        <v>0</v>
      </c>
      <c r="D9" s="35">
        <f>SUM(D6:D8)</f>
        <v>0</v>
      </c>
      <c r="E9" s="35">
        <f t="shared" ref="E9:F9" si="0">SUM(E6:E8)</f>
        <v>0</v>
      </c>
      <c r="F9" s="36">
        <f t="shared" si="0"/>
        <v>0</v>
      </c>
      <c r="G9" s="20"/>
    </row>
    <row r="10" spans="1:7" ht="15.75" thickTop="1" x14ac:dyDescent="0.25">
      <c r="A10" s="37"/>
      <c r="B10" s="37"/>
      <c r="C10" s="37"/>
      <c r="D10" s="37"/>
      <c r="E10" s="37"/>
      <c r="F10" s="37"/>
      <c r="G10" s="37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K4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7" sqref="T7"/>
    </sheetView>
  </sheetViews>
  <sheetFormatPr defaultRowHeight="15" outlineLevelCol="1" x14ac:dyDescent="0.25"/>
  <cols>
    <col min="1" max="1" width="29.42578125" customWidth="1"/>
    <col min="2" max="9" width="12.5703125" customWidth="1"/>
    <col min="10" max="10" width="9.140625" style="412"/>
    <col min="11" max="11" width="9.140625" style="676" customWidth="1" outlineLevel="1"/>
    <col min="12" max="17" width="9.140625" style="677" customWidth="1" outlineLevel="1"/>
    <col min="18" max="18" width="18.28515625" style="688" customWidth="1"/>
    <col min="19" max="19" width="9.140625" style="702"/>
    <col min="20" max="20" width="9.140625" style="677" customWidth="1" outlineLevel="1"/>
    <col min="21" max="26" width="9.140625" style="18" customWidth="1" outlineLevel="1"/>
    <col min="27" max="27" width="26.85546875" style="688" customWidth="1"/>
    <col min="28" max="28" width="9.140625" style="688"/>
    <col min="29" max="29" width="9.140625" style="676" customWidth="1" outlineLevel="1"/>
    <col min="30" max="35" width="9.140625" style="18" customWidth="1" outlineLevel="1"/>
    <col min="36" max="36" width="26.7109375" style="688" customWidth="1"/>
  </cols>
  <sheetData>
    <row r="1" spans="1:36" ht="16.5" x14ac:dyDescent="0.3">
      <c r="A1" s="1" t="s">
        <v>19</v>
      </c>
      <c r="K1" s="1312" t="s">
        <v>1139</v>
      </c>
      <c r="L1" s="1289"/>
      <c r="M1" s="1289"/>
      <c r="N1" s="1289"/>
      <c r="O1" s="1289"/>
      <c r="P1" s="1289"/>
      <c r="Q1" s="1289"/>
      <c r="R1" s="1313"/>
      <c r="T1" s="1312" t="s">
        <v>1140</v>
      </c>
      <c r="U1" s="1289"/>
      <c r="V1" s="1289"/>
      <c r="W1" s="1289"/>
      <c r="X1" s="1289"/>
      <c r="Y1" s="1289"/>
      <c r="Z1" s="1289"/>
      <c r="AA1" s="1313"/>
      <c r="AC1" s="1312" t="s">
        <v>1141</v>
      </c>
      <c r="AD1" s="1289"/>
      <c r="AE1" s="1289"/>
      <c r="AF1" s="1289"/>
      <c r="AG1" s="1289"/>
      <c r="AH1" s="1289"/>
      <c r="AI1" s="1289"/>
      <c r="AJ1" s="1313"/>
    </row>
    <row r="2" spans="1:36" ht="17.25" thickBot="1" x14ac:dyDescent="0.35">
      <c r="A2" s="2" t="s">
        <v>8</v>
      </c>
    </row>
    <row r="3" spans="1:36" ht="15" customHeight="1" thickTop="1" thickBot="1" x14ac:dyDescent="0.3">
      <c r="A3" s="1308" t="s">
        <v>20</v>
      </c>
      <c r="B3" s="1310" t="s">
        <v>2</v>
      </c>
      <c r="C3" s="1315"/>
      <c r="D3" s="1315"/>
      <c r="E3" s="1315"/>
      <c r="F3" s="1315"/>
      <c r="G3" s="1315"/>
      <c r="H3" s="1315"/>
      <c r="I3" s="1311"/>
    </row>
    <row r="4" spans="1:36" ht="35.25" customHeight="1" thickTop="1" thickBot="1" x14ac:dyDescent="0.3">
      <c r="A4" s="1314"/>
      <c r="B4" s="40" t="s">
        <v>441</v>
      </c>
      <c r="C4" s="11" t="s">
        <v>21</v>
      </c>
      <c r="D4" s="11" t="s">
        <v>442</v>
      </c>
      <c r="E4" s="10" t="s">
        <v>22</v>
      </c>
      <c r="F4" s="40" t="s">
        <v>23</v>
      </c>
      <c r="G4" s="11" t="s">
        <v>443</v>
      </c>
      <c r="H4" s="11" t="s">
        <v>24</v>
      </c>
      <c r="I4" s="11" t="s">
        <v>14</v>
      </c>
      <c r="J4" s="457"/>
      <c r="K4" s="59" t="s">
        <v>441</v>
      </c>
      <c r="L4" s="833" t="s">
        <v>21</v>
      </c>
      <c r="M4" s="833" t="s">
        <v>442</v>
      </c>
      <c r="N4" s="59" t="s">
        <v>22</v>
      </c>
      <c r="O4" s="833" t="s">
        <v>23</v>
      </c>
      <c r="P4" s="833" t="s">
        <v>443</v>
      </c>
      <c r="Q4" s="833" t="s">
        <v>24</v>
      </c>
      <c r="R4" s="833" t="s">
        <v>14</v>
      </c>
      <c r="S4" s="677"/>
      <c r="T4" s="59" t="s">
        <v>441</v>
      </c>
      <c r="U4" s="833" t="s">
        <v>21</v>
      </c>
      <c r="V4" s="833" t="s">
        <v>442</v>
      </c>
      <c r="W4" s="59" t="s">
        <v>22</v>
      </c>
      <c r="X4" s="833" t="s">
        <v>23</v>
      </c>
      <c r="Y4" s="833" t="s">
        <v>443</v>
      </c>
      <c r="Z4" s="833" t="s">
        <v>24</v>
      </c>
      <c r="AA4" s="833" t="s">
        <v>14</v>
      </c>
      <c r="AB4" s="677"/>
      <c r="AC4" s="59" t="s">
        <v>441</v>
      </c>
      <c r="AD4" s="833" t="s">
        <v>21</v>
      </c>
      <c r="AE4" s="833" t="s">
        <v>442</v>
      </c>
      <c r="AF4" s="59" t="s">
        <v>22</v>
      </c>
      <c r="AG4" s="833" t="s">
        <v>23</v>
      </c>
      <c r="AH4" s="833" t="s">
        <v>443</v>
      </c>
      <c r="AI4" s="833" t="s">
        <v>24</v>
      </c>
      <c r="AJ4" s="833" t="s">
        <v>14</v>
      </c>
    </row>
    <row r="5" spans="1:36" ht="15" customHeight="1" thickTop="1" thickBot="1" x14ac:dyDescent="0.3">
      <c r="A5" s="41" t="s">
        <v>25</v>
      </c>
      <c r="B5" s="42"/>
      <c r="C5" s="42"/>
      <c r="D5" s="42"/>
      <c r="E5" s="42"/>
      <c r="F5" s="42"/>
      <c r="G5" s="42"/>
      <c r="H5" s="42"/>
      <c r="I5" s="43"/>
    </row>
    <row r="6" spans="1:36" ht="15" customHeight="1" thickTop="1" thickBot="1" x14ac:dyDescent="0.3">
      <c r="A6" s="44" t="s">
        <v>26</v>
      </c>
      <c r="B6" s="22"/>
      <c r="C6" s="22"/>
      <c r="D6" s="22"/>
      <c r="E6" s="22"/>
      <c r="F6" s="45"/>
      <c r="G6" s="22"/>
      <c r="H6" s="22"/>
      <c r="I6" s="15">
        <f>SUM(B6:H6)</f>
        <v>0</v>
      </c>
      <c r="R6" s="678">
        <f>SUM(B6:H6)-I6</f>
        <v>0</v>
      </c>
      <c r="T6" s="723">
        <f>B6-B35</f>
        <v>0</v>
      </c>
      <c r="U6" s="734">
        <f t="shared" ref="U6:AA6" si="0">C6-C35</f>
        <v>0</v>
      </c>
      <c r="V6" s="734">
        <f t="shared" si="0"/>
        <v>0</v>
      </c>
      <c r="W6" s="734">
        <f t="shared" si="0"/>
        <v>0</v>
      </c>
      <c r="X6" s="734">
        <f t="shared" si="0"/>
        <v>0</v>
      </c>
      <c r="Y6" s="734">
        <f t="shared" si="0"/>
        <v>0</v>
      </c>
      <c r="Z6" s="734">
        <f t="shared" si="0"/>
        <v>0</v>
      </c>
      <c r="AA6" s="678">
        <f t="shared" si="0"/>
        <v>0</v>
      </c>
    </row>
    <row r="7" spans="1:36" ht="15" customHeight="1" thickBot="1" x14ac:dyDescent="0.3">
      <c r="A7" s="14" t="s">
        <v>27</v>
      </c>
      <c r="B7" s="22"/>
      <c r="C7" s="22"/>
      <c r="D7" s="22"/>
      <c r="E7" s="22"/>
      <c r="F7" s="46"/>
      <c r="G7" s="22"/>
      <c r="H7" s="22"/>
      <c r="I7" s="15">
        <f>SUM(B7:H7)</f>
        <v>0</v>
      </c>
      <c r="R7" s="678">
        <f t="shared" ref="R7:R22" si="1">SUM(B7:H7)-I7</f>
        <v>0</v>
      </c>
    </row>
    <row r="8" spans="1:36" ht="15" customHeight="1" thickBot="1" x14ac:dyDescent="0.3">
      <c r="A8" s="14" t="s">
        <v>28</v>
      </c>
      <c r="B8" s="22"/>
      <c r="C8" s="22"/>
      <c r="D8" s="22"/>
      <c r="E8" s="22"/>
      <c r="F8" s="46"/>
      <c r="G8" s="22"/>
      <c r="H8" s="22"/>
      <c r="I8" s="15">
        <f t="shared" ref="I8:I9" si="2">SUM(B8:H8)</f>
        <v>0</v>
      </c>
      <c r="R8" s="678">
        <f t="shared" si="1"/>
        <v>0</v>
      </c>
    </row>
    <row r="9" spans="1:36" ht="15" customHeight="1" thickBot="1" x14ac:dyDescent="0.3">
      <c r="A9" s="14" t="s">
        <v>29</v>
      </c>
      <c r="B9" s="22"/>
      <c r="C9" s="22"/>
      <c r="D9" s="22"/>
      <c r="E9" s="22"/>
      <c r="F9" s="46"/>
      <c r="G9" s="22"/>
      <c r="H9" s="22"/>
      <c r="I9" s="15">
        <f t="shared" si="2"/>
        <v>0</v>
      </c>
      <c r="R9" s="678">
        <f t="shared" si="1"/>
        <v>0</v>
      </c>
    </row>
    <row r="10" spans="1:36" ht="15" customHeight="1" thickBot="1" x14ac:dyDescent="0.3">
      <c r="A10" s="25" t="s">
        <v>30</v>
      </c>
      <c r="B10" s="26">
        <f>B6+B7-B8+B9</f>
        <v>0</v>
      </c>
      <c r="C10" s="26">
        <f>C6+C7-C8+C9</f>
        <v>0</v>
      </c>
      <c r="D10" s="26">
        <f>D6+D7-D8+D9</f>
        <v>0</v>
      </c>
      <c r="E10" s="26">
        <f t="shared" ref="E10:H10" si="3">E6+E7-E8+E9</f>
        <v>0</v>
      </c>
      <c r="F10" s="26">
        <f t="shared" si="3"/>
        <v>0</v>
      </c>
      <c r="G10" s="26">
        <f t="shared" si="3"/>
        <v>0</v>
      </c>
      <c r="H10" s="26">
        <f t="shared" si="3"/>
        <v>0</v>
      </c>
      <c r="I10" s="17">
        <f>I6+I7-I8+I9</f>
        <v>0</v>
      </c>
      <c r="K10" s="691">
        <f>B6+B7-B8+B9-B10</f>
        <v>0</v>
      </c>
      <c r="L10" s="723">
        <f t="shared" ref="L10:R10" si="4">C6+C7-C8+C9-C10</f>
        <v>0</v>
      </c>
      <c r="M10" s="723">
        <f t="shared" si="4"/>
        <v>0</v>
      </c>
      <c r="N10" s="723">
        <f t="shared" si="4"/>
        <v>0</v>
      </c>
      <c r="O10" s="723">
        <f t="shared" si="4"/>
        <v>0</v>
      </c>
      <c r="P10" s="723">
        <f t="shared" si="4"/>
        <v>0</v>
      </c>
      <c r="Q10" s="723">
        <f t="shared" si="4"/>
        <v>0</v>
      </c>
      <c r="R10" s="723">
        <f t="shared" si="4"/>
        <v>0</v>
      </c>
      <c r="AC10" s="691">
        <f>B10-BS!$D$13</f>
        <v>0</v>
      </c>
      <c r="AD10" s="734">
        <f>C10-BS!$D$14</f>
        <v>0</v>
      </c>
      <c r="AE10" s="734">
        <f>D10-BS!$D$15</f>
        <v>0</v>
      </c>
      <c r="AF10" s="734">
        <f>E10-BS!$D$16</f>
        <v>0</v>
      </c>
      <c r="AG10" s="734">
        <f>F10-BS!$D$17</f>
        <v>0</v>
      </c>
      <c r="AH10" s="734">
        <f>G10-BS!$D$18</f>
        <v>0</v>
      </c>
      <c r="AI10" s="734">
        <f>H10-BS!$D$19</f>
        <v>0</v>
      </c>
      <c r="AJ10" s="678">
        <f>I10-BS!$D$12</f>
        <v>0</v>
      </c>
    </row>
    <row r="11" spans="1:36" ht="15" customHeight="1" thickTop="1" thickBot="1" x14ac:dyDescent="0.3">
      <c r="A11" s="41" t="s">
        <v>31</v>
      </c>
      <c r="B11" s="42"/>
      <c r="C11" s="42"/>
      <c r="D11" s="42"/>
      <c r="E11" s="42"/>
      <c r="F11" s="42"/>
      <c r="G11" s="42"/>
      <c r="H11" s="42"/>
      <c r="I11" s="43"/>
      <c r="R11" s="678"/>
    </row>
    <row r="12" spans="1:36" ht="15" customHeight="1" thickTop="1" thickBot="1" x14ac:dyDescent="0.3">
      <c r="A12" s="44" t="s">
        <v>32</v>
      </c>
      <c r="B12" s="22"/>
      <c r="C12" s="22"/>
      <c r="D12" s="22"/>
      <c r="E12" s="22"/>
      <c r="F12" s="22"/>
      <c r="G12" s="22"/>
      <c r="H12" s="22"/>
      <c r="I12" s="15">
        <f>SUM(B12:H12)</f>
        <v>0</v>
      </c>
      <c r="R12" s="678">
        <f t="shared" si="1"/>
        <v>0</v>
      </c>
      <c r="T12" s="723">
        <f>B12-B40</f>
        <v>0</v>
      </c>
      <c r="U12" s="734">
        <f t="shared" ref="U12:AA12" si="5">C12-C40</f>
        <v>0</v>
      </c>
      <c r="V12" s="734">
        <f t="shared" si="5"/>
        <v>0</v>
      </c>
      <c r="W12" s="734">
        <f t="shared" si="5"/>
        <v>0</v>
      </c>
      <c r="X12" s="734">
        <f t="shared" si="5"/>
        <v>0</v>
      </c>
      <c r="Y12" s="734">
        <f t="shared" si="5"/>
        <v>0</v>
      </c>
      <c r="Z12" s="734">
        <f t="shared" si="5"/>
        <v>0</v>
      </c>
      <c r="AA12" s="678">
        <f t="shared" si="5"/>
        <v>0</v>
      </c>
    </row>
    <row r="13" spans="1:36" ht="15" customHeight="1" thickBot="1" x14ac:dyDescent="0.3">
      <c r="A13" s="14" t="s">
        <v>27</v>
      </c>
      <c r="B13" s="22"/>
      <c r="C13" s="22"/>
      <c r="D13" s="22"/>
      <c r="E13" s="22"/>
      <c r="F13" s="22"/>
      <c r="G13" s="22"/>
      <c r="H13" s="22"/>
      <c r="I13" s="15">
        <f t="shared" ref="I13:I14" si="6">SUM(B13:H13)</f>
        <v>0</v>
      </c>
      <c r="R13" s="678">
        <f t="shared" si="1"/>
        <v>0</v>
      </c>
    </row>
    <row r="14" spans="1:36" ht="15" customHeight="1" thickBot="1" x14ac:dyDescent="0.3">
      <c r="A14" s="14" t="s">
        <v>28</v>
      </c>
      <c r="B14" s="22"/>
      <c r="C14" s="22"/>
      <c r="D14" s="22"/>
      <c r="E14" s="22"/>
      <c r="F14" s="22"/>
      <c r="G14" s="22"/>
      <c r="H14" s="22"/>
      <c r="I14" s="15">
        <f t="shared" si="6"/>
        <v>0</v>
      </c>
      <c r="R14" s="678">
        <f t="shared" si="1"/>
        <v>0</v>
      </c>
      <c r="AC14" s="735" t="s">
        <v>1142</v>
      </c>
    </row>
    <row r="15" spans="1:36" ht="15" customHeight="1" thickBot="1" x14ac:dyDescent="0.3">
      <c r="A15" s="25" t="s">
        <v>30</v>
      </c>
      <c r="B15" s="26">
        <f>B12+B13-B14</f>
        <v>0</v>
      </c>
      <c r="C15" s="26">
        <f>C12+C13-C14</f>
        <v>0</v>
      </c>
      <c r="D15" s="26">
        <f t="shared" ref="D15:H15" si="7">D12+D13-D14</f>
        <v>0</v>
      </c>
      <c r="E15" s="26">
        <f t="shared" si="7"/>
        <v>0</v>
      </c>
      <c r="F15" s="26">
        <f t="shared" si="7"/>
        <v>0</v>
      </c>
      <c r="G15" s="26">
        <f t="shared" si="7"/>
        <v>0</v>
      </c>
      <c r="H15" s="26">
        <f t="shared" si="7"/>
        <v>0</v>
      </c>
      <c r="I15" s="17">
        <f>I12+I13-I14</f>
        <v>0</v>
      </c>
      <c r="K15" s="691">
        <f>B12+B13-B14-B15</f>
        <v>0</v>
      </c>
      <c r="L15" s="723">
        <f>C12+C13-C14-C15</f>
        <v>0</v>
      </c>
      <c r="M15" s="723">
        <f t="shared" ref="M15:R15" si="8">D12+D13-D14-D15</f>
        <v>0</v>
      </c>
      <c r="N15" s="723">
        <f t="shared" si="8"/>
        <v>0</v>
      </c>
      <c r="O15" s="723">
        <f t="shared" si="8"/>
        <v>0</v>
      </c>
      <c r="P15" s="723">
        <f t="shared" si="8"/>
        <v>0</v>
      </c>
      <c r="Q15" s="723">
        <f t="shared" si="8"/>
        <v>0</v>
      </c>
      <c r="R15" s="723">
        <f t="shared" si="8"/>
        <v>0</v>
      </c>
      <c r="AC15" s="691">
        <f>B15+B20-BS!$E$13</f>
        <v>0</v>
      </c>
      <c r="AD15" s="734">
        <f>C15+C20-BS!$E$14</f>
        <v>0</v>
      </c>
      <c r="AE15" s="734">
        <f>D15+D20-BS!$E$15</f>
        <v>0</v>
      </c>
      <c r="AF15" s="734">
        <f>E15+E20-BS!$E$16</f>
        <v>0</v>
      </c>
      <c r="AG15" s="734">
        <f>F15+F20-BS!$E$17</f>
        <v>0</v>
      </c>
      <c r="AH15" s="734">
        <f>G15+G20-BS!$E$18</f>
        <v>0</v>
      </c>
      <c r="AI15" s="734">
        <f>H15+H20-BS!$E$19</f>
        <v>0</v>
      </c>
      <c r="AJ15" s="678">
        <f>I15+I20-BS!$E$12</f>
        <v>0</v>
      </c>
    </row>
    <row r="16" spans="1:36" ht="15" customHeight="1" thickTop="1" thickBot="1" x14ac:dyDescent="0.3">
      <c r="A16" s="41" t="s">
        <v>33</v>
      </c>
      <c r="B16" s="42"/>
      <c r="C16" s="42"/>
      <c r="D16" s="42"/>
      <c r="E16" s="42"/>
      <c r="F16" s="42"/>
      <c r="G16" s="42"/>
      <c r="H16" s="42"/>
      <c r="I16" s="43"/>
      <c r="R16" s="678"/>
    </row>
    <row r="17" spans="1:36" ht="15" customHeight="1" thickTop="1" thickBot="1" x14ac:dyDescent="0.3">
      <c r="A17" s="44" t="s">
        <v>32</v>
      </c>
      <c r="B17" s="22"/>
      <c r="C17" s="22"/>
      <c r="D17" s="22"/>
      <c r="E17" s="22"/>
      <c r="F17" s="22"/>
      <c r="G17" s="22"/>
      <c r="H17" s="22"/>
      <c r="I17" s="15">
        <f>SUM(B17:H17)</f>
        <v>0</v>
      </c>
      <c r="R17" s="678">
        <f t="shared" si="1"/>
        <v>0</v>
      </c>
      <c r="T17" s="723">
        <f>B17-B45</f>
        <v>0</v>
      </c>
      <c r="U17" s="734">
        <f t="shared" ref="U17:AA17" si="9">C17-C45</f>
        <v>0</v>
      </c>
      <c r="V17" s="734">
        <f t="shared" si="9"/>
        <v>0</v>
      </c>
      <c r="W17" s="734">
        <f t="shared" si="9"/>
        <v>0</v>
      </c>
      <c r="X17" s="734">
        <f t="shared" si="9"/>
        <v>0</v>
      </c>
      <c r="Y17" s="734">
        <f t="shared" si="9"/>
        <v>0</v>
      </c>
      <c r="Z17" s="734">
        <f t="shared" si="9"/>
        <v>0</v>
      </c>
      <c r="AA17" s="678">
        <f t="shared" si="9"/>
        <v>0</v>
      </c>
    </row>
    <row r="18" spans="1:36" ht="15" customHeight="1" thickBot="1" x14ac:dyDescent="0.3">
      <c r="A18" s="14" t="s">
        <v>27</v>
      </c>
      <c r="B18" s="22"/>
      <c r="C18" s="22"/>
      <c r="D18" s="22"/>
      <c r="E18" s="22"/>
      <c r="F18" s="22"/>
      <c r="G18" s="22"/>
      <c r="H18" s="22"/>
      <c r="I18" s="15">
        <f t="shared" ref="I18:I19" si="10">SUM(B18:H18)</f>
        <v>0</v>
      </c>
      <c r="R18" s="678">
        <f t="shared" si="1"/>
        <v>0</v>
      </c>
    </row>
    <row r="19" spans="1:36" ht="15" customHeight="1" thickBot="1" x14ac:dyDescent="0.3">
      <c r="A19" s="14" t="s">
        <v>28</v>
      </c>
      <c r="B19" s="22"/>
      <c r="C19" s="22"/>
      <c r="D19" s="22"/>
      <c r="E19" s="22"/>
      <c r="F19" s="22"/>
      <c r="G19" s="22"/>
      <c r="H19" s="22"/>
      <c r="I19" s="15">
        <f t="shared" si="10"/>
        <v>0</v>
      </c>
      <c r="R19" s="678">
        <f t="shared" si="1"/>
        <v>0</v>
      </c>
    </row>
    <row r="20" spans="1:36" ht="15" customHeight="1" thickBot="1" x14ac:dyDescent="0.3">
      <c r="A20" s="25" t="s">
        <v>30</v>
      </c>
      <c r="B20" s="26">
        <f>B17+B18-B19</f>
        <v>0</v>
      </c>
      <c r="C20" s="26">
        <f>C17+C18-C19</f>
        <v>0</v>
      </c>
      <c r="D20" s="26">
        <f t="shared" ref="D20" si="11">D17+D18-D19</f>
        <v>0</v>
      </c>
      <c r="E20" s="26">
        <f t="shared" ref="E20" si="12">E17+E18-E19</f>
        <v>0</v>
      </c>
      <c r="F20" s="26">
        <f t="shared" ref="F20" si="13">F17+F18-F19</f>
        <v>0</v>
      </c>
      <c r="G20" s="26">
        <f t="shared" ref="G20" si="14">G17+G18-G19</f>
        <v>0</v>
      </c>
      <c r="H20" s="26">
        <f t="shared" ref="H20" si="15">H17+H18-H19</f>
        <v>0</v>
      </c>
      <c r="I20" s="17">
        <f>I17+I18-I19</f>
        <v>0</v>
      </c>
      <c r="K20" s="691">
        <f>B17+B18-B19-B20</f>
        <v>0</v>
      </c>
      <c r="L20" s="723">
        <f>C17+C18-C19-C20</f>
        <v>0</v>
      </c>
      <c r="M20" s="723">
        <f t="shared" ref="M20:R20" si="16">D17+D18-D19-D20</f>
        <v>0</v>
      </c>
      <c r="N20" s="723">
        <f t="shared" si="16"/>
        <v>0</v>
      </c>
      <c r="O20" s="723">
        <f t="shared" si="16"/>
        <v>0</v>
      </c>
      <c r="P20" s="723">
        <f t="shared" si="16"/>
        <v>0</v>
      </c>
      <c r="Q20" s="723">
        <f t="shared" si="16"/>
        <v>0</v>
      </c>
      <c r="R20" s="723">
        <f t="shared" si="16"/>
        <v>0</v>
      </c>
    </row>
    <row r="21" spans="1:36" ht="15" customHeight="1" thickTop="1" thickBot="1" x14ac:dyDescent="0.3">
      <c r="A21" s="41" t="s">
        <v>34</v>
      </c>
      <c r="B21" s="42"/>
      <c r="C21" s="42"/>
      <c r="D21" s="42"/>
      <c r="E21" s="42"/>
      <c r="F21" s="42"/>
      <c r="G21" s="42"/>
      <c r="H21" s="42"/>
      <c r="I21" s="43"/>
      <c r="R21" s="678"/>
    </row>
    <row r="22" spans="1:36" ht="15" customHeight="1" thickTop="1" thickBot="1" x14ac:dyDescent="0.3">
      <c r="A22" s="44" t="s">
        <v>32</v>
      </c>
      <c r="B22" s="22">
        <f>B6-B12-B17</f>
        <v>0</v>
      </c>
      <c r="C22" s="22">
        <f t="shared" ref="C22:I22" si="17">C6-C12-C17</f>
        <v>0</v>
      </c>
      <c r="D22" s="22">
        <f t="shared" si="17"/>
        <v>0</v>
      </c>
      <c r="E22" s="22">
        <f t="shared" si="17"/>
        <v>0</v>
      </c>
      <c r="F22" s="22">
        <f t="shared" si="17"/>
        <v>0</v>
      </c>
      <c r="G22" s="22">
        <f t="shared" si="17"/>
        <v>0</v>
      </c>
      <c r="H22" s="22">
        <f t="shared" si="17"/>
        <v>0</v>
      </c>
      <c r="I22" s="15">
        <f t="shared" si="17"/>
        <v>0</v>
      </c>
      <c r="K22" s="691">
        <f>B6-B12-B17-B22</f>
        <v>0</v>
      </c>
      <c r="L22" s="723">
        <f t="shared" ref="L22:N22" si="18">C6-C12-C17-C22</f>
        <v>0</v>
      </c>
      <c r="M22" s="723">
        <f t="shared" si="18"/>
        <v>0</v>
      </c>
      <c r="N22" s="723">
        <f t="shared" si="18"/>
        <v>0</v>
      </c>
      <c r="O22" s="723">
        <f>F6-F12-F17-F22</f>
        <v>0</v>
      </c>
      <c r="P22" s="723">
        <f t="shared" ref="P22:Q22" si="19">G6-G12-G17-G22</f>
        <v>0</v>
      </c>
      <c r="Q22" s="723">
        <f t="shared" si="19"/>
        <v>0</v>
      </c>
      <c r="R22" s="678">
        <f t="shared" si="1"/>
        <v>0</v>
      </c>
      <c r="T22" s="723">
        <f>B22-B48</f>
        <v>0</v>
      </c>
      <c r="U22" s="734">
        <f t="shared" ref="U22:AA22" si="20">C22-C48</f>
        <v>0</v>
      </c>
      <c r="V22" s="734">
        <f t="shared" si="20"/>
        <v>0</v>
      </c>
      <c r="W22" s="734">
        <f t="shared" si="20"/>
        <v>0</v>
      </c>
      <c r="X22" s="734">
        <f t="shared" si="20"/>
        <v>0</v>
      </c>
      <c r="Y22" s="734">
        <f t="shared" si="20"/>
        <v>0</v>
      </c>
      <c r="Z22" s="734">
        <f t="shared" si="20"/>
        <v>0</v>
      </c>
      <c r="AA22" s="678">
        <f t="shared" si="20"/>
        <v>0</v>
      </c>
    </row>
    <row r="23" spans="1:36" ht="15" customHeight="1" thickBot="1" x14ac:dyDescent="0.3">
      <c r="A23" s="25" t="s">
        <v>30</v>
      </c>
      <c r="B23" s="26">
        <f>B10-B15-B20</f>
        <v>0</v>
      </c>
      <c r="C23" s="26">
        <f t="shared" ref="C23:I23" si="21">C10-C15-C20</f>
        <v>0</v>
      </c>
      <c r="D23" s="26">
        <f t="shared" si="21"/>
        <v>0</v>
      </c>
      <c r="E23" s="26">
        <f t="shared" si="21"/>
        <v>0</v>
      </c>
      <c r="F23" s="26">
        <f t="shared" si="21"/>
        <v>0</v>
      </c>
      <c r="G23" s="26">
        <f t="shared" si="21"/>
        <v>0</v>
      </c>
      <c r="H23" s="26">
        <f t="shared" si="21"/>
        <v>0</v>
      </c>
      <c r="I23" s="17">
        <f t="shared" si="21"/>
        <v>0</v>
      </c>
      <c r="K23" s="691">
        <f>B10-B15-B20-B23</f>
        <v>0</v>
      </c>
      <c r="L23" s="723">
        <f t="shared" ref="L23:N23" si="22">C10-C15-C20-C23</f>
        <v>0</v>
      </c>
      <c r="M23" s="723">
        <f t="shared" si="22"/>
        <v>0</v>
      </c>
      <c r="N23" s="723">
        <f t="shared" si="22"/>
        <v>0</v>
      </c>
      <c r="O23" s="723">
        <f>F10-F15-F20-F23</f>
        <v>0</v>
      </c>
      <c r="P23" s="723">
        <f t="shared" ref="P23:Q23" si="23">G10-G15-G20-G23</f>
        <v>0</v>
      </c>
      <c r="Q23" s="723">
        <f t="shared" si="23"/>
        <v>0</v>
      </c>
      <c r="R23" s="678">
        <f>SUM(B23:H23)-I23</f>
        <v>0</v>
      </c>
      <c r="AC23" s="691">
        <f>B23-BS!$F$13</f>
        <v>0</v>
      </c>
      <c r="AD23" s="734">
        <f>C23-BS!$F$14</f>
        <v>0</v>
      </c>
      <c r="AE23" s="734">
        <f>D23-BS!$F$15</f>
        <v>0</v>
      </c>
      <c r="AF23" s="734">
        <f>E23-BS!$F$16</f>
        <v>0</v>
      </c>
      <c r="AG23" s="734">
        <f>F23-BS!$F$17</f>
        <v>0</v>
      </c>
      <c r="AH23" s="734">
        <f>G23-BS!$F$18</f>
        <v>0</v>
      </c>
      <c r="AI23" s="734">
        <f>H23-BS!$F$19</f>
        <v>0</v>
      </c>
      <c r="AJ23" s="678">
        <f>I23-BS!$F$12</f>
        <v>0</v>
      </c>
    </row>
    <row r="24" spans="1:36" ht="15.75" thickTop="1" x14ac:dyDescent="0.25">
      <c r="A24" s="48"/>
      <c r="B24" s="48"/>
      <c r="C24" s="48"/>
      <c r="D24" s="48"/>
      <c r="E24" s="48"/>
      <c r="F24" s="48"/>
      <c r="G24" s="48"/>
      <c r="H24" s="48"/>
      <c r="I24" s="48"/>
    </row>
    <row r="25" spans="1:36" ht="14.45" x14ac:dyDescent="0.35">
      <c r="A25" s="49"/>
      <c r="B25" s="20"/>
      <c r="C25" s="20"/>
      <c r="D25" s="20"/>
      <c r="E25" s="20"/>
      <c r="F25" s="20"/>
      <c r="G25" s="20"/>
      <c r="H25" s="20"/>
      <c r="I25" s="20"/>
    </row>
    <row r="26" spans="1:36" x14ac:dyDescent="0.25">
      <c r="A26" s="49" t="s">
        <v>15</v>
      </c>
      <c r="B26" s="20"/>
      <c r="C26" s="20"/>
      <c r="D26" s="20"/>
      <c r="E26" s="20"/>
      <c r="F26" s="20"/>
      <c r="G26" s="20"/>
      <c r="H26" s="20"/>
      <c r="I26" s="20"/>
    </row>
    <row r="27" spans="1:36" thickBot="1" x14ac:dyDescent="0.4">
      <c r="A27" s="48"/>
      <c r="B27" s="48"/>
      <c r="C27" s="48"/>
      <c r="D27" s="48"/>
      <c r="E27" s="48"/>
      <c r="F27" s="48"/>
      <c r="G27" s="48"/>
      <c r="H27" s="48"/>
      <c r="I27" s="20"/>
    </row>
    <row r="28" spans="1:36" ht="15" customHeight="1" thickTop="1" thickBot="1" x14ac:dyDescent="0.3">
      <c r="A28" s="1308" t="s">
        <v>20</v>
      </c>
      <c r="B28" s="1310" t="s">
        <v>3</v>
      </c>
      <c r="C28" s="1315"/>
      <c r="D28" s="1315"/>
      <c r="E28" s="1315"/>
      <c r="F28" s="1315"/>
      <c r="G28" s="1315"/>
      <c r="H28" s="1315"/>
      <c r="I28" s="1311"/>
    </row>
    <row r="29" spans="1:36" ht="35.25" thickTop="1" thickBot="1" x14ac:dyDescent="0.3">
      <c r="A29" s="1314"/>
      <c r="B29" s="40" t="s">
        <v>441</v>
      </c>
      <c r="C29" s="11" t="s">
        <v>21</v>
      </c>
      <c r="D29" s="11" t="s">
        <v>442</v>
      </c>
      <c r="E29" s="10" t="s">
        <v>22</v>
      </c>
      <c r="F29" s="40" t="s">
        <v>23</v>
      </c>
      <c r="G29" s="11" t="s">
        <v>443</v>
      </c>
      <c r="H29" s="11" t="s">
        <v>24</v>
      </c>
      <c r="I29" s="11" t="s">
        <v>14</v>
      </c>
    </row>
    <row r="30" spans="1:36" ht="15" customHeight="1" thickTop="1" thickBot="1" x14ac:dyDescent="0.3">
      <c r="A30" s="41" t="s">
        <v>25</v>
      </c>
      <c r="B30" s="42"/>
      <c r="C30" s="42"/>
      <c r="D30" s="42"/>
      <c r="E30" s="42"/>
      <c r="F30" s="42"/>
      <c r="G30" s="42"/>
      <c r="H30" s="42"/>
      <c r="I30" s="43"/>
    </row>
    <row r="31" spans="1:36" ht="15" customHeight="1" thickTop="1" thickBot="1" x14ac:dyDescent="0.3">
      <c r="A31" s="44" t="s">
        <v>26</v>
      </c>
      <c r="B31" s="22"/>
      <c r="C31" s="22"/>
      <c r="D31" s="22"/>
      <c r="E31" s="22"/>
      <c r="F31" s="45"/>
      <c r="G31" s="22"/>
      <c r="H31" s="22"/>
      <c r="I31" s="15">
        <f>SUM(B31:H31)</f>
        <v>0</v>
      </c>
      <c r="R31" s="678">
        <f>SUM(B31:H31)-I31</f>
        <v>0</v>
      </c>
    </row>
    <row r="32" spans="1:36" ht="15" customHeight="1" thickBot="1" x14ac:dyDescent="0.3">
      <c r="A32" s="14" t="s">
        <v>27</v>
      </c>
      <c r="B32" s="22"/>
      <c r="C32" s="22"/>
      <c r="D32" s="22"/>
      <c r="E32" s="22"/>
      <c r="F32" s="46"/>
      <c r="G32" s="22"/>
      <c r="H32" s="22"/>
      <c r="I32" s="15">
        <f t="shared" ref="I32:I34" si="24">SUM(B32:H32)</f>
        <v>0</v>
      </c>
      <c r="R32" s="678">
        <f t="shared" ref="R32:R34" si="25">SUM(B32:H32)-I32</f>
        <v>0</v>
      </c>
    </row>
    <row r="33" spans="1:37" ht="15" customHeight="1" thickBot="1" x14ac:dyDescent="0.3">
      <c r="A33" s="14" t="s">
        <v>28</v>
      </c>
      <c r="B33" s="22"/>
      <c r="C33" s="22"/>
      <c r="D33" s="22"/>
      <c r="E33" s="22"/>
      <c r="F33" s="46"/>
      <c r="G33" s="22"/>
      <c r="H33" s="22"/>
      <c r="I33" s="15">
        <f t="shared" si="24"/>
        <v>0</v>
      </c>
      <c r="R33" s="678">
        <f t="shared" si="25"/>
        <v>0</v>
      </c>
    </row>
    <row r="34" spans="1:37" ht="15" customHeight="1" thickBot="1" x14ac:dyDescent="0.3">
      <c r="A34" s="14" t="s">
        <v>29</v>
      </c>
      <c r="B34" s="22"/>
      <c r="C34" s="22"/>
      <c r="D34" s="22"/>
      <c r="E34" s="22"/>
      <c r="F34" s="46"/>
      <c r="G34" s="22"/>
      <c r="H34" s="22"/>
      <c r="I34" s="15">
        <f t="shared" si="24"/>
        <v>0</v>
      </c>
      <c r="R34" s="678">
        <f t="shared" si="25"/>
        <v>0</v>
      </c>
    </row>
    <row r="35" spans="1:37" ht="15" customHeight="1" thickBot="1" x14ac:dyDescent="0.3">
      <c r="A35" s="25" t="s">
        <v>30</v>
      </c>
      <c r="B35" s="26">
        <f>B31+B32-B33+B34</f>
        <v>0</v>
      </c>
      <c r="C35" s="26">
        <f>C31+C32-C33+C34</f>
        <v>0</v>
      </c>
      <c r="D35" s="26">
        <f>D31+D32-D33+D34</f>
        <v>0</v>
      </c>
      <c r="E35" s="26">
        <f t="shared" ref="E35:H35" si="26">E31+E32-E33+E34</f>
        <v>0</v>
      </c>
      <c r="F35" s="26">
        <f t="shared" si="26"/>
        <v>0</v>
      </c>
      <c r="G35" s="26">
        <f t="shared" si="26"/>
        <v>0</v>
      </c>
      <c r="H35" s="26">
        <f t="shared" si="26"/>
        <v>0</v>
      </c>
      <c r="I35" s="17">
        <f>I31+I32-I33+I34</f>
        <v>0</v>
      </c>
      <c r="K35" s="691">
        <f>B31+B32-B33+B34-B35</f>
        <v>0</v>
      </c>
      <c r="L35" s="723">
        <f t="shared" ref="L35:R35" si="27">C31+C32-C33+C34-C35</f>
        <v>0</v>
      </c>
      <c r="M35" s="723">
        <f t="shared" si="27"/>
        <v>0</v>
      </c>
      <c r="N35" s="723">
        <f t="shared" si="27"/>
        <v>0</v>
      </c>
      <c r="O35" s="723">
        <f t="shared" si="27"/>
        <v>0</v>
      </c>
      <c r="P35" s="723">
        <f t="shared" si="27"/>
        <v>0</v>
      </c>
      <c r="Q35" s="723">
        <f t="shared" si="27"/>
        <v>0</v>
      </c>
      <c r="R35" s="723">
        <f t="shared" si="27"/>
        <v>0</v>
      </c>
    </row>
    <row r="36" spans="1:37" ht="15" customHeight="1" thickTop="1" thickBot="1" x14ac:dyDescent="0.3">
      <c r="A36" s="41" t="s">
        <v>31</v>
      </c>
      <c r="B36" s="42"/>
      <c r="C36" s="42"/>
      <c r="D36" s="42"/>
      <c r="E36" s="42"/>
      <c r="F36" s="42"/>
      <c r="G36" s="42"/>
      <c r="H36" s="42"/>
      <c r="I36" s="43"/>
      <c r="R36" s="678"/>
    </row>
    <row r="37" spans="1:37" ht="15" customHeight="1" thickTop="1" thickBot="1" x14ac:dyDescent="0.3">
      <c r="A37" s="44" t="s">
        <v>32</v>
      </c>
      <c r="B37" s="22"/>
      <c r="C37" s="22"/>
      <c r="D37" s="22"/>
      <c r="E37" s="22"/>
      <c r="F37" s="22"/>
      <c r="G37" s="22"/>
      <c r="H37" s="22"/>
      <c r="I37" s="15">
        <f>SUM(B37:H37)</f>
        <v>0</v>
      </c>
      <c r="R37" s="678">
        <f t="shared" ref="R37:R39" si="28">SUM(B37:H37)-I37</f>
        <v>0</v>
      </c>
    </row>
    <row r="38" spans="1:37" ht="15" customHeight="1" thickBot="1" x14ac:dyDescent="0.3">
      <c r="A38" s="14" t="s">
        <v>27</v>
      </c>
      <c r="B38" s="22"/>
      <c r="C38" s="22"/>
      <c r="D38" s="22"/>
      <c r="E38" s="22"/>
      <c r="F38" s="22"/>
      <c r="G38" s="22"/>
      <c r="H38" s="22"/>
      <c r="I38" s="15">
        <f t="shared" ref="I38:I39" si="29">SUM(B38:H38)</f>
        <v>0</v>
      </c>
      <c r="R38" s="678">
        <f t="shared" si="28"/>
        <v>0</v>
      </c>
    </row>
    <row r="39" spans="1:37" ht="15" customHeight="1" thickBot="1" x14ac:dyDescent="0.3">
      <c r="A39" s="14" t="s">
        <v>28</v>
      </c>
      <c r="B39" s="22"/>
      <c r="C39" s="22"/>
      <c r="D39" s="22"/>
      <c r="E39" s="22"/>
      <c r="F39" s="22"/>
      <c r="G39" s="22"/>
      <c r="H39" s="22"/>
      <c r="I39" s="15">
        <f t="shared" si="29"/>
        <v>0</v>
      </c>
      <c r="R39" s="678">
        <f t="shared" si="28"/>
        <v>0</v>
      </c>
    </row>
    <row r="40" spans="1:37" ht="15" customHeight="1" thickBot="1" x14ac:dyDescent="0.3">
      <c r="A40" s="25" t="s">
        <v>30</v>
      </c>
      <c r="B40" s="26">
        <f>B37+B38-B39</f>
        <v>0</v>
      </c>
      <c r="C40" s="26">
        <f>C37+C38-C39</f>
        <v>0</v>
      </c>
      <c r="D40" s="26">
        <f t="shared" ref="D40:H40" si="30">D37+D38-D39</f>
        <v>0</v>
      </c>
      <c r="E40" s="26">
        <f t="shared" si="30"/>
        <v>0</v>
      </c>
      <c r="F40" s="26">
        <f t="shared" si="30"/>
        <v>0</v>
      </c>
      <c r="G40" s="26">
        <f t="shared" si="30"/>
        <v>0</v>
      </c>
      <c r="H40" s="26">
        <f t="shared" si="30"/>
        <v>0</v>
      </c>
      <c r="I40" s="17">
        <f>I37+I38-I39</f>
        <v>0</v>
      </c>
      <c r="K40" s="691">
        <f>B37+B38-B39-B40</f>
        <v>0</v>
      </c>
      <c r="L40" s="723">
        <f>C37+C38-C39-C40</f>
        <v>0</v>
      </c>
      <c r="M40" s="723">
        <f t="shared" ref="M40:R40" si="31">D37+D38-D39-D40</f>
        <v>0</v>
      </c>
      <c r="N40" s="723">
        <f t="shared" si="31"/>
        <v>0</v>
      </c>
      <c r="O40" s="723">
        <f t="shared" si="31"/>
        <v>0</v>
      </c>
      <c r="P40" s="723">
        <f t="shared" si="31"/>
        <v>0</v>
      </c>
      <c r="Q40" s="723">
        <f t="shared" si="31"/>
        <v>0</v>
      </c>
      <c r="R40" s="723">
        <f t="shared" si="31"/>
        <v>0</v>
      </c>
    </row>
    <row r="41" spans="1:37" ht="15" customHeight="1" thickTop="1" thickBot="1" x14ac:dyDescent="0.3">
      <c r="A41" s="41" t="s">
        <v>33</v>
      </c>
      <c r="B41" s="42"/>
      <c r="C41" s="42"/>
      <c r="D41" s="42"/>
      <c r="E41" s="42"/>
      <c r="F41" s="42"/>
      <c r="G41" s="42"/>
      <c r="H41" s="42"/>
      <c r="I41" s="43"/>
      <c r="R41" s="678"/>
    </row>
    <row r="42" spans="1:37" ht="15" customHeight="1" thickTop="1" thickBot="1" x14ac:dyDescent="0.3">
      <c r="A42" s="44" t="s">
        <v>32</v>
      </c>
      <c r="B42" s="22"/>
      <c r="C42" s="22"/>
      <c r="D42" s="22"/>
      <c r="E42" s="22"/>
      <c r="F42" s="22"/>
      <c r="G42" s="22"/>
      <c r="H42" s="22"/>
      <c r="I42" s="15">
        <f>SUM(B42:H42)</f>
        <v>0</v>
      </c>
      <c r="R42" s="678">
        <f t="shared" ref="R42:R44" si="32">SUM(B42:H42)-I42</f>
        <v>0</v>
      </c>
    </row>
    <row r="43" spans="1:37" ht="15" customHeight="1" thickBot="1" x14ac:dyDescent="0.3">
      <c r="A43" s="14" t="s">
        <v>27</v>
      </c>
      <c r="B43" s="22"/>
      <c r="C43" s="22"/>
      <c r="D43" s="22"/>
      <c r="E43" s="22"/>
      <c r="F43" s="22"/>
      <c r="G43" s="22"/>
      <c r="H43" s="22"/>
      <c r="I43" s="15">
        <f t="shared" ref="I43:I44" si="33">SUM(B43:H43)</f>
        <v>0</v>
      </c>
      <c r="R43" s="678">
        <f t="shared" si="32"/>
        <v>0</v>
      </c>
    </row>
    <row r="44" spans="1:37" ht="15" customHeight="1" thickBot="1" x14ac:dyDescent="0.3">
      <c r="A44" s="14" t="s">
        <v>28</v>
      </c>
      <c r="B44" s="22"/>
      <c r="C44" s="22"/>
      <c r="D44" s="22"/>
      <c r="E44" s="22"/>
      <c r="F44" s="22"/>
      <c r="G44" s="22"/>
      <c r="H44" s="22"/>
      <c r="I44" s="15">
        <f t="shared" si="33"/>
        <v>0</v>
      </c>
      <c r="R44" s="678">
        <f t="shared" si="32"/>
        <v>0</v>
      </c>
    </row>
    <row r="45" spans="1:37" ht="15" customHeight="1" thickBot="1" x14ac:dyDescent="0.3">
      <c r="A45" s="25" t="s">
        <v>30</v>
      </c>
      <c r="B45" s="26">
        <f>B42+B43-B44</f>
        <v>0</v>
      </c>
      <c r="C45" s="26">
        <f>C42+C43-C44</f>
        <v>0</v>
      </c>
      <c r="D45" s="26">
        <f t="shared" ref="D45:H45" si="34">D42+D43-D44</f>
        <v>0</v>
      </c>
      <c r="E45" s="26">
        <f t="shared" si="34"/>
        <v>0</v>
      </c>
      <c r="F45" s="26">
        <f t="shared" si="34"/>
        <v>0</v>
      </c>
      <c r="G45" s="26">
        <f t="shared" si="34"/>
        <v>0</v>
      </c>
      <c r="H45" s="26">
        <f t="shared" si="34"/>
        <v>0</v>
      </c>
      <c r="I45" s="17">
        <f>I42+I43-I44</f>
        <v>0</v>
      </c>
      <c r="K45" s="691">
        <f>B42+B43-B44-B45</f>
        <v>0</v>
      </c>
      <c r="L45" s="723">
        <f>C42+C43-C44-C45</f>
        <v>0</v>
      </c>
      <c r="M45" s="723">
        <f t="shared" ref="M45:R45" si="35">D42+D43-D44-D45</f>
        <v>0</v>
      </c>
      <c r="N45" s="723">
        <f t="shared" si="35"/>
        <v>0</v>
      </c>
      <c r="O45" s="723">
        <f t="shared" si="35"/>
        <v>0</v>
      </c>
      <c r="P45" s="723">
        <f t="shared" si="35"/>
        <v>0</v>
      </c>
      <c r="Q45" s="723">
        <f t="shared" si="35"/>
        <v>0</v>
      </c>
      <c r="R45" s="723">
        <f t="shared" si="35"/>
        <v>0</v>
      </c>
    </row>
    <row r="46" spans="1:37" ht="15" customHeight="1" thickTop="1" thickBot="1" x14ac:dyDescent="0.3">
      <c r="A46" s="41" t="s">
        <v>34</v>
      </c>
      <c r="B46" s="42"/>
      <c r="C46" s="42"/>
      <c r="D46" s="42"/>
      <c r="E46" s="42"/>
      <c r="F46" s="42"/>
      <c r="G46" s="42"/>
      <c r="H46" s="42"/>
      <c r="I46" s="43"/>
      <c r="R46" s="678"/>
    </row>
    <row r="47" spans="1:37" ht="15" customHeight="1" thickTop="1" thickBot="1" x14ac:dyDescent="0.3">
      <c r="A47" s="44" t="s">
        <v>32</v>
      </c>
      <c r="B47" s="22">
        <f>B31-B37-B42</f>
        <v>0</v>
      </c>
      <c r="C47" s="22">
        <f t="shared" ref="C47:I47" si="36">C31-C37-C42</f>
        <v>0</v>
      </c>
      <c r="D47" s="22">
        <f t="shared" si="36"/>
        <v>0</v>
      </c>
      <c r="E47" s="22">
        <f t="shared" si="36"/>
        <v>0</v>
      </c>
      <c r="F47" s="22">
        <f t="shared" si="36"/>
        <v>0</v>
      </c>
      <c r="G47" s="22">
        <f t="shared" si="36"/>
        <v>0</v>
      </c>
      <c r="H47" s="22">
        <f t="shared" si="36"/>
        <v>0</v>
      </c>
      <c r="I47" s="15">
        <f t="shared" si="36"/>
        <v>0</v>
      </c>
      <c r="K47" s="691">
        <f>B31-B37-B42-B47</f>
        <v>0</v>
      </c>
      <c r="L47" s="723">
        <f t="shared" ref="L47:N47" si="37">C31-C37-C42-C47</f>
        <v>0</v>
      </c>
      <c r="M47" s="723">
        <f t="shared" si="37"/>
        <v>0</v>
      </c>
      <c r="N47" s="723">
        <f t="shared" si="37"/>
        <v>0</v>
      </c>
      <c r="O47" s="723">
        <f>F31-F37-F42-F47</f>
        <v>0</v>
      </c>
      <c r="P47" s="723">
        <f t="shared" ref="P47:Q47" si="38">G31-G37-G42-G47</f>
        <v>0</v>
      </c>
      <c r="Q47" s="723">
        <f t="shared" si="38"/>
        <v>0</v>
      </c>
      <c r="R47" s="678">
        <f t="shared" ref="R47" si="39">SUM(B47:H47)-I47</f>
        <v>0</v>
      </c>
    </row>
    <row r="48" spans="1:37" ht="15" customHeight="1" thickBot="1" x14ac:dyDescent="0.3">
      <c r="A48" s="25" t="s">
        <v>30</v>
      </c>
      <c r="B48" s="26">
        <f t="shared" ref="B48:I48" si="40">B35-B40-B45</f>
        <v>0</v>
      </c>
      <c r="C48" s="26">
        <f t="shared" si="40"/>
        <v>0</v>
      </c>
      <c r="D48" s="26">
        <f t="shared" si="40"/>
        <v>0</v>
      </c>
      <c r="E48" s="26">
        <f t="shared" si="40"/>
        <v>0</v>
      </c>
      <c r="F48" s="26">
        <f t="shared" si="40"/>
        <v>0</v>
      </c>
      <c r="G48" s="26">
        <f t="shared" si="40"/>
        <v>0</v>
      </c>
      <c r="H48" s="26">
        <f t="shared" si="40"/>
        <v>0</v>
      </c>
      <c r="I48" s="17">
        <f t="shared" si="40"/>
        <v>0</v>
      </c>
      <c r="K48" s="691">
        <f>B35-B40-B45-B48</f>
        <v>0</v>
      </c>
      <c r="L48" s="723">
        <f t="shared" ref="L48:N48" si="41">C35-C40-C45-C48</f>
        <v>0</v>
      </c>
      <c r="M48" s="723">
        <f t="shared" si="41"/>
        <v>0</v>
      </c>
      <c r="N48" s="723">
        <f t="shared" si="41"/>
        <v>0</v>
      </c>
      <c r="O48" s="723">
        <f>F35-F40-F45-F48</f>
        <v>0</v>
      </c>
      <c r="P48" s="723">
        <f t="shared" ref="P48:Q48" si="42">G35-G40-G45-G48</f>
        <v>0</v>
      </c>
      <c r="Q48" s="723">
        <f t="shared" si="42"/>
        <v>0</v>
      </c>
      <c r="R48" s="678">
        <f>SUM(B48:H48)-I48</f>
        <v>0</v>
      </c>
      <c r="AC48" s="691">
        <f>B48-BS!$G$13</f>
        <v>0</v>
      </c>
      <c r="AD48" s="734">
        <f>C48-BS!$G$14</f>
        <v>0</v>
      </c>
      <c r="AE48" s="734">
        <f>D48-BS!$IB$15</f>
        <v>0</v>
      </c>
      <c r="AF48" s="734">
        <f>E48-BS!$G$16</f>
        <v>0</v>
      </c>
      <c r="AG48" s="734">
        <f>F48-BS!$G$17</f>
        <v>0</v>
      </c>
      <c r="AH48" s="734">
        <f>G48-BS!$G$18</f>
        <v>0</v>
      </c>
      <c r="AI48" s="734">
        <f>H48-BS!$G$19</f>
        <v>0</v>
      </c>
      <c r="AJ48" s="678">
        <f>I48-BS!$G$12</f>
        <v>0</v>
      </c>
      <c r="AK48" s="406"/>
    </row>
    <row r="49" ht="15.75" thickTop="1" x14ac:dyDescent="0.25"/>
  </sheetData>
  <mergeCells count="7">
    <mergeCell ref="T1:AA1"/>
    <mergeCell ref="AC1:AJ1"/>
    <mergeCell ref="A28:A29"/>
    <mergeCell ref="B28:I28"/>
    <mergeCell ref="A3:A4"/>
    <mergeCell ref="B3:I3"/>
    <mergeCell ref="K1:R1"/>
  </mergeCells>
  <conditionalFormatting sqref="K6:R23">
    <cfRule type="cellIs" dxfId="261" priority="13" operator="lessThan">
      <formula>0</formula>
    </cfRule>
    <cfRule type="cellIs" dxfId="260" priority="14" operator="greaterThan">
      <formula>0</formula>
    </cfRule>
  </conditionalFormatting>
  <conditionalFormatting sqref="K31:R48">
    <cfRule type="cellIs" dxfId="259" priority="11" operator="lessThan">
      <formula>0</formula>
    </cfRule>
    <cfRule type="cellIs" dxfId="258" priority="12" operator="greaterThan">
      <formula>0</formula>
    </cfRule>
  </conditionalFormatting>
  <conditionalFormatting sqref="T6:AA22">
    <cfRule type="cellIs" dxfId="257" priority="9" operator="lessThan">
      <formula>0</formula>
    </cfRule>
    <cfRule type="cellIs" dxfId="256" priority="10" operator="greaterThan">
      <formula>0</formula>
    </cfRule>
  </conditionalFormatting>
  <conditionalFormatting sqref="AC10:AJ48">
    <cfRule type="cellIs" dxfId="255" priority="7" operator="lessThan">
      <formula>0</formula>
    </cfRule>
    <cfRule type="cellIs" dxfId="254" priority="8" operator="greaterThan">
      <formula>0</formula>
    </cfRule>
  </conditionalFormatting>
  <conditionalFormatting sqref="K6:R23">
    <cfRule type="cellIs" dxfId="253" priority="5" operator="lessThan">
      <formula>0</formula>
    </cfRule>
    <cfRule type="cellIs" dxfId="252" priority="6" operator="greaterThan">
      <formula>0</formula>
    </cfRule>
  </conditionalFormatting>
  <conditionalFormatting sqref="K31:R48">
    <cfRule type="cellIs" dxfId="251" priority="3" operator="lessThan">
      <formula>0</formula>
    </cfRule>
    <cfRule type="cellIs" dxfId="250" priority="4" operator="greaterThan">
      <formula>0</formula>
    </cfRule>
  </conditionalFormatting>
  <conditionalFormatting sqref="K31:R48">
    <cfRule type="cellIs" dxfId="249" priority="1" operator="lessThan">
      <formula>0</formula>
    </cfRule>
    <cfRule type="cellIs" dxfId="24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657" t="s">
        <v>20</v>
      </c>
      <c r="B2" s="658" t="s">
        <v>36</v>
      </c>
    </row>
    <row r="3" spans="1:2" ht="23.25" customHeight="1" thickTop="1" thickBot="1" x14ac:dyDescent="0.3">
      <c r="A3" s="12" t="s">
        <v>37</v>
      </c>
      <c r="B3" s="13"/>
    </row>
    <row r="4" spans="1:2" ht="23.25" customHeight="1" thickBot="1" x14ac:dyDescent="0.3">
      <c r="A4" s="16" t="s">
        <v>38</v>
      </c>
      <c r="B4" s="17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63</vt:i4>
      </vt:variant>
      <vt:variant>
        <vt:lpstr>Pojmenované oblasti</vt:lpstr>
      </vt:variant>
      <vt:variant>
        <vt:i4>11</vt:i4>
      </vt:variant>
    </vt:vector>
  </HeadingPairs>
  <TitlesOfParts>
    <vt:vector size="74" baseType="lpstr">
      <vt:lpstr>Notes Template</vt:lpstr>
      <vt:lpstr>BS</vt:lpstr>
      <vt:lpstr>P&amp;L</vt:lpstr>
      <vt:lpstr>Cash Flow</vt:lpstr>
      <vt:lpstr>1</vt:lpstr>
      <vt:lpstr>2</vt:lpstr>
      <vt:lpstr>2_tabulka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Input data</vt:lpstr>
      <vt:lpstr>BS-SK Cover sheet</vt:lpstr>
      <vt:lpstr>BS-SK Statutory </vt:lpstr>
      <vt:lpstr>IS-SK Cover sheet</vt:lpstr>
      <vt:lpstr>IS-SK Statutory </vt:lpstr>
      <vt:lpstr>VYSVETLIVKY</vt:lpstr>
      <vt:lpstr>'Notes Template'!_Toc474124192</vt:lpstr>
      <vt:lpstr>'BS-SK Statutory '!Názvy_tisku</vt:lpstr>
      <vt:lpstr>'IS-SK Statutory '!Názvy_tisku</vt:lpstr>
      <vt:lpstr>BS!Oblast_tisku</vt:lpstr>
      <vt:lpstr>'BS-SK Cover sheet'!Oblast_tisku</vt:lpstr>
      <vt:lpstr>'BS-SK Statutory '!Oblast_tisku</vt:lpstr>
      <vt:lpstr>'Cash Flow'!Oblast_tisku</vt:lpstr>
      <vt:lpstr>'IS-SK Cover sheet'!Oblast_tisku</vt:lpstr>
      <vt:lpstr>'IS-SK Statutory '!Oblast_tisku</vt:lpstr>
      <vt:lpstr>'Notes Template'!Oblast_tisku</vt:lpstr>
      <vt:lpstr>'P&amp;L'!Oblast_tisku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2014-03-21T12:04:55Z</dcterms:modified>
</cp:coreProperties>
</file>